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omments2.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omments7.xml" ContentType="application/vnd.openxmlformats-officedocument.spreadsheetml.comments+xml"/>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comments8.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omments9.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omments10.xml" ContentType="application/vnd.openxmlformats-officedocument.spreadsheetml.comments+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11.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omments12.xml" ContentType="application/vnd.openxmlformats-officedocument.spreadsheetml.comments+xml"/>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omments13.xml" ContentType="application/vnd.openxmlformats-officedocument.spreadsheetml.comments+xml"/>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omments14.xml" ContentType="application/vnd.openxmlformats-officedocument.spreadsheetml.comments+xml"/>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omments15.xml" ContentType="application/vnd.openxmlformats-officedocument.spreadsheetml.comments+xml"/>
  <Override PartName="/xl/customProperty46.bin" ContentType="application/vnd.openxmlformats-officedocument.spreadsheetml.customProperty"/>
  <Override PartName="/xl/customProperty47.bin" ContentType="application/vnd.openxmlformats-officedocument.spreadsheetml.customProperty"/>
  <Override PartName="/xl/customProperty48.bin" ContentType="application/vnd.openxmlformats-officedocument.spreadsheetml.customProperty"/>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comments16.xml" ContentType="application/vnd.openxmlformats-officedocument.spreadsheetml.comments+xml"/>
  <Override PartName="/xl/customProperty49.bin" ContentType="application/vnd.openxmlformats-officedocument.spreadsheetml.customProperty"/>
  <Override PartName="/xl/customProperty50.bin" ContentType="application/vnd.openxmlformats-officedocument.spreadsheetml.customProperty"/>
  <Override PartName="/xl/customProperty51.bin" ContentType="application/vnd.openxmlformats-officedocument.spreadsheetml.customProperty"/>
  <Override PartName="/xl/comments17.xml" ContentType="application/vnd.openxmlformats-officedocument.spreadsheetml.comments+xml"/>
  <Override PartName="/xl/customProperty52.bin" ContentType="application/vnd.openxmlformats-officedocument.spreadsheetml.customProperty"/>
  <Override PartName="/xl/customProperty53.bin" ContentType="application/vnd.openxmlformats-officedocument.spreadsheetml.customProperty"/>
  <Override PartName="/xl/customProperty54.bin" ContentType="application/vnd.openxmlformats-officedocument.spreadsheetml.customProperty"/>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comments18.xml" ContentType="application/vnd.openxmlformats-officedocument.spreadsheetml.comments+xml"/>
  <Override PartName="/xl/customProperty55.bin" ContentType="application/vnd.openxmlformats-officedocument.spreadsheetml.customProperty"/>
  <Override PartName="/xl/customProperty56.bin" ContentType="application/vnd.openxmlformats-officedocument.spreadsheetml.customProperty"/>
  <Override PartName="/xl/customProperty57.bin" ContentType="application/vnd.openxmlformats-officedocument.spreadsheetml.customProperty"/>
  <Override PartName="/xl/comments19.xml" ContentType="application/vnd.openxmlformats-officedocument.spreadsheetml.comments+xml"/>
  <Override PartName="/xl/customProperty58.bin" ContentType="application/vnd.openxmlformats-officedocument.spreadsheetml.customProperty"/>
  <Override PartName="/xl/customProperty59.bin" ContentType="application/vnd.openxmlformats-officedocument.spreadsheetml.customProperty"/>
  <Override PartName="/xl/customProperty60.bin" ContentType="application/vnd.openxmlformats-officedocument.spreadsheetml.customProperty"/>
  <Override PartName="/xl/comments20.xml" ContentType="application/vnd.openxmlformats-officedocument.spreadsheetml.comments+xml"/>
  <Override PartName="/xl/customProperty61.bin" ContentType="application/vnd.openxmlformats-officedocument.spreadsheetml.customProperty"/>
  <Override PartName="/xl/customProperty62.bin" ContentType="application/vnd.openxmlformats-officedocument.spreadsheetml.customProperty"/>
  <Override PartName="/xl/customProperty63.bin" ContentType="application/vnd.openxmlformats-officedocument.spreadsheetml.customProperty"/>
  <Override PartName="/xl/comments21.xml" ContentType="application/vnd.openxmlformats-officedocument.spreadsheetml.comments+xml"/>
  <Override PartName="/xl/customProperty64.bin" ContentType="application/vnd.openxmlformats-officedocument.spreadsheetml.customProperty"/>
  <Override PartName="/xl/customProperty65.bin" ContentType="application/vnd.openxmlformats-officedocument.spreadsheetml.customProperty"/>
  <Override PartName="/xl/customProperty66.bin" ContentType="application/vnd.openxmlformats-officedocument.spreadsheetml.customProperty"/>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comments22.xml" ContentType="application/vnd.openxmlformats-officedocument.spreadsheetml.comments+xml"/>
  <Override PartName="/xl/customProperty67.bin" ContentType="application/vnd.openxmlformats-officedocument.spreadsheetml.customProperty"/>
  <Override PartName="/xl/customProperty68.bin" ContentType="application/vnd.openxmlformats-officedocument.spreadsheetml.customProperty"/>
  <Override PartName="/xl/customProperty69.bin" ContentType="application/vnd.openxmlformats-officedocument.spreadsheetml.customProperty"/>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comments23.xml" ContentType="application/vnd.openxmlformats-officedocument.spreadsheetml.comments+xml"/>
  <Override PartName="/xl/customProperty70.bin" ContentType="application/vnd.openxmlformats-officedocument.spreadsheetml.customProperty"/>
  <Override PartName="/xl/customProperty71.bin" ContentType="application/vnd.openxmlformats-officedocument.spreadsheetml.customProperty"/>
  <Override PartName="/xl/customProperty72.bin" ContentType="application/vnd.openxmlformats-officedocument.spreadsheetml.customProperty"/>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comments24.xml" ContentType="application/vnd.openxmlformats-officedocument.spreadsheetml.comments+xml"/>
  <Override PartName="/xl/customProperty73.bin" ContentType="application/vnd.openxmlformats-officedocument.spreadsheetml.customProperty"/>
  <Override PartName="/xl/customProperty74.bin" ContentType="application/vnd.openxmlformats-officedocument.spreadsheetml.customProperty"/>
  <Override PartName="/xl/customProperty75.bin" ContentType="application/vnd.openxmlformats-officedocument.spreadsheetml.customProperty"/>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comments25.xml" ContentType="application/vnd.openxmlformats-officedocument.spreadsheetml.comments+xml"/>
  <Override PartName="/xl/customProperty76.bin" ContentType="application/vnd.openxmlformats-officedocument.spreadsheetml.customProperty"/>
  <Override PartName="/xl/customProperty77.bin" ContentType="application/vnd.openxmlformats-officedocument.spreadsheetml.customProperty"/>
  <Override PartName="/xl/customProperty78.bin" ContentType="application/vnd.openxmlformats-officedocument.spreadsheetml.customProperty"/>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comments26.xml" ContentType="application/vnd.openxmlformats-officedocument.spreadsheetml.comments+xml"/>
  <Override PartName="/xl/customProperty79.bin" ContentType="application/vnd.openxmlformats-officedocument.spreadsheetml.customProperty"/>
  <Override PartName="/xl/customProperty80.bin" ContentType="application/vnd.openxmlformats-officedocument.spreadsheetml.customProperty"/>
  <Override PartName="/xl/customProperty81.bin" ContentType="application/vnd.openxmlformats-officedocument.spreadsheetml.customProperty"/>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comments27.xml" ContentType="application/vnd.openxmlformats-officedocument.spreadsheetml.comments+xml"/>
  <Override PartName="/xl/customProperty82.bin" ContentType="application/vnd.openxmlformats-officedocument.spreadsheetml.customProperty"/>
  <Override PartName="/xl/customProperty83.bin" ContentType="application/vnd.openxmlformats-officedocument.spreadsheetml.customProperty"/>
  <Override PartName="/xl/customProperty84.bin" ContentType="application/vnd.openxmlformats-officedocument.spreadsheetml.customProperty"/>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omments28.xml" ContentType="application/vnd.openxmlformats-officedocument.spreadsheetml.comments+xml"/>
  <Override PartName="/xl/customProperty85.bin" ContentType="application/vnd.openxmlformats-officedocument.spreadsheetml.customProperty"/>
  <Override PartName="/xl/customProperty86.bin" ContentType="application/vnd.openxmlformats-officedocument.spreadsheetml.customProperty"/>
  <Override PartName="/xl/customProperty87.bin" ContentType="application/vnd.openxmlformats-officedocument.spreadsheetml.customProperty"/>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omments29.xml" ContentType="application/vnd.openxmlformats-officedocument.spreadsheetml.comments+xml"/>
  <Override PartName="/xl/customProperty88.bin" ContentType="application/vnd.openxmlformats-officedocument.spreadsheetml.customProperty"/>
  <Override PartName="/xl/customProperty89.bin" ContentType="application/vnd.openxmlformats-officedocument.spreadsheetml.customProperty"/>
  <Override PartName="/xl/customProperty90.bin" ContentType="application/vnd.openxmlformats-officedocument.spreadsheetml.customProperty"/>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omments30.xml" ContentType="application/vnd.openxmlformats-officedocument.spreadsheetml.comments+xml"/>
  <Override PartName="/xl/customProperty91.bin" ContentType="application/vnd.openxmlformats-officedocument.spreadsheetml.customProperty"/>
  <Override PartName="/xl/customProperty92.bin" ContentType="application/vnd.openxmlformats-officedocument.spreadsheetml.customProperty"/>
  <Override PartName="/xl/customProperty93.bin" ContentType="application/vnd.openxmlformats-officedocument.spreadsheetml.customProperty"/>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omments31.xml" ContentType="application/vnd.openxmlformats-officedocument.spreadsheetml.comments+xml"/>
  <Override PartName="/xl/customProperty94.bin" ContentType="application/vnd.openxmlformats-officedocument.spreadsheetml.customProperty"/>
  <Override PartName="/xl/customProperty95.bin" ContentType="application/vnd.openxmlformats-officedocument.spreadsheetml.customProperty"/>
  <Override PartName="/xl/customProperty96.bin" ContentType="application/vnd.openxmlformats-officedocument.spreadsheetml.customProperty"/>
  <Override PartName="/xl/comments32.xml" ContentType="application/vnd.openxmlformats-officedocument.spreadsheetml.comments+xml"/>
  <Override PartName="/xl/customProperty97.bin" ContentType="application/vnd.openxmlformats-officedocument.spreadsheetml.customProperty"/>
  <Override PartName="/xl/customProperty98.bin" ContentType="application/vnd.openxmlformats-officedocument.spreadsheetml.customProperty"/>
  <Override PartName="/xl/customProperty99.bin" ContentType="application/vnd.openxmlformats-officedocument.spreadsheetml.customProperty"/>
  <Override PartName="/xl/drawings/drawing21.xml" ContentType="application/vnd.openxmlformats-officedocument.drawing+xml"/>
  <Override PartName="/xl/activeX/activeX20.xml" ContentType="application/vnd.ms-office.activeX+xml"/>
  <Override PartName="/xl/activeX/activeX20.bin" ContentType="application/vnd.ms-office.activeX"/>
  <Override PartName="/xl/comments33.xml" ContentType="application/vnd.openxmlformats-officedocument.spreadsheetml.comments+xml"/>
  <Override PartName="/xl/customProperty100.bin" ContentType="application/vnd.openxmlformats-officedocument.spreadsheetml.customProperty"/>
  <Override PartName="/xl/customProperty101.bin" ContentType="application/vnd.openxmlformats-officedocument.spreadsheetml.customProperty"/>
  <Override PartName="/xl/customProperty102.bin" ContentType="application/vnd.openxmlformats-officedocument.spreadsheetml.customProperty"/>
  <Override PartName="/xl/drawings/drawing22.xml" ContentType="application/vnd.openxmlformats-officedocument.drawing+xml"/>
  <Override PartName="/xl/activeX/activeX21.xml" ContentType="application/vnd.ms-office.activeX+xml"/>
  <Override PartName="/xl/activeX/activeX21.bin" ContentType="application/vnd.ms-office.activeX"/>
  <Override PartName="/xl/comments34.xml" ContentType="application/vnd.openxmlformats-officedocument.spreadsheetml.comments+xml"/>
  <Override PartName="/xl/customProperty103.bin" ContentType="application/vnd.openxmlformats-officedocument.spreadsheetml.customProperty"/>
  <Override PartName="/xl/customProperty104.bin" ContentType="application/vnd.openxmlformats-officedocument.spreadsheetml.customProperty"/>
  <Override PartName="/xl/customProperty105.bin" ContentType="application/vnd.openxmlformats-officedocument.spreadsheetml.customProperty"/>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comments35.xml" ContentType="application/vnd.openxmlformats-officedocument.spreadsheetml.comments+xml"/>
  <Override PartName="/xl/customProperty106.bin" ContentType="application/vnd.openxmlformats-officedocument.spreadsheetml.customProperty"/>
  <Override PartName="/xl/customProperty107.bin" ContentType="application/vnd.openxmlformats-officedocument.spreadsheetml.customProperty"/>
  <Override PartName="/xl/customProperty108.bin" ContentType="application/vnd.openxmlformats-officedocument.spreadsheetml.customProperty"/>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comments36.xml" ContentType="application/vnd.openxmlformats-officedocument.spreadsheetml.comments+xml"/>
  <Override PartName="/xl/customProperty109.bin" ContentType="application/vnd.openxmlformats-officedocument.spreadsheetml.customProperty"/>
  <Override PartName="/xl/customProperty110.bin" ContentType="application/vnd.openxmlformats-officedocument.spreadsheetml.customProperty"/>
  <Override PartName="/xl/customProperty111.bin" ContentType="application/vnd.openxmlformats-officedocument.spreadsheetml.customProperty"/>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comments37.xml" ContentType="application/vnd.openxmlformats-officedocument.spreadsheetml.comments+xml"/>
  <Override PartName="/xl/customProperty112.bin" ContentType="application/vnd.openxmlformats-officedocument.spreadsheetml.customProperty"/>
  <Override PartName="/xl/customProperty113.bin" ContentType="application/vnd.openxmlformats-officedocument.spreadsheetml.customProperty"/>
  <Override PartName="/xl/customProperty114.bin" ContentType="application/vnd.openxmlformats-officedocument.spreadsheetml.customProperty"/>
  <Override PartName="/xl/drawings/drawing26.xml" ContentType="application/vnd.openxmlformats-officedocument.drawing+xml"/>
  <Override PartName="/xl/activeX/activeX25.xml" ContentType="application/vnd.ms-office.activeX+xml"/>
  <Override PartName="/xl/activeX/activeX25.bin" ContentType="application/vnd.ms-office.activeX"/>
  <Override PartName="/xl/comments38.xml" ContentType="application/vnd.openxmlformats-officedocument.spreadsheetml.comments+xml"/>
  <Override PartName="/xl/customProperty115.bin" ContentType="application/vnd.openxmlformats-officedocument.spreadsheetml.customProperty"/>
  <Override PartName="/xl/customProperty116.bin" ContentType="application/vnd.openxmlformats-officedocument.spreadsheetml.customProperty"/>
  <Override PartName="/xl/customProperty117.bin" ContentType="application/vnd.openxmlformats-officedocument.spreadsheetml.customProperty"/>
  <Override PartName="/xl/drawings/drawing27.xml" ContentType="application/vnd.openxmlformats-officedocument.drawing+xml"/>
  <Override PartName="/xl/activeX/activeX26.xml" ContentType="application/vnd.ms-office.activeX+xml"/>
  <Override PartName="/xl/activeX/activeX26.bin" ContentType="application/vnd.ms-office.activeX"/>
  <Override PartName="/xl/comments39.xml" ContentType="application/vnd.openxmlformats-officedocument.spreadsheetml.comments+xml"/>
  <Override PartName="/xl/customProperty118.bin" ContentType="application/vnd.openxmlformats-officedocument.spreadsheetml.customProperty"/>
  <Override PartName="/xl/customProperty119.bin" ContentType="application/vnd.openxmlformats-officedocument.spreadsheetml.customProperty"/>
  <Override PartName="/xl/customProperty120.bin" ContentType="application/vnd.openxmlformats-officedocument.spreadsheetml.customProperty"/>
  <Override PartName="/xl/drawings/drawing28.xml" ContentType="application/vnd.openxmlformats-officedocument.drawing+xml"/>
  <Override PartName="/xl/activeX/activeX27.xml" ContentType="application/vnd.ms-office.activeX+xml"/>
  <Override PartName="/xl/activeX/activeX27.bin" ContentType="application/vnd.ms-office.activeX"/>
  <Override PartName="/xl/comments40.xml" ContentType="application/vnd.openxmlformats-officedocument.spreadsheetml.comments+xml"/>
  <Override PartName="/xl/customProperty121.bin" ContentType="application/vnd.openxmlformats-officedocument.spreadsheetml.customProperty"/>
  <Override PartName="/xl/customProperty122.bin" ContentType="application/vnd.openxmlformats-officedocument.spreadsheetml.customProperty"/>
  <Override PartName="/xl/customProperty123.bin" ContentType="application/vnd.openxmlformats-officedocument.spreadsheetml.customProperty"/>
  <Override PartName="/xl/drawings/drawing29.xml" ContentType="application/vnd.openxmlformats-officedocument.drawing+xml"/>
  <Override PartName="/xl/activeX/activeX28.xml" ContentType="application/vnd.ms-office.activeX+xml"/>
  <Override PartName="/xl/activeX/activeX28.bin" ContentType="application/vnd.ms-office.activeX"/>
  <Override PartName="/xl/comments41.xml" ContentType="application/vnd.openxmlformats-officedocument.spreadsheetml.comments+xml"/>
  <Override PartName="/xl/customProperty124.bin" ContentType="application/vnd.openxmlformats-officedocument.spreadsheetml.customProperty"/>
  <Override PartName="/xl/customProperty125.bin" ContentType="application/vnd.openxmlformats-officedocument.spreadsheetml.customProperty"/>
  <Override PartName="/xl/customProperty126.bin" ContentType="application/vnd.openxmlformats-officedocument.spreadsheetml.customProperty"/>
  <Override PartName="/xl/comments42.xml" ContentType="application/vnd.openxmlformats-officedocument.spreadsheetml.comments+xml"/>
  <Override PartName="/xl/customProperty127.bin" ContentType="application/vnd.openxmlformats-officedocument.spreadsheetml.customProperty"/>
  <Override PartName="/xl/customProperty128.bin" ContentType="application/vnd.openxmlformats-officedocument.spreadsheetml.customProperty"/>
  <Override PartName="/xl/customProperty129.bin" ContentType="application/vnd.openxmlformats-officedocument.spreadsheetml.customProperty"/>
  <Override PartName="/xl/drawings/drawing30.xml" ContentType="application/vnd.openxmlformats-officedocument.drawing+xml"/>
  <Override PartName="/xl/activeX/activeX29.xml" ContentType="application/vnd.ms-office.activeX+xml"/>
  <Override PartName="/xl/activeX/activeX29.bin" ContentType="application/vnd.ms-office.activeX"/>
  <Override PartName="/xl/comments43.xml" ContentType="application/vnd.openxmlformats-officedocument.spreadsheetml.comments+xml"/>
  <Override PartName="/xl/customProperty130.bin" ContentType="application/vnd.openxmlformats-officedocument.spreadsheetml.customProperty"/>
  <Override PartName="/xl/customProperty131.bin" ContentType="application/vnd.openxmlformats-officedocument.spreadsheetml.customProperty"/>
  <Override PartName="/xl/customProperty132.bin" ContentType="application/vnd.openxmlformats-officedocument.spreadsheetml.customProperty"/>
  <Override PartName="/xl/drawings/drawing31.xml" ContentType="application/vnd.openxmlformats-officedocument.drawing+xml"/>
  <Override PartName="/xl/activeX/activeX30.xml" ContentType="application/vnd.ms-office.activeX+xml"/>
  <Override PartName="/xl/activeX/activeX30.bin" ContentType="application/vnd.ms-office.activeX"/>
  <Override PartName="/xl/comments44.xml" ContentType="application/vnd.openxmlformats-officedocument.spreadsheetml.comments+xml"/>
  <Override PartName="/xl/customProperty133.bin" ContentType="application/vnd.openxmlformats-officedocument.spreadsheetml.customProperty"/>
  <Override PartName="/xl/customProperty134.bin" ContentType="application/vnd.openxmlformats-officedocument.spreadsheetml.customProperty"/>
  <Override PartName="/xl/customProperty135.bin" ContentType="application/vnd.openxmlformats-officedocument.spreadsheetml.customProperty"/>
  <Override PartName="/xl/drawings/drawing32.xml" ContentType="application/vnd.openxmlformats-officedocument.drawing+xml"/>
  <Override PartName="/xl/activeX/activeX31.xml" ContentType="application/vnd.ms-office.activeX+xml"/>
  <Override PartName="/xl/activeX/activeX31.bin" ContentType="application/vnd.ms-office.activeX"/>
  <Override PartName="/xl/comments45.xml" ContentType="application/vnd.openxmlformats-officedocument.spreadsheetml.comments+xml"/>
  <Override PartName="/xl/customProperty136.bin" ContentType="application/vnd.openxmlformats-officedocument.spreadsheetml.customProperty"/>
  <Override PartName="/xl/customProperty137.bin" ContentType="application/vnd.openxmlformats-officedocument.spreadsheetml.customProperty"/>
  <Override PartName="/xl/customProperty138.bin" ContentType="application/vnd.openxmlformats-officedocument.spreadsheetml.customProperty"/>
  <Override PartName="/xl/drawings/drawing33.xml" ContentType="application/vnd.openxmlformats-officedocument.drawing+xml"/>
  <Override PartName="/xl/activeX/activeX32.xml" ContentType="application/vnd.ms-office.activeX+xml"/>
  <Override PartName="/xl/activeX/activeX32.bin" ContentType="application/vnd.ms-office.activeX"/>
  <Override PartName="/xl/comments46.xml" ContentType="application/vnd.openxmlformats-officedocument.spreadsheetml.comments+xml"/>
  <Override PartName="/xl/customProperty139.bin" ContentType="application/vnd.openxmlformats-officedocument.spreadsheetml.customProperty"/>
  <Override PartName="/xl/customProperty140.bin" ContentType="application/vnd.openxmlformats-officedocument.spreadsheetml.customProperty"/>
  <Override PartName="/xl/customProperty141.bin" ContentType="application/vnd.openxmlformats-officedocument.spreadsheetml.customProperty"/>
  <Override PartName="/xl/drawings/drawing34.xml" ContentType="application/vnd.openxmlformats-officedocument.drawing+xml"/>
  <Override PartName="/xl/activeX/activeX33.xml" ContentType="application/vnd.ms-office.activeX+xml"/>
  <Override PartName="/xl/activeX/activeX33.bin" ContentType="application/vnd.ms-office.activeX"/>
  <Override PartName="/xl/comments47.xml" ContentType="application/vnd.openxmlformats-officedocument.spreadsheetml.comments+xml"/>
  <Override PartName="/xl/customProperty142.bin" ContentType="application/vnd.openxmlformats-officedocument.spreadsheetml.customProperty"/>
  <Override PartName="/xl/customProperty143.bin" ContentType="application/vnd.openxmlformats-officedocument.spreadsheetml.customProperty"/>
  <Override PartName="/xl/customProperty144.bin" ContentType="application/vnd.openxmlformats-officedocument.spreadsheetml.customProperty"/>
  <Override PartName="/xl/drawings/drawing35.xml" ContentType="application/vnd.openxmlformats-officedocument.drawing+xml"/>
  <Override PartName="/xl/activeX/activeX34.xml" ContentType="application/vnd.ms-office.activeX+xml"/>
  <Override PartName="/xl/activeX/activeX34.bin" ContentType="application/vnd.ms-office.activeX"/>
  <Override PartName="/xl/comments48.xml" ContentType="application/vnd.openxmlformats-officedocument.spreadsheetml.comments+xml"/>
  <Override PartName="/xl/customProperty145.bin" ContentType="application/vnd.openxmlformats-officedocument.spreadsheetml.customProperty"/>
  <Override PartName="/xl/customProperty146.bin" ContentType="application/vnd.openxmlformats-officedocument.spreadsheetml.customProperty"/>
  <Override PartName="/xl/customProperty147.bin" ContentType="application/vnd.openxmlformats-officedocument.spreadsheetml.customProperty"/>
  <Override PartName="/xl/drawings/drawing36.xml" ContentType="application/vnd.openxmlformats-officedocument.drawing+xml"/>
  <Override PartName="/xl/activeX/activeX35.xml" ContentType="application/vnd.ms-office.activeX+xml"/>
  <Override PartName="/xl/activeX/activeX35.bin" ContentType="application/vnd.ms-office.activeX"/>
  <Override PartName="/xl/comments4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workbookPr codeName="ThisWorkbook" defaultThemeVersion="124226"/>
  <mc:AlternateContent xmlns:mc="http://schemas.openxmlformats.org/markup-compatibility/2006">
    <mc:Choice Requires="x15">
      <x15ac:absPath xmlns:x15ac="http://schemas.microsoft.com/office/spreadsheetml/2010/11/ac" url="C:\Users\hyun.lee\Documents\AM\Covid-19\2020\"/>
    </mc:Choice>
  </mc:AlternateContent>
  <xr:revisionPtr revIDLastSave="0" documentId="8_{C42A695F-2E46-45DD-B2F0-9A549BD1DF4B}" xr6:coauthVersionLast="46" xr6:coauthVersionMax="46" xr10:uidLastSave="{00000000-0000-0000-0000-000000000000}"/>
  <bookViews>
    <workbookView xWindow="28680" yWindow="-120" windowWidth="29040" windowHeight="15840" tabRatio="805" activeTab="1" xr2:uid="{00000000-000D-0000-FFFF-FFFF00000000}"/>
  </bookViews>
  <sheets>
    <sheet name="SetUp" sheetId="5" r:id="rId1"/>
    <sheet name="Summary" sheetId="37" r:id="rId2"/>
    <sheet name="Rooms" sheetId="4" r:id="rId3"/>
    <sheet name="MMA" sheetId="6" r:id="rId4"/>
    <sheet name="Resv" sheetId="7" r:id="rId5"/>
    <sheet name="FB_Cons" sheetId="16" r:id="rId6"/>
    <sheet name="FB_KPI" sheetId="17" r:id="rId7"/>
    <sheet name="Venue1" sheetId="9" r:id="rId8"/>
    <sheet name="Venue1_KPI" sheetId="39" r:id="rId9"/>
    <sheet name="Venue2" sheetId="51" r:id="rId10"/>
    <sheet name="Venue2_KPI" sheetId="55" r:id="rId11"/>
    <sheet name="Venue3" sheetId="52" r:id="rId12"/>
    <sheet name="Venue3_KPI" sheetId="56" r:id="rId13"/>
    <sheet name="Venue4" sheetId="53" r:id="rId14"/>
    <sheet name="Venue4_KPI" sheetId="57" r:id="rId15"/>
    <sheet name="Venue5" sheetId="61" r:id="rId16"/>
    <sheet name="Venue5_KPI" sheetId="62" r:id="rId17"/>
    <sheet name="Venue6" sheetId="63" r:id="rId18"/>
    <sheet name="Venue6_KPI" sheetId="64" r:id="rId19"/>
    <sheet name="VenueBar" sheetId="54" r:id="rId20"/>
    <sheet name="VenueBar_KPI" sheetId="58" r:id="rId21"/>
    <sheet name="IRD" sheetId="11" r:id="rId22"/>
    <sheet name="IRD_KPI" sheetId="59" r:id="rId23"/>
    <sheet name="BCC_CONS" sheetId="65" r:id="rId24"/>
    <sheet name="BCC_CONS_KPI" sheetId="66" r:id="rId25"/>
    <sheet name="BCC_Group" sheetId="67" r:id="rId26"/>
    <sheet name="BCC_KPI_Group" sheetId="68" r:id="rId27"/>
    <sheet name="BCC_Local" sheetId="69" r:id="rId28"/>
    <sheet name="BCC_KPI_Local" sheetId="70" r:id="rId29"/>
    <sheet name="Mini_Bar" sheetId="15" r:id="rId30"/>
    <sheet name="OTH_OP" sheetId="24" r:id="rId31"/>
    <sheet name="Telcom_Legacy" sheetId="18" r:id="rId32"/>
    <sheet name="HC_SPA" sheetId="19" r:id="rId33"/>
    <sheet name="Parking" sheetId="20" r:id="rId34"/>
    <sheet name="Retail" sheetId="21" r:id="rId35"/>
    <sheet name="FB_Retail" sheetId="22" r:id="rId36"/>
    <sheet name="Minor_Op" sheetId="23" r:id="rId37"/>
    <sheet name="MISC_INC" sheetId="25" r:id="rId38"/>
    <sheet name="AG" sheetId="26" r:id="rId39"/>
    <sheet name="HR_Detail" sheetId="27" r:id="rId40"/>
    <sheet name="IT" sheetId="28" r:id="rId41"/>
    <sheet name="SM" sheetId="29" r:id="rId42"/>
    <sheet name="POM" sheetId="30" r:id="rId43"/>
    <sheet name="EC" sheetId="31" r:id="rId44"/>
    <sheet name="Mgt_Fees" sheetId="32" r:id="rId45"/>
    <sheet name="Non_Op" sheetId="33" r:id="rId46"/>
    <sheet name="Laundry" sheetId="34" r:id="rId47"/>
    <sheet name="Dining" sheetId="35" r:id="rId48"/>
    <sheet name="PR_Related" sheetId="36" r:id="rId49"/>
  </sheets>
  <definedNames>
    <definedName name="_epmOfflineCondition_" localSheetId="38" hidden="1">1</definedName>
    <definedName name="_epmOfflineCondition_" localSheetId="23" hidden="1">1</definedName>
    <definedName name="_epmOfflineCondition_" localSheetId="24" hidden="1">1</definedName>
    <definedName name="_epmOfflineCondition_" localSheetId="25" hidden="1">1</definedName>
    <definedName name="_epmOfflineCondition_" localSheetId="26" hidden="1">1</definedName>
    <definedName name="_epmOfflineCondition_" localSheetId="28" hidden="1">1</definedName>
    <definedName name="_epmOfflineCondition_" localSheetId="27" hidden="1">1</definedName>
    <definedName name="_epmOfflineCondition_" localSheetId="47" hidden="1">1</definedName>
    <definedName name="_epmOfflineCondition_" localSheetId="43" hidden="1">1</definedName>
    <definedName name="_epmOfflineCondition_" localSheetId="5" hidden="1">1</definedName>
    <definedName name="_epmOfflineCondition_" localSheetId="6" hidden="1">1</definedName>
    <definedName name="_epmOfflineCondition_" localSheetId="35" hidden="1">1</definedName>
    <definedName name="_epmOfflineCondition_" localSheetId="32" hidden="1">1</definedName>
    <definedName name="_epmOfflineCondition_" localSheetId="39" hidden="1">1</definedName>
    <definedName name="_epmOfflineCondition_" localSheetId="21" hidden="1">1</definedName>
    <definedName name="_epmOfflineCondition_" localSheetId="22" hidden="1">1</definedName>
    <definedName name="_epmOfflineCondition_" localSheetId="40" hidden="1">1</definedName>
    <definedName name="_epmOfflineCondition_" localSheetId="46" hidden="1">1</definedName>
    <definedName name="_epmOfflineCondition_" localSheetId="44" hidden="1">1</definedName>
    <definedName name="_epmOfflineCondition_" localSheetId="29" hidden="1">1</definedName>
    <definedName name="_epmOfflineCondition_" localSheetId="36" hidden="1">1</definedName>
    <definedName name="_epmOfflineCondition_" localSheetId="37" hidden="1">1</definedName>
    <definedName name="_epmOfflineCondition_" localSheetId="3" hidden="1">1</definedName>
    <definedName name="_epmOfflineCondition_" localSheetId="45" hidden="1">1</definedName>
    <definedName name="_epmOfflineCondition_" localSheetId="30" hidden="1">1</definedName>
    <definedName name="_epmOfflineCondition_" localSheetId="33" hidden="1">1</definedName>
    <definedName name="_epmOfflineCondition_" localSheetId="42" hidden="1">1</definedName>
    <definedName name="_epmOfflineCondition_" localSheetId="48" hidden="1">1</definedName>
    <definedName name="_epmOfflineCondition_" localSheetId="4" hidden="1">1</definedName>
    <definedName name="_epmOfflineCondition_" localSheetId="34" hidden="1">1</definedName>
    <definedName name="_epmOfflineCondition_" localSheetId="2" hidden="1">1</definedName>
    <definedName name="_epmOfflineCondition_" localSheetId="0" hidden="1">1</definedName>
    <definedName name="_epmOfflineCondition_" localSheetId="41" hidden="1">1</definedName>
    <definedName name="_epmOfflineCondition_" localSheetId="1" hidden="1">1</definedName>
    <definedName name="_epmOfflineCondition_" localSheetId="31" hidden="1">1</definedName>
    <definedName name="_epmOfflineCondition_" localSheetId="7" hidden="1">1</definedName>
    <definedName name="_epmOfflineCondition_" localSheetId="8" hidden="1">1</definedName>
    <definedName name="_epmOfflineCondition_" localSheetId="9" hidden="1">1</definedName>
    <definedName name="_epmOfflineCondition_" localSheetId="10" hidden="1">1</definedName>
    <definedName name="_epmOfflineCondition_" localSheetId="11" hidden="1">1</definedName>
    <definedName name="_epmOfflineCondition_" localSheetId="12" hidden="1">1</definedName>
    <definedName name="_epmOfflineCondition_" localSheetId="13" hidden="1">1</definedName>
    <definedName name="_epmOfflineCondition_" localSheetId="14" hidden="1">1</definedName>
    <definedName name="_epmOfflineCondition_" localSheetId="15" hidden="1">1</definedName>
    <definedName name="_epmOfflineCondition_" localSheetId="16" hidden="1">1</definedName>
    <definedName name="_epmOfflineCondition_" localSheetId="17" hidden="1">1</definedName>
    <definedName name="_epmOfflineCondition_" localSheetId="18" hidden="1">1</definedName>
    <definedName name="_epmOfflineCondition_" localSheetId="19" hidden="1">1</definedName>
    <definedName name="_epmOfflineCondition_" localSheetId="20" hidden="1">1</definedName>
    <definedName name="EPMWorkbookOptions_1" hidden="1">"dDQAAB+LCAAAAAAABADtW21vokoU/r7J/gfjdwUUX7axbijS1b0qBrB3N83GII51Uhy4w1jbf38HBEWlFlq2orHpCz1z5sx5Hs45wxFofH+em7kngB1ooes8V2TzOYAMawLRw3V+QaYFrpr/3vz6pfGvhR/HlvUo24SqOjk6DzlXz87kOj8jxL5imOVyWVyWixZ+YEosyzG/el3VmIG5nl8rw7eVCxA5REcGyNNVc7mGaCEEDHdNzRIXGANE"</definedName>
    <definedName name="EPMWorkbookOptions_2" hidden="1">"7iBYeoNbwy2d6L6Uyvv6HKyWXS9JwNxeYOitOXQAHmAwBdSeAYoURr45uh30RjcDsady7Ojen/RoWLg0tg3dth3G0W2GHjN/Rvf/wLlNLESPbiFy3aVHU910Nn8bjOvDxiPBtk1o6CH2YnsW2Ni2EhL7gJu+LztLr4ja4y7GEB3sgfkY4CGC/y2AZ/VeEEV52Nf+FO/bHP11I3SFviipbUnSKOg9/T2LbQiwjo3ZS0ipzTWYKPne5BacA+QG"</definedName>
    <definedName name="EPMWorkbookOptions_3" hidden="1">"a0hJMAxrgUiDiRrcwcqkx4MoaNIPWfkdECEOFUXqH4kDUSfgwcIvn01CS9AEVREDDjRZo+HQ+nkcEtwSoGLj0zmQBoKi9aRNTrQq7JEYALaOCZV/ejZ0+pooB/iFbndEBZJCRUfhoYOIaH02BVqnJwUMlFjuW/Gn0D8OfI3KPht9TxLUoSKpFDz9HkhKR251xPfizzHxkAarfgztgZHQQBtOJgCt13EOELZWuoMOHEMTkpfU9zKPONejJsEL"</definedName>
    <definedName name="EPMWorkbookOptions_4" hidden="1">"4EaL988BzG97lQqGJHtRZkEk2EuyiyHRbpBZGLGLeWYRxK3HmQWQpMymD2JL+WAVDoPddFF7lVqdWZtFRcu0sO9rxMChqR76iJlRm4+rQLtVAp7Jrf5kYUioX16ruJq8N7Yzvw0fZib9ISowaccLJsGuCTd2DurE8OcWYoeEAEWP7xhao36d8LhaaWyKYRurM1jgqhWWK9e5kIGoc+vNlfEE4CbbYFYHkdYd29RfBtiyAaaRylWqlSkYTwuV"</definedName>
    <definedName name="EPMWorkbookOptions_5" hidden="1">"6oQv8KXpt0K9AkCB1UGJn4xrfG1cdlfenhVhuKs76xO3umiKYuiNKzNfJfW23bcbdan27MArBM3rvBs4+Ygrt9dPbby5hy5TU6SkxnIcG6txyzIZDSZOHIVS4a+l7c3CgQg4DhV9IHdZlq+zbPzU5c4vdW+Gaqcvqeqw39nk73DEc/WTj9aUKVGkHx25r15YWbFS8lip093vwkg4TniOr586I9mp88n6/YgaXy5XKjzPx6/xpfOr8R+4m+Db"</definedName>
    <definedName name="EPMWorkbookOptions_6" hidden="1">"zGSUpkWHIGpiV1alU+cjO1mb6AOuiKSt1ji2Xq/FT9ry+SXtB+5++TYvQXoITuJPMKMbiGq1XE7QQfBnGKjvvUXpW8xkmKZIRqlyIWNNxkjodk+djuyUsAR3L1L56LJyftXrI88W+EYvQXoITlOxycpV4/1dXPJQrZ5fqCoDbdW5ievWpRvrIQjfYibjNEUyhmrr1NnITtbGv62cSrrWzi9d3/vIlm8wk/GZGhdeO3tho3j/i36dBxvZqV3J"</definedName>
    <definedName name="EPMWorkbookOptions_7" hidden="1">"nihJpX7Vz69+vf+hS9/kuUdpDKUtb15V2tKx5jZ1bPMM0hbOBhP1ksaWNLBNl95/fyUs3H/npaGAKQbOTEayDVDw4M+20NMTTaBj16iMVP0JBJq7Yk83eLmHIiMe54H2/oCn33HudAz1sQl6AD9s1PfkX79sbPhvDjX/B+cgYkl0NAAA"</definedName>
    <definedName name="EV__EVCOM_OPTIONS__" hidden="1">8</definedName>
    <definedName name="EV__EXPOPTIONS__" hidden="1">1</definedName>
    <definedName name="EV__LASTREFTIME__" hidden="1">43507.7052199074</definedName>
    <definedName name="Ev__LimitedCV" localSheetId="38" hidden="1">"Application:FINANCE|Application:FINANCE|Account:GOI|Category:ACTUAL_CON|Datasrc:TOTALADJ|Department:D_AG_CON|Intco:All_InterCo|Rptcurrency:LC|Time:2015.TOTAL|Measures:PERIODIC"</definedName>
    <definedName name="Ev__LimitedCV" localSheetId="24" hidden="1">"Application:FINANCE|Application:FINANCE|Account:GOI|Category:ACTUAL_CON|Datasrc:TOTALADJ|Department:D_REST_OUTLET|Intco:All_InterCo|Rptcurrency:LC|Time:2015.TOTAL|Measures:PERIODIC"</definedName>
    <definedName name="Ev__LimitedCV" localSheetId="25" hidden="1">"Application:FINANCE|Application:FINANCE|Account:GOI|Category:ACTUAL_CON|Datasrc:TOTALADJ|Department:D_BCC_CON|Intco:All_InterCo|Rptcurrency:LC|Time:2015.TOTAL|Measures:PERIODIC"</definedName>
    <definedName name="Ev__LimitedCV" localSheetId="26" hidden="1">"Application:FINANCE|Application:FINANCE|Account:GOI|Category:ACTUAL_CON|Datasrc:TOTALADJ|Department:D_REST_OUTLET|Intco:All_InterCo|Rptcurrency:LC|Time:2015.TOTAL|Measures:PERIODIC"</definedName>
    <definedName name="Ev__LimitedCV" localSheetId="28" hidden="1">"Application:FINANCE|Application:FINANCE|Account:GOI|Category:ACTUAL_CON|Datasrc:TOTALADJ|Department:D_REST_OUTLET|Intco:All_InterCo|Rptcurrency:LC|Time:2015.TOTAL|Measures:PERIODIC"</definedName>
    <definedName name="Ev__LimitedCV" localSheetId="27" hidden="1">"Application:FINANCE|Application:FINANCE|Account:GOI|Category:ACTUAL_CON|Datasrc:TOTALADJ|Department:D_BCC_CON|Intco:All_InterCo|Rptcurrency:LC|Time:2015.TOTAL|Measures:PERIODIC"</definedName>
    <definedName name="Ev__LimitedCV" localSheetId="47" hidden="1">"Application:FINANCE|Application:FINANCE|Account:GOI|Category:ACTUAL_CON|Datasrc:TOTALADJ|Department:D2259|Intco:All_InterCo|Rptcurrency:LC|Time:2015.TOTAL|Measures:PERIODIC"</definedName>
    <definedName name="Ev__LimitedCV" localSheetId="43" hidden="1">"Application:FINANCE|Application:FINANCE|Account:GOI|Category:ACTUAL_CON|Datasrc:TOTALADJ|Department:D_EC_CON|Intco:All_InterCo|Rptcurrency:LC|Time:2015.TOTAL|Measures:PERIODIC"</definedName>
    <definedName name="Ev__LimitedCV" localSheetId="5" hidden="1">"Application:FINANCE|Application:FINANCE|Account:GOI|Category:ACTUAL_CON|Datasrc:TOTALADJ|Department:D_REST_CON|Intco:All_InterCo|Rptcurrency:LC|Time:2015.TOTAL|Measures:PERIODIC"</definedName>
    <definedName name="Ev__LimitedCV" localSheetId="6" hidden="1">"Application:FINANCE|Application:FINANCE|Account:GOI|Category:ACTUAL_CON|Datasrc:TOTALADJ|Department:D_REST_OUTLET|Intco:All_InterCo|Rptcurrency:LC|Time:2015.TOTAL|Measures:PERIODIC"</definedName>
    <definedName name="Ev__LimitedCV" localSheetId="35" hidden="1">"Application:FINANCE|Application:FINANCE|Account:GOI|Category:ACTUAL_CON|Datasrc:TOTALADJ|Department:D2149|Intco:All_InterCo|Rptcurrency:LC|Time:2015.TOTAL|Measures:PERIODIC"</definedName>
    <definedName name="Ev__LimitedCV" localSheetId="32" hidden="1">"Application:FINANCE|Application:FINANCE|Account:GOI|Category:ACTUAL_CON|Datasrc:TOTALADJ|Department:D1132|Intco:All_InterCo|Rptcurrency:LC|Time:2015.TOTAL|Measures:PERIODIC"</definedName>
    <definedName name="Ev__LimitedCV" localSheetId="39" hidden="1">"Application:FINANCE|Application:FINANCE|Account:GOI|Category:ACTUAL_CON|Datasrc:TOTALADJ|Department:D_AGHR|Intco:All_InterCo|Rptcurrency:LC|Time:2015.TOTAL|Measures:PERIODIC"</definedName>
    <definedName name="Ev__LimitedCV" localSheetId="21" hidden="1">"Application:FINANCE|Application:FINANCE|Account:GOI|Category:ACTUAL_CON|Datasrc:TOTALADJ|Department:D_RS_CON|Intco:All_InterCo|Rptcurrency:LC|Time:2015.TOTAL|Measures:PERIODIC"</definedName>
    <definedName name="Ev__LimitedCV" localSheetId="22" hidden="1">"Application:FINANCE|Application:FINANCE|Account:GOI|Category:ACTUAL_CON|Datasrc:TOTALADJ|Department:D_REST_OUTLET|Intco:All_InterCo|Rptcurrency:LC|Time:2015.TOTAL|Measures:PERIODIC"</definedName>
    <definedName name="Ev__LimitedCV" localSheetId="40" hidden="1">"Application:FINANCE|Application:FINANCE|Account:GOI|Category:ACTUAL_CON|Datasrc:TOTALADJ|Department:D_IT_CON|Intco:All_InterCo|Rptcurrency:LC|Time:2015.TOTAL|Measures:PERIODIC"</definedName>
    <definedName name="Ev__LimitedCV" localSheetId="46" hidden="1">"Application:FINANCE|Application:FINANCE|Account:GOI|Category:ACTUAL_CON|Datasrc:TOTALADJ|Department:D1228|Intco:All_InterCo|Rptcurrency:LC|Time:2015.TOTAL|Measures:PERIODIC"</definedName>
    <definedName name="Ev__LimitedCV" localSheetId="44" hidden="1">"Application:FINANCE|Application:FINANCE|Account:GOI|Category:ACTUAL_CON|Datasrc:TOTALADJ|Department:D_MGMT_CON|Intco:All_InterCo|Rptcurrency:LC|Time:2015.TOTAL|Measures:PERIODIC"</definedName>
    <definedName name="Ev__LimitedCV" localSheetId="29" hidden="1">"Application:FINANCE|Application:FINANCE|Account:GOI|Category:ACTUAL_CON|Datasrc:TOTALADJ|Department:D1149|Intco:All_InterCo|Rptcurrency:LC|Time:2015.TOTAL|Measures:PERIODIC"</definedName>
    <definedName name="Ev__LimitedCV" localSheetId="36" hidden="1">"Application:FINANCE|Application:FINANCE|Account:GOI|Category:ACTUAL_CON|Datasrc:TOTALADJ|Department:D1138|Intco:All_InterCo|Rptcurrency:LC|Time:2015.TOTAL|Measures:PERIODIC"</definedName>
    <definedName name="Ev__LimitedCV" localSheetId="37" hidden="1">"Application:FINANCE|Application:FINANCE|Account:GOI|Category:ACTUAL_CON|Datasrc:TOTALADJ|Department:D_ROI_CON|Intco:All_InterCo|Rptcurrency:LC|Time:2015.TOTAL|Measures:PERIODIC"</definedName>
    <definedName name="Ev__LimitedCV" localSheetId="3" hidden="1">"Application:FINANCE|Application:FINANCE|Account:GOI|Category:ACTUAL_CON|Datasrc:TOTALADJ|Department:D_ROOMS_CON|Intco:All_InterCo|Rptcurrency:LC|Time:2015.TOTAL|Measures:PERIODIC"</definedName>
    <definedName name="Ev__LimitedCV" localSheetId="45" hidden="1">"Application:FINANCE|Application:FINANCE|Account:GOI|Category:ACTUAL_CON|Datasrc:TOTALADJ|Department:D_FIXED|Intco:All_InterCo|Rptcurrency:LC|Time:2015.TOTAL|Measures:PERIODIC"</definedName>
    <definedName name="Ev__LimitedCV" localSheetId="30" hidden="1">"Application:FINANCE|Application:FINANCE|Account:GOI|Category:ACTUAL_CON|Datasrc:TOTALADJ|Department:D_OTHER_CON|Intco:All_InterCo|Rptcurrency:LC|Time:2015.TOTAL|Measures:PERIODIC"</definedName>
    <definedName name="Ev__LimitedCV" localSheetId="33" hidden="1">"Application:FINANCE|Application:FINANCE|Account:GOI|Category:ACTUAL_CON|Datasrc:TOTALADJ|Department:D1133|Intco:All_InterCo|Rptcurrency:LC|Time:2015.TOTAL|Measures:PERIODIC"</definedName>
    <definedName name="Ev__LimitedCV" localSheetId="42" hidden="1">"Application:FINANCE|Application:FINANCE|Account:GOI|Category:ACTUAL_CON|Datasrc:TOTALADJ|Department:D_PM_CON|Intco:All_InterCo|Rptcurrency:LC|Time:2015.TOTAL|Measures:PERIODIC"</definedName>
    <definedName name="Ev__LimitedCV" localSheetId="48" hidden="1">"Application:FINANCE|Application:FINANCE|Account:GOI|Category:ACTUAL_CON|Datasrc:TOTALADJ|Department:D_CON|Intco:All_InterCo|Rptcurrency:LC|Time:2015.TOTAL|Measures:PERIODIC"</definedName>
    <definedName name="Ev__LimitedCV" localSheetId="4" hidden="1">"Application:FINANCE|Application:FINANCE|Account:GOI|Category:ACTUAL_CON|Datasrc:TOTALADJ|Department:D_RESV_CON|Intco:All_InterCo|Rptcurrency:LC|Time:2015.TOTAL|Measures:PERIODIC"</definedName>
    <definedName name="Ev__LimitedCV" localSheetId="34" hidden="1">"Application:FINANCE|Application:FINANCE|Account:GOI|Category:ACTUAL_CON|Datasrc:TOTALADJ|Department:D1136|Intco:All_InterCo|Rptcurrency:LC|Time:2015.TOTAL|Measures:PERIODIC"</definedName>
    <definedName name="Ev__LimitedCV" localSheetId="2" hidden="1">"Application:FINANCE|Application:FINANCE|Account:GOI|Category:ACTUAL_CON|Datasrc:TOTALADJ|Department:D_ROOMS_CON|Intco:All_InterCo|Rptcurrency:LC|Time:2015.TOTAL|Measures:PERIODIC"</definedName>
    <definedName name="Ev__LimitedCV" localSheetId="0" hidden="1">"Application:FINANCE|Application:FINANCE|Account:GOI|Category:CURRENT|Datasrc:TOTALADJ|Department:D_CON|Intco:All_InterCo|Time:2015.TOTAL|Measures:PERIODIC"</definedName>
    <definedName name="Ev__LimitedCV" localSheetId="41" hidden="1">"Application:FINANCE|Application:FINANCE|Account:GOI|Category:ACTUAL_CON|Datasrc:TOTALADJ|Department:D_SM_CON|Intco:All_InterCo|Rptcurrency:LC|Time:2015.TOTAL|Measures:PERIODIC"</definedName>
    <definedName name="Ev__LimitedCV" localSheetId="1" hidden="1">"Application:FINANCE|Application:FINANCE|Account:GOI|Category:ACTUAL_CON|Datasrc:TOTALADJ|Department:D_CON|Intco:All_InterCo|Rptcurrency:LC|Time:2015.TOTAL|Measures:PERIODIC"</definedName>
    <definedName name="Ev__LimitedCV" localSheetId="31" hidden="1">"Application:FINANCE|Application:FINANCE|Account:GOI|Category:ACTUAL_CON|Datasrc:TOTALADJ|Department:D_TELCOM|Intco:All_InterCo|Rptcurrency:LC|Time:2015.TOTAL|Measures:PERIODIC"</definedName>
    <definedName name="Ev__LimitedCV" localSheetId="7" hidden="1">"Application:FINANCE|Application:FINANCE|Account:GOI|Category:ACTUAL_CON|Datasrc:TOTALADJ|Department:D_REST_OUTLET|Intco:All_InterCo|Rptcurrency:LC|Time:2015.TOTAL|Measures:PERIODIC"</definedName>
    <definedName name="Ev__LimitedCV" localSheetId="8" hidden="1">"Application:FINANCE|Application:FINANCE|Account:GOI|Category:ACTUAL_CON|Datasrc:TOTALADJ|Department:D_REST_OUTLET|Intco:All_InterCo|Rptcurrency:LC|Time:2015.TOTAL|Measures:PERIODIC"</definedName>
    <definedName name="Ev__LimitedCV" localSheetId="9" hidden="1">"Application:FINANCE|Application:FINANCE|Account:GOI|Category:ACTUAL_CON|Datasrc:TOTALADJ|Department:D_REST_OUTLET|Intco:All_InterCo|Rptcurrency:LC|Time:2015.TOTAL|Measures:PERIODIC"</definedName>
    <definedName name="Ev__LimitedCV" localSheetId="10" hidden="1">"Application:FINANCE|Application:FINANCE|Account:GOI|Category:ACTUAL_CON|Datasrc:TOTALADJ|Department:D_REST_OUTLET|Intco:All_InterCo|Rptcurrency:LC|Time:2015.TOTAL|Measures:PERIODIC"</definedName>
    <definedName name="Ev__LimitedCV" localSheetId="11" hidden="1">"Application:FINANCE|Application:FINANCE|Account:GOI|Category:ACTUAL_CON|Datasrc:TOTALADJ|Department:D_REST_OUTLET|Intco:All_InterCo|Rptcurrency:LC|Time:2015.TOTAL|Measures:PERIODIC"</definedName>
    <definedName name="Ev__LimitedCV" localSheetId="12" hidden="1">"Application:FINANCE|Application:FINANCE|Account:GOI|Category:ACTUAL_CON|Datasrc:TOTALADJ|Department:D_REST_OUTLET|Intco:All_InterCo|Rptcurrency:LC|Time:2015.TOTAL|Measures:PERIODIC"</definedName>
    <definedName name="Ev__LimitedCV" localSheetId="13" hidden="1">"Application:FINANCE|Application:FINANCE|Account:GOI|Category:ACTUAL_CON|Datasrc:TOTALADJ|Department:D_REST_OUTLET|Intco:All_InterCo|Rptcurrency:LC|Time:2015.TOTAL|Measures:PERIODIC"</definedName>
    <definedName name="Ev__LimitedCV" localSheetId="14" hidden="1">"Application:FINANCE|Application:FINANCE|Account:GOI|Category:ACTUAL_CON|Datasrc:TOTALADJ|Department:D_REST_OUTLET|Intco:All_InterCo|Rptcurrency:LC|Time:2015.TOTAL|Measures:PERIODIC"</definedName>
    <definedName name="Ev__LimitedCV" localSheetId="15" hidden="1">"Application:FINANCE|Application:FINANCE|Account:GOI|Category:ACTUAL_CON|Datasrc:TOTALADJ|Department:D_REST_OUTLET|Intco:All_InterCo|Rptcurrency:LC|Time:2015.TOTAL|Measures:PERIODIC"</definedName>
    <definedName name="Ev__LimitedCV" localSheetId="16" hidden="1">"Application:FINANCE|Application:FINANCE|Account:GOI|Category:ACTUAL_CON|Datasrc:TOTALADJ|Department:D_REST_OUTLET|Intco:All_InterCo|Rptcurrency:LC|Time:2015.TOTAL|Measures:PERIODIC"</definedName>
    <definedName name="Ev__LimitedCV" localSheetId="17" hidden="1">"Application:FINANCE|Application:FINANCE|Account:GOI|Category:ACTUAL_CON|Datasrc:TOTALADJ|Department:D_REST_OUTLET|Intco:All_InterCo|Rptcurrency:LC|Time:2015.TOTAL|Measures:PERIODIC"</definedName>
    <definedName name="Ev__LimitedCV" localSheetId="18" hidden="1">"Application:FINANCE|Application:FINANCE|Account:GOI|Category:ACTUAL_CON|Datasrc:TOTALADJ|Department:D_REST_OUTLET|Intco:All_InterCo|Rptcurrency:LC|Time:2015.TOTAL|Measures:PERIODIC"</definedName>
    <definedName name="Ev__LimitedCV" localSheetId="19" hidden="1">"Application:FINANCE|Application:FINANCE|Account:GOI|Category:ACTUAL_CON|Datasrc:TOTALADJ|Department:D_REST_OUTLET|Intco:All_InterCo|Rptcurrency:LC|Time:2015.TOTAL|Measures:PERIODIC"</definedName>
    <definedName name="Ev__LimitedCV" localSheetId="20" hidden="1">"Application:FINANCE|Application:FINANCE|Account:GOI|Category:ACTUAL_CON|Datasrc:TOTALADJ|Department:D_REST_OUTLET|Intco:All_InterCo|Rptcurrency:LC|Time:2015.TOTAL|Measures:PERIODIC"</definedName>
    <definedName name="EV__LOCKEDCVW__Finance" hidden="1">"BalanceSheet,BU1334,CURRENT,TOTALADJ,D50,All_InterCo,LC,2019.JAN,Periodic"</definedName>
    <definedName name="EV__LOCKSTATUS__" hidden="1">4</definedName>
    <definedName name="EV__MAXEXPCOLS__" hidden="1">100</definedName>
    <definedName name="EV__MAXEXPROWS__" hidden="1">1000</definedName>
    <definedName name="EV__MEMORYCVW__" hidden="1">1</definedName>
    <definedName name="EV__MEMORYCVW__INFO" hidden="1">"FINANCE"</definedName>
    <definedName name="EV__WBEVMODE__" hidden="1">0</definedName>
    <definedName name="EV__WBREFOPTIONS__" hidden="1">134217728</definedName>
    <definedName name="EV__WBVERSION__" hidden="1">0</definedName>
    <definedName name="MEWarning" hidden="1">1</definedName>
    <definedName name="_xlnm.Print_Area" localSheetId="38">AG!$N$25:$AI$77</definedName>
    <definedName name="_xlnm.Print_Area" localSheetId="23">BCC_CONS!$A$1:$AI$105</definedName>
    <definedName name="_xlnm.Print_Area" localSheetId="24">BCC_CONS_KPI!$N$25:$AI$137</definedName>
    <definedName name="_xlnm.Print_Area" localSheetId="25">BCC_Group!$N$25:$AI$57</definedName>
    <definedName name="_xlnm.Print_Area" localSheetId="26">BCC_KPI_Group!$N$25:$AI$117</definedName>
    <definedName name="_xlnm.Print_Area" localSheetId="28">BCC_KPI_Local!$N$25:$AI$114</definedName>
    <definedName name="_xlnm.Print_Area" localSheetId="27">BCC_Local!$N$25:$AI$56</definedName>
    <definedName name="_xlnm.Print_Area" localSheetId="47">Dining!$N$25:$AI$59</definedName>
    <definedName name="_xlnm.Print_Area" localSheetId="43">EC!$N$25:$AI$37</definedName>
    <definedName name="_xlnm.Print_Area" localSheetId="5">FB_Cons!$N$25:$AI$120</definedName>
    <definedName name="_xlnm.Print_Area" localSheetId="6">FB_KPI!$N$25:$AI$171</definedName>
    <definedName name="_xlnm.Print_Area" localSheetId="35">FB_Retail!$N$25:$AI$72</definedName>
    <definedName name="_xlnm.Print_Area" localSheetId="32">HC_SPA!$N$25:$AI$67</definedName>
    <definedName name="_xlnm.Print_Area" localSheetId="39">HR_Detail!$N$25:$AI$46</definedName>
    <definedName name="_xlnm.Print_Area" localSheetId="21">IRD!$N$25:$AI$92</definedName>
    <definedName name="_xlnm.Print_Area" localSheetId="22">IRD_KPI!$N$25:$AI$141</definedName>
    <definedName name="_xlnm.Print_Area" localSheetId="40">IT!$N$25:$AI$64</definedName>
    <definedName name="_xlnm.Print_Area" localSheetId="46">Laundry!$N$25:$AI$60</definedName>
    <definedName name="_xlnm.Print_Area" localSheetId="44">Mgt_Fees!$N$25:$AI$36</definedName>
    <definedName name="_xlnm.Print_Area" localSheetId="29">Mini_Bar!$N$25:$AI$73</definedName>
    <definedName name="_xlnm.Print_Area" localSheetId="36">Minor_Op!$N$25:$AI$98</definedName>
    <definedName name="_xlnm.Print_Area" localSheetId="37">MISC_INC!$N$25:$AI$52</definedName>
    <definedName name="_xlnm.Print_Area" localSheetId="3">MMA!$N$25:$AI$152</definedName>
    <definedName name="_xlnm.Print_Area" localSheetId="45">Non_Op!$N$25:$AI$66</definedName>
    <definedName name="_xlnm.Print_Area" localSheetId="30">OTH_OP!$M$25:$AH$60</definedName>
    <definedName name="_xlnm.Print_Area" localSheetId="33">Parking!$N$25:$AI$68</definedName>
    <definedName name="_xlnm.Print_Area" localSheetId="42">POM!$N$25:$AI$75</definedName>
    <definedName name="_xlnm.Print_Area" localSheetId="48">PR_Related!$N$25:$AI$63</definedName>
    <definedName name="_xlnm.Print_Area" localSheetId="4">Resv!$N$25:$AI$74</definedName>
    <definedName name="_xlnm.Print_Area" localSheetId="34">Retail!$N$25:$AI$74</definedName>
    <definedName name="_xlnm.Print_Area" localSheetId="2">Rooms!$N$25:$AI$100</definedName>
    <definedName name="_xlnm.Print_Area" localSheetId="41">SM!$N$25:$AI$75</definedName>
    <definedName name="_xlnm.Print_Area" localSheetId="1">Summary!$M$25:$AH$113</definedName>
    <definedName name="_xlnm.Print_Area" localSheetId="31">Telcom_Legacy!$N$25:$AI$64</definedName>
    <definedName name="_xlnm.Print_Area" localSheetId="7">Venue1!$N$25:$AI$119</definedName>
    <definedName name="_xlnm.Print_Area" localSheetId="8">Venue1_KPI!$N$25:$AI$141</definedName>
    <definedName name="_xlnm.Print_Area" localSheetId="9">Venue2!$N$25:$AI$106</definedName>
    <definedName name="_xlnm.Print_Area" localSheetId="10">Venue2_KPI!$N$25:$AI$141</definedName>
    <definedName name="_xlnm.Print_Area" localSheetId="11">Venue3!$N$25:$AI$88</definedName>
    <definedName name="_xlnm.Print_Area" localSheetId="12">Venue3_KPI!$N$25:$AI$141</definedName>
    <definedName name="_xlnm.Print_Area" localSheetId="13">Venue4!$N$25:$AI$88</definedName>
    <definedName name="_xlnm.Print_Area" localSheetId="14">Venue4_KPI!$N$25:$AI$141</definedName>
    <definedName name="_xlnm.Print_Area" localSheetId="15">Venue5!$N$25:$AI$88</definedName>
    <definedName name="_xlnm.Print_Area" localSheetId="16">Venue5_KPI!$N$25:$AI$141</definedName>
    <definedName name="_xlnm.Print_Area" localSheetId="17">Venue6!$N$25:$AI$88</definedName>
    <definedName name="_xlnm.Print_Area" localSheetId="18">Venue6_KPI!$N$25:$AI$141</definedName>
    <definedName name="_xlnm.Print_Area" localSheetId="19">VenueBar!$N$25:$AI$118</definedName>
    <definedName name="_xlnm.Print_Area" localSheetId="20">VenueBar_KPI!$N$25:$AI$141</definedName>
    <definedName name="_xlnm.Print_Titles" localSheetId="38">AG!$25:$32</definedName>
    <definedName name="_xlnm.Print_Titles" localSheetId="24">BCC_CONS_KPI!$25:$32</definedName>
    <definedName name="_xlnm.Print_Titles" localSheetId="25">BCC_Group!$25:$32</definedName>
    <definedName name="_xlnm.Print_Titles" localSheetId="26">BCC_KPI_Group!$25:$32</definedName>
    <definedName name="_xlnm.Print_Titles" localSheetId="28">BCC_KPI_Local!$25:$32</definedName>
    <definedName name="_xlnm.Print_Titles" localSheetId="27">BCC_Local!$25:$32</definedName>
    <definedName name="_xlnm.Print_Titles" localSheetId="47">Dining!$25:$32</definedName>
    <definedName name="_xlnm.Print_Titles" localSheetId="43">EC!$25:$32</definedName>
    <definedName name="_xlnm.Print_Titles" localSheetId="5">FB_Cons!$25:$32</definedName>
    <definedName name="_xlnm.Print_Titles" localSheetId="6">FB_KPI!$25:$32</definedName>
    <definedName name="_xlnm.Print_Titles" localSheetId="35">FB_Retail!$25:$32</definedName>
    <definedName name="_xlnm.Print_Titles" localSheetId="32">HC_SPA!$25:$32</definedName>
    <definedName name="_xlnm.Print_Titles" localSheetId="39">HR_Detail!$25:$32</definedName>
    <definedName name="_xlnm.Print_Titles" localSheetId="21">IRD!$25:$32</definedName>
    <definedName name="_xlnm.Print_Titles" localSheetId="22">IRD_KPI!$25:$32</definedName>
    <definedName name="_xlnm.Print_Titles" localSheetId="40">IT!$25:$32</definedName>
    <definedName name="_xlnm.Print_Titles" localSheetId="46">Laundry!$25:$32</definedName>
    <definedName name="_xlnm.Print_Titles" localSheetId="44">Mgt_Fees!$25:$32</definedName>
    <definedName name="_xlnm.Print_Titles" localSheetId="29">Mini_Bar!$25:$32</definedName>
    <definedName name="_xlnm.Print_Titles" localSheetId="36">Minor_Op!$25:$32</definedName>
    <definedName name="_xlnm.Print_Titles" localSheetId="37">MISC_INC!$25:$32</definedName>
    <definedName name="_xlnm.Print_Titles" localSheetId="3">MMA!$25:$32</definedName>
    <definedName name="_xlnm.Print_Titles" localSheetId="45">Non_Op!$25:$32</definedName>
    <definedName name="_xlnm.Print_Titles" localSheetId="30">OTH_OP!$25:$32</definedName>
    <definedName name="_xlnm.Print_Titles" localSheetId="33">Parking!$25:$32</definedName>
    <definedName name="_xlnm.Print_Titles" localSheetId="42">POM!$25:$32</definedName>
    <definedName name="_xlnm.Print_Titles" localSheetId="48">PR_Related!$25:$32</definedName>
    <definedName name="_xlnm.Print_Titles" localSheetId="4">Resv!$25:$32</definedName>
    <definedName name="_xlnm.Print_Titles" localSheetId="34">Retail!$25:$32</definedName>
    <definedName name="_xlnm.Print_Titles" localSheetId="2">Rooms!$25:$32</definedName>
    <definedName name="_xlnm.Print_Titles" localSheetId="41">SM!$25:$32</definedName>
    <definedName name="_xlnm.Print_Titles" localSheetId="1">Summary!$25:$32</definedName>
    <definedName name="_xlnm.Print_Titles" localSheetId="31">Telcom_Legacy!$25:$32</definedName>
    <definedName name="_xlnm.Print_Titles" localSheetId="7">Venue1!$25:$32</definedName>
    <definedName name="_xlnm.Print_Titles" localSheetId="8">Venue1_KPI!$25:$32</definedName>
    <definedName name="_xlnm.Print_Titles" localSheetId="9">Venue2!$25:$32</definedName>
    <definedName name="_xlnm.Print_Titles" localSheetId="10">Venue2_KPI!$25:$32</definedName>
    <definedName name="_xlnm.Print_Titles" localSheetId="11">Venue3!$25:$32</definedName>
    <definedName name="_xlnm.Print_Titles" localSheetId="12">Venue3_KPI!$25:$32</definedName>
    <definedName name="_xlnm.Print_Titles" localSheetId="13">Venue4!$25:$32</definedName>
    <definedName name="_xlnm.Print_Titles" localSheetId="14">Venue4_KPI!$25:$32</definedName>
    <definedName name="_xlnm.Print_Titles" localSheetId="15">Venue5!$25:$32</definedName>
    <definedName name="_xlnm.Print_Titles" localSheetId="16">Venue5_KPI!$25:$32</definedName>
    <definedName name="_xlnm.Print_Titles" localSheetId="17">Venue6!$25:$32</definedName>
    <definedName name="_xlnm.Print_Titles" localSheetId="18">Venue6_KPI!$25:$32</definedName>
    <definedName name="_xlnm.Print_Titles" localSheetId="19">VenueBar!$25:$32</definedName>
    <definedName name="_xlnm.Print_Titles" localSheetId="20">VenueBar_KPI!$25:$32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66" i="36" l="1"/>
  <c r="AD66" i="36"/>
  <c r="O66" i="36"/>
  <c r="P66" i="36"/>
  <c r="Q66" i="36"/>
  <c r="R66" i="36"/>
  <c r="S66" i="36"/>
  <c r="T66" i="36"/>
  <c r="U66" i="36"/>
  <c r="V66" i="36"/>
  <c r="W66" i="36"/>
  <c r="X66" i="36"/>
  <c r="Y66" i="36"/>
  <c r="Z66" i="36"/>
  <c r="N63" i="36"/>
  <c r="N66" i="36" s="1"/>
  <c r="N64" i="36"/>
  <c r="AH64" i="36"/>
  <c r="AE64" i="36"/>
  <c r="AA63" i="36"/>
  <c r="I63" i="36"/>
  <c r="J63" i="36"/>
  <c r="I64" i="36"/>
  <c r="AA64" i="36" s="1"/>
  <c r="J64" i="36"/>
  <c r="AE52" i="36"/>
  <c r="AA58" i="36"/>
  <c r="AF58" i="36" s="1"/>
  <c r="I52" i="36"/>
  <c r="K52" i="36" s="1"/>
  <c r="J52" i="36"/>
  <c r="L52" i="36"/>
  <c r="M52" i="36"/>
  <c r="N52" i="36"/>
  <c r="I53" i="36"/>
  <c r="AA53" i="36" s="1"/>
  <c r="J53" i="36"/>
  <c r="K53" i="36"/>
  <c r="L53" i="36"/>
  <c r="M53" i="36"/>
  <c r="N53" i="36"/>
  <c r="I54" i="36"/>
  <c r="J54" i="36"/>
  <c r="L54" i="36"/>
  <c r="M54" i="36"/>
  <c r="N54" i="36"/>
  <c r="I55" i="36"/>
  <c r="AA55" i="36" s="1"/>
  <c r="J55" i="36"/>
  <c r="L55" i="36"/>
  <c r="M55" i="36"/>
  <c r="N55" i="36"/>
  <c r="I56" i="36"/>
  <c r="K56" i="36" s="1"/>
  <c r="J56" i="36"/>
  <c r="L56" i="36"/>
  <c r="M56" i="36"/>
  <c r="N56" i="36"/>
  <c r="I57" i="36"/>
  <c r="AA57" i="36" s="1"/>
  <c r="J57" i="36"/>
  <c r="L57" i="36"/>
  <c r="M57" i="36"/>
  <c r="N57" i="36"/>
  <c r="I58" i="36"/>
  <c r="K58" i="36" s="1"/>
  <c r="J58" i="36"/>
  <c r="L58" i="36"/>
  <c r="M58" i="36"/>
  <c r="N58" i="36"/>
  <c r="I59" i="36"/>
  <c r="AA59" i="36" s="1"/>
  <c r="J59" i="36"/>
  <c r="L59" i="36"/>
  <c r="M59" i="36"/>
  <c r="N59" i="36"/>
  <c r="I60" i="36"/>
  <c r="K60" i="36" s="1"/>
  <c r="J60" i="36"/>
  <c r="L60" i="36"/>
  <c r="M60" i="36"/>
  <c r="N60" i="36"/>
  <c r="I61" i="36"/>
  <c r="AA61" i="36" s="1"/>
  <c r="J61" i="36"/>
  <c r="L61" i="36"/>
  <c r="M61" i="36"/>
  <c r="N61" i="36"/>
  <c r="AH45" i="36"/>
  <c r="AK45" i="36"/>
  <c r="AK49" i="36"/>
  <c r="AE43" i="36"/>
  <c r="AE44" i="36"/>
  <c r="AE45" i="36"/>
  <c r="AE47" i="36"/>
  <c r="AA46" i="36"/>
  <c r="AI46" i="36" s="1"/>
  <c r="AA48" i="36"/>
  <c r="I43" i="36"/>
  <c r="AA43" i="36" s="1"/>
  <c r="AI43" i="36" s="1"/>
  <c r="J43" i="36"/>
  <c r="L43" i="36"/>
  <c r="M43" i="36"/>
  <c r="N43" i="36"/>
  <c r="I44" i="36"/>
  <c r="AA44" i="36" s="1"/>
  <c r="J44" i="36"/>
  <c r="K44" i="36"/>
  <c r="L44" i="36"/>
  <c r="M44" i="36"/>
  <c r="N44" i="36"/>
  <c r="I45" i="36"/>
  <c r="J45" i="36"/>
  <c r="L45" i="36"/>
  <c r="M45" i="36"/>
  <c r="N45" i="36"/>
  <c r="I46" i="36"/>
  <c r="K46" i="36" s="1"/>
  <c r="J46" i="36"/>
  <c r="L46" i="36"/>
  <c r="M46" i="36"/>
  <c r="N46" i="36"/>
  <c r="I47" i="36"/>
  <c r="AA47" i="36" s="1"/>
  <c r="J47" i="36"/>
  <c r="L47" i="36"/>
  <c r="M47" i="36"/>
  <c r="N47" i="36"/>
  <c r="I48" i="36"/>
  <c r="K48" i="36" s="1"/>
  <c r="J48" i="36"/>
  <c r="L48" i="36"/>
  <c r="M48" i="36"/>
  <c r="N48" i="36"/>
  <c r="I49" i="36"/>
  <c r="J49" i="36"/>
  <c r="L49" i="36"/>
  <c r="M49" i="36"/>
  <c r="N49" i="36"/>
  <c r="AK36" i="36"/>
  <c r="AH37" i="36"/>
  <c r="AK40" i="36"/>
  <c r="AE39" i="36"/>
  <c r="AA37" i="36"/>
  <c r="I35" i="36"/>
  <c r="J35" i="36"/>
  <c r="L35" i="36"/>
  <c r="M35" i="36"/>
  <c r="N35" i="36"/>
  <c r="I36" i="36"/>
  <c r="AA36" i="36" s="1"/>
  <c r="J36" i="36"/>
  <c r="K36" i="36"/>
  <c r="L36" i="36"/>
  <c r="M36" i="36"/>
  <c r="N36" i="36"/>
  <c r="I37" i="36"/>
  <c r="K37" i="36" s="1"/>
  <c r="J37" i="36"/>
  <c r="L37" i="36"/>
  <c r="M37" i="36"/>
  <c r="N37" i="36"/>
  <c r="I38" i="36"/>
  <c r="AA38" i="36" s="1"/>
  <c r="J38" i="36"/>
  <c r="K38" i="36"/>
  <c r="L38" i="36"/>
  <c r="M38" i="36"/>
  <c r="N38" i="36"/>
  <c r="I39" i="36"/>
  <c r="J39" i="36"/>
  <c r="L39" i="36"/>
  <c r="M39" i="36"/>
  <c r="N39" i="36"/>
  <c r="I40" i="36"/>
  <c r="AA40" i="36" s="1"/>
  <c r="J40" i="36"/>
  <c r="L40" i="36"/>
  <c r="M40" i="36"/>
  <c r="N40" i="36"/>
  <c r="N33" i="36"/>
  <c r="I33" i="36"/>
  <c r="J33" i="36"/>
  <c r="AG32" i="36"/>
  <c r="AL32" i="36" s="1"/>
  <c r="AD32" i="36"/>
  <c r="AK32" i="36" s="1"/>
  <c r="O32" i="36"/>
  <c r="P32" i="36"/>
  <c r="Q32" i="36"/>
  <c r="R32" i="36"/>
  <c r="S32" i="36"/>
  <c r="T32" i="36"/>
  <c r="U32" i="36"/>
  <c r="V32" i="36"/>
  <c r="W32" i="36"/>
  <c r="X32" i="36"/>
  <c r="Y32" i="36"/>
  <c r="Z32" i="36"/>
  <c r="AJ32" i="36" s="1"/>
  <c r="AJ31" i="36"/>
  <c r="AK31" i="36"/>
  <c r="AL31" i="36"/>
  <c r="AM31" i="36"/>
  <c r="AN31" i="36"/>
  <c r="AG31" i="36"/>
  <c r="AD31" i="36"/>
  <c r="O31" i="36"/>
  <c r="P31" i="36"/>
  <c r="Q31" i="36"/>
  <c r="R31" i="36"/>
  <c r="S31" i="36"/>
  <c r="T31" i="36"/>
  <c r="U31" i="36"/>
  <c r="V31" i="36"/>
  <c r="W31" i="36"/>
  <c r="X31" i="36"/>
  <c r="Y31" i="36"/>
  <c r="Z31" i="36"/>
  <c r="AA31" i="36"/>
  <c r="N26" i="36"/>
  <c r="N27" i="36"/>
  <c r="N28" i="36"/>
  <c r="N29" i="36"/>
  <c r="B22" i="36"/>
  <c r="B23" i="36"/>
  <c r="AG16" i="36"/>
  <c r="AG19" i="36"/>
  <c r="AH56" i="36" s="1"/>
  <c r="AG20" i="36"/>
  <c r="AD19" i="36"/>
  <c r="AE63" i="36" s="1"/>
  <c r="AD20" i="36"/>
  <c r="AK59" i="36" s="1"/>
  <c r="N19" i="36"/>
  <c r="O19" i="36"/>
  <c r="P19" i="36"/>
  <c r="Q19" i="36"/>
  <c r="R19" i="36"/>
  <c r="S19" i="36"/>
  <c r="T19" i="36"/>
  <c r="U19" i="36"/>
  <c r="V19" i="36"/>
  <c r="W19" i="36"/>
  <c r="X19" i="36"/>
  <c r="Y19" i="36"/>
  <c r="Z19" i="36"/>
  <c r="N20" i="36"/>
  <c r="O20" i="36"/>
  <c r="P20" i="36"/>
  <c r="Q20" i="36"/>
  <c r="R20" i="36"/>
  <c r="S20" i="36"/>
  <c r="T20" i="36"/>
  <c r="U20" i="36"/>
  <c r="V20" i="36"/>
  <c r="W20" i="36"/>
  <c r="X20" i="36"/>
  <c r="Y20" i="36"/>
  <c r="Z20" i="36"/>
  <c r="B17" i="36"/>
  <c r="B18" i="36"/>
  <c r="B19" i="36"/>
  <c r="O17" i="36"/>
  <c r="P17" i="36"/>
  <c r="Q17" i="36"/>
  <c r="R17" i="36"/>
  <c r="S17" i="36"/>
  <c r="T17" i="36"/>
  <c r="U17" i="36"/>
  <c r="V17" i="36"/>
  <c r="W17" i="36"/>
  <c r="X17" i="36"/>
  <c r="Y17" i="36"/>
  <c r="Z17" i="36"/>
  <c r="O16" i="36"/>
  <c r="P16" i="36"/>
  <c r="Q16" i="36"/>
  <c r="R16" i="36"/>
  <c r="S16" i="36"/>
  <c r="T16" i="36"/>
  <c r="U16" i="36"/>
  <c r="V16" i="36"/>
  <c r="W16" i="36"/>
  <c r="X16" i="36"/>
  <c r="Y16" i="36"/>
  <c r="A14" i="36"/>
  <c r="AG12" i="36"/>
  <c r="AG13" i="36"/>
  <c r="AD12" i="36"/>
  <c r="AD13" i="36"/>
  <c r="B12" i="36"/>
  <c r="B13" i="36"/>
  <c r="O12" i="36"/>
  <c r="P12" i="36"/>
  <c r="Q12" i="36"/>
  <c r="R12" i="36"/>
  <c r="S12" i="36"/>
  <c r="T12" i="36"/>
  <c r="U12" i="36"/>
  <c r="V12" i="36"/>
  <c r="W12" i="36"/>
  <c r="X12" i="36"/>
  <c r="Y12" i="36"/>
  <c r="Z12" i="36"/>
  <c r="AA12" i="36"/>
  <c r="O13" i="36"/>
  <c r="P13" i="36"/>
  <c r="Q13" i="36"/>
  <c r="R13" i="36"/>
  <c r="S13" i="36"/>
  <c r="T13" i="36"/>
  <c r="U13" i="36"/>
  <c r="V13" i="36"/>
  <c r="W13" i="36"/>
  <c r="X13" i="36"/>
  <c r="Y13" i="36"/>
  <c r="Z13" i="36"/>
  <c r="AA13" i="36"/>
  <c r="O11" i="36"/>
  <c r="P11" i="36"/>
  <c r="Q11" i="36"/>
  <c r="R11" i="36"/>
  <c r="S11" i="36"/>
  <c r="T11" i="36"/>
  <c r="U11" i="36"/>
  <c r="V11" i="36"/>
  <c r="W11" i="36"/>
  <c r="X11" i="36"/>
  <c r="Y11" i="36"/>
  <c r="Z11" i="36"/>
  <c r="C10" i="36"/>
  <c r="D10" i="36"/>
  <c r="C9" i="36"/>
  <c r="C1" i="36"/>
  <c r="C2" i="36"/>
  <c r="C3" i="36"/>
  <c r="C4" i="36"/>
  <c r="C5" i="36"/>
  <c r="C6" i="36"/>
  <c r="C7" i="36"/>
  <c r="C8" i="36"/>
  <c r="E6" i="36"/>
  <c r="E4" i="36"/>
  <c r="F4" i="36"/>
  <c r="B3" i="36"/>
  <c r="AG62" i="35"/>
  <c r="AD62" i="35"/>
  <c r="O62" i="35"/>
  <c r="P62" i="35"/>
  <c r="Q62" i="35"/>
  <c r="R62" i="35"/>
  <c r="S62" i="35"/>
  <c r="T62" i="35"/>
  <c r="U62" i="35"/>
  <c r="V62" i="35"/>
  <c r="W62" i="35"/>
  <c r="X62" i="35"/>
  <c r="Y62" i="35"/>
  <c r="Z62" i="35"/>
  <c r="I62" i="35"/>
  <c r="J62" i="35"/>
  <c r="AD57" i="35"/>
  <c r="AE57" i="35" s="1"/>
  <c r="AG57" i="35"/>
  <c r="O57" i="35"/>
  <c r="P57" i="35"/>
  <c r="Q57" i="35"/>
  <c r="R57" i="35"/>
  <c r="S57" i="35"/>
  <c r="T57" i="35"/>
  <c r="U57" i="35"/>
  <c r="V57" i="35"/>
  <c r="W57" i="35"/>
  <c r="X57" i="35"/>
  <c r="Y57" i="35"/>
  <c r="Z57" i="35"/>
  <c r="N55" i="35"/>
  <c r="N56" i="35"/>
  <c r="AH55" i="35"/>
  <c r="AH56" i="35"/>
  <c r="AE55" i="35"/>
  <c r="AE56" i="35"/>
  <c r="I55" i="35"/>
  <c r="AA55" i="35" s="1"/>
  <c r="J55" i="35"/>
  <c r="I56" i="35"/>
  <c r="AA56" i="35" s="1"/>
  <c r="J56" i="35"/>
  <c r="B54" i="35"/>
  <c r="AD50" i="35"/>
  <c r="AG50" i="35"/>
  <c r="AH50" i="35" s="1"/>
  <c r="I50" i="35"/>
  <c r="K50" i="35" s="1"/>
  <c r="J50" i="35"/>
  <c r="L50" i="35"/>
  <c r="M50" i="35"/>
  <c r="N50" i="35"/>
  <c r="O50" i="35"/>
  <c r="P50" i="35"/>
  <c r="Q50" i="35"/>
  <c r="R50" i="35"/>
  <c r="S50" i="35"/>
  <c r="T50" i="35"/>
  <c r="U50" i="35"/>
  <c r="V50" i="35"/>
  <c r="W50" i="35"/>
  <c r="X50" i="35"/>
  <c r="Y50" i="35"/>
  <c r="Z50" i="35"/>
  <c r="B48" i="35"/>
  <c r="B49" i="35"/>
  <c r="B50" i="35"/>
  <c r="N48" i="35"/>
  <c r="T48" i="35"/>
  <c r="T52" i="35" s="1"/>
  <c r="T59" i="35" s="1"/>
  <c r="U48" i="35"/>
  <c r="U52" i="35" s="1"/>
  <c r="U59" i="35" s="1"/>
  <c r="I48" i="35"/>
  <c r="J48" i="35"/>
  <c r="AD46" i="35"/>
  <c r="AG46" i="35"/>
  <c r="AG48" i="35" s="1"/>
  <c r="AH46" i="35"/>
  <c r="N46" i="35"/>
  <c r="O46" i="35"/>
  <c r="O48" i="35" s="1"/>
  <c r="P46" i="35"/>
  <c r="P48" i="35" s="1"/>
  <c r="P52" i="35" s="1"/>
  <c r="Q46" i="35"/>
  <c r="Q48" i="35" s="1"/>
  <c r="Q52" i="35" s="1"/>
  <c r="Q59" i="35" s="1"/>
  <c r="R46" i="35"/>
  <c r="R48" i="35" s="1"/>
  <c r="S46" i="35"/>
  <c r="S48" i="35" s="1"/>
  <c r="S52" i="35" s="1"/>
  <c r="T46" i="35"/>
  <c r="U46" i="35"/>
  <c r="V46" i="35"/>
  <c r="V48" i="35" s="1"/>
  <c r="V52" i="35" s="1"/>
  <c r="V59" i="35" s="1"/>
  <c r="W46" i="35"/>
  <c r="W48" i="35" s="1"/>
  <c r="X46" i="35"/>
  <c r="X48" i="35" s="1"/>
  <c r="X52" i="35" s="1"/>
  <c r="Y46" i="35"/>
  <c r="Y48" i="35" s="1"/>
  <c r="Y52" i="35" s="1"/>
  <c r="Y59" i="35" s="1"/>
  <c r="Z46" i="35"/>
  <c r="Z48" i="35" s="1"/>
  <c r="I46" i="35"/>
  <c r="J46" i="35"/>
  <c r="A45" i="35"/>
  <c r="AH44" i="35"/>
  <c r="AI44" i="35"/>
  <c r="AH45" i="35"/>
  <c r="AE44" i="35"/>
  <c r="AE45" i="35"/>
  <c r="AB45" i="35"/>
  <c r="I44" i="35"/>
  <c r="AA44" i="35" s="1"/>
  <c r="J44" i="35"/>
  <c r="K44" i="35"/>
  <c r="L44" i="35"/>
  <c r="M44" i="35"/>
  <c r="N44" i="35"/>
  <c r="I45" i="35"/>
  <c r="AA45" i="35" s="1"/>
  <c r="AI45" i="35" s="1"/>
  <c r="J45" i="35"/>
  <c r="L45" i="35"/>
  <c r="M45" i="35"/>
  <c r="N45" i="35"/>
  <c r="N43" i="35"/>
  <c r="I43" i="35"/>
  <c r="J43" i="35"/>
  <c r="AH38" i="35"/>
  <c r="AH39" i="35"/>
  <c r="AH40" i="35"/>
  <c r="AH41" i="35"/>
  <c r="AE38" i="35"/>
  <c r="AE39" i="35"/>
  <c r="AE40" i="35"/>
  <c r="AE41" i="35"/>
  <c r="AA38" i="35"/>
  <c r="AA40" i="35"/>
  <c r="AA41" i="35"/>
  <c r="AI41" i="35" s="1"/>
  <c r="I38" i="35"/>
  <c r="K38" i="35" s="1"/>
  <c r="J38" i="35"/>
  <c r="L38" i="35"/>
  <c r="M38" i="35"/>
  <c r="N38" i="35"/>
  <c r="I39" i="35"/>
  <c r="AA39" i="35" s="1"/>
  <c r="J39" i="35"/>
  <c r="L39" i="35"/>
  <c r="M39" i="35"/>
  <c r="N39" i="35"/>
  <c r="I40" i="35"/>
  <c r="K40" i="35" s="1"/>
  <c r="J40" i="35"/>
  <c r="L40" i="35"/>
  <c r="M40" i="35"/>
  <c r="N40" i="35"/>
  <c r="I41" i="35"/>
  <c r="J41" i="35"/>
  <c r="K41" i="35"/>
  <c r="L41" i="35"/>
  <c r="M41" i="35"/>
  <c r="N41" i="35"/>
  <c r="N34" i="35"/>
  <c r="N35" i="35"/>
  <c r="N36" i="35"/>
  <c r="N37" i="35"/>
  <c r="I36" i="35"/>
  <c r="J36" i="35"/>
  <c r="I37" i="35"/>
  <c r="J37" i="35"/>
  <c r="AH34" i="35"/>
  <c r="AH35" i="35"/>
  <c r="AE34" i="35"/>
  <c r="AF34" i="35"/>
  <c r="AE35" i="35"/>
  <c r="I34" i="35"/>
  <c r="AA34" i="35" s="1"/>
  <c r="J34" i="35"/>
  <c r="K34" i="35"/>
  <c r="L34" i="35"/>
  <c r="M34" i="35"/>
  <c r="I35" i="35"/>
  <c r="K35" i="35" s="1"/>
  <c r="J35" i="35"/>
  <c r="L35" i="35"/>
  <c r="M35" i="35"/>
  <c r="AJ32" i="35"/>
  <c r="AL32" i="35"/>
  <c r="AG32" i="35"/>
  <c r="AD32" i="35"/>
  <c r="AK32" i="35" s="1"/>
  <c r="O32" i="35"/>
  <c r="P32" i="35"/>
  <c r="Q32" i="35"/>
  <c r="R32" i="35"/>
  <c r="S32" i="35"/>
  <c r="T32" i="35"/>
  <c r="U32" i="35"/>
  <c r="V32" i="35"/>
  <c r="W32" i="35"/>
  <c r="X32" i="35"/>
  <c r="Y32" i="35"/>
  <c r="Z32" i="35"/>
  <c r="AJ31" i="35"/>
  <c r="AK31" i="35"/>
  <c r="AM31" i="35" s="1"/>
  <c r="AL31" i="35"/>
  <c r="AN31" i="35" s="1"/>
  <c r="AG31" i="35"/>
  <c r="AD31" i="35"/>
  <c r="O31" i="35"/>
  <c r="P31" i="35"/>
  <c r="Q31" i="35"/>
  <c r="R31" i="35"/>
  <c r="S31" i="35"/>
  <c r="T31" i="35"/>
  <c r="U31" i="35"/>
  <c r="V31" i="35"/>
  <c r="W31" i="35"/>
  <c r="X31" i="35"/>
  <c r="Y31" i="35"/>
  <c r="Z31" i="35"/>
  <c r="AA31" i="35"/>
  <c r="N26" i="35"/>
  <c r="N27" i="35"/>
  <c r="N28" i="35"/>
  <c r="N29" i="35"/>
  <c r="B22" i="35"/>
  <c r="B23" i="35"/>
  <c r="AG16" i="35"/>
  <c r="AG19" i="35"/>
  <c r="AG20" i="35"/>
  <c r="AL38" i="35" s="1"/>
  <c r="AD19" i="35"/>
  <c r="AD20" i="35"/>
  <c r="AK41" i="35" s="1"/>
  <c r="N19" i="35"/>
  <c r="O19" i="35"/>
  <c r="P19" i="35"/>
  <c r="Q19" i="35"/>
  <c r="R19" i="35"/>
  <c r="S19" i="35"/>
  <c r="T19" i="35"/>
  <c r="U19" i="35"/>
  <c r="V19" i="35"/>
  <c r="W19" i="35"/>
  <c r="X19" i="35"/>
  <c r="Y19" i="35"/>
  <c r="Z19" i="35"/>
  <c r="N20" i="35"/>
  <c r="O20" i="35"/>
  <c r="P20" i="35"/>
  <c r="Q20" i="35"/>
  <c r="R20" i="35"/>
  <c r="S20" i="35"/>
  <c r="T20" i="35"/>
  <c r="U20" i="35"/>
  <c r="V20" i="35"/>
  <c r="W20" i="35"/>
  <c r="X20" i="35"/>
  <c r="Y20" i="35"/>
  <c r="Z20" i="35"/>
  <c r="B17" i="35"/>
  <c r="B18" i="35"/>
  <c r="B19" i="35"/>
  <c r="O17" i="35"/>
  <c r="P17" i="35"/>
  <c r="Q17" i="35"/>
  <c r="R17" i="35"/>
  <c r="S17" i="35"/>
  <c r="T17" i="35"/>
  <c r="U17" i="35"/>
  <c r="V17" i="35"/>
  <c r="W17" i="35"/>
  <c r="X17" i="35"/>
  <c r="Y17" i="35"/>
  <c r="Z17" i="35"/>
  <c r="O16" i="35"/>
  <c r="P16" i="35"/>
  <c r="Q16" i="35"/>
  <c r="R16" i="35"/>
  <c r="S16" i="35"/>
  <c r="T16" i="35"/>
  <c r="U16" i="35"/>
  <c r="V16" i="35"/>
  <c r="W16" i="35"/>
  <c r="X16" i="35"/>
  <c r="Y16" i="35"/>
  <c r="A14" i="35"/>
  <c r="AG12" i="35"/>
  <c r="AG13" i="35"/>
  <c r="AD12" i="35"/>
  <c r="AD13" i="35"/>
  <c r="B12" i="35"/>
  <c r="B13" i="35"/>
  <c r="O12" i="35"/>
  <c r="P12" i="35"/>
  <c r="Q12" i="35"/>
  <c r="R12" i="35"/>
  <c r="S12" i="35"/>
  <c r="T12" i="35"/>
  <c r="U12" i="35"/>
  <c r="V12" i="35"/>
  <c r="W12" i="35"/>
  <c r="X12" i="35"/>
  <c r="Y12" i="35"/>
  <c r="Z12" i="35"/>
  <c r="AA12" i="35"/>
  <c r="O13" i="35"/>
  <c r="P13" i="35"/>
  <c r="Q13" i="35"/>
  <c r="R13" i="35"/>
  <c r="S13" i="35"/>
  <c r="T13" i="35"/>
  <c r="U13" i="35"/>
  <c r="V13" i="35"/>
  <c r="W13" i="35"/>
  <c r="X13" i="35"/>
  <c r="Y13" i="35"/>
  <c r="Z13" i="35"/>
  <c r="AA13" i="35"/>
  <c r="O11" i="35"/>
  <c r="P11" i="35"/>
  <c r="Q11" i="35"/>
  <c r="R11" i="35"/>
  <c r="S11" i="35"/>
  <c r="T11" i="35"/>
  <c r="U11" i="35"/>
  <c r="V11" i="35"/>
  <c r="W11" i="35"/>
  <c r="X11" i="35"/>
  <c r="Y11" i="35"/>
  <c r="Z11" i="35"/>
  <c r="C10" i="35"/>
  <c r="D10" i="35"/>
  <c r="AA16" i="35" s="1"/>
  <c r="C9" i="35"/>
  <c r="C1" i="35"/>
  <c r="C2" i="35"/>
  <c r="C3" i="35"/>
  <c r="C4" i="35"/>
  <c r="C5" i="35"/>
  <c r="C6" i="35"/>
  <c r="C7" i="35"/>
  <c r="C8" i="35"/>
  <c r="E6" i="35"/>
  <c r="E4" i="35"/>
  <c r="F4" i="35"/>
  <c r="B3" i="35"/>
  <c r="B67" i="34"/>
  <c r="AG63" i="34"/>
  <c r="AD63" i="34"/>
  <c r="O63" i="34"/>
  <c r="P63" i="34"/>
  <c r="Q63" i="34"/>
  <c r="R63" i="34"/>
  <c r="S63" i="34"/>
  <c r="T63" i="34"/>
  <c r="U63" i="34"/>
  <c r="V63" i="34"/>
  <c r="W63" i="34"/>
  <c r="X63" i="34"/>
  <c r="Y63" i="34"/>
  <c r="Z63" i="34"/>
  <c r="I63" i="34"/>
  <c r="J63" i="34"/>
  <c r="B61" i="34"/>
  <c r="B62" i="34"/>
  <c r="B63" i="34"/>
  <c r="AD58" i="34"/>
  <c r="AE58" i="34" s="1"/>
  <c r="AG58" i="34"/>
  <c r="AH58" i="34"/>
  <c r="O58" i="34"/>
  <c r="P58" i="34"/>
  <c r="Q58" i="34"/>
  <c r="R58" i="34"/>
  <c r="S58" i="34"/>
  <c r="T58" i="34"/>
  <c r="U58" i="34"/>
  <c r="V58" i="34"/>
  <c r="W58" i="34"/>
  <c r="X58" i="34"/>
  <c r="Y58" i="34"/>
  <c r="Z58" i="34"/>
  <c r="A58" i="34"/>
  <c r="N56" i="34"/>
  <c r="N57" i="34"/>
  <c r="AH56" i="34"/>
  <c r="AH57" i="34"/>
  <c r="AE56" i="34"/>
  <c r="AE57" i="34"/>
  <c r="AA57" i="34"/>
  <c r="AB57" i="34" s="1"/>
  <c r="I56" i="34"/>
  <c r="AA56" i="34" s="1"/>
  <c r="J56" i="34"/>
  <c r="I57" i="34"/>
  <c r="J57" i="34"/>
  <c r="B54" i="34"/>
  <c r="AD51" i="34"/>
  <c r="AG51" i="34"/>
  <c r="AH51" i="34"/>
  <c r="O51" i="34"/>
  <c r="P51" i="34"/>
  <c r="Q51" i="34"/>
  <c r="R51" i="34"/>
  <c r="S51" i="34"/>
  <c r="T51" i="34"/>
  <c r="U51" i="34"/>
  <c r="V51" i="34"/>
  <c r="W51" i="34"/>
  <c r="X51" i="34"/>
  <c r="Y51" i="34"/>
  <c r="Z51" i="34"/>
  <c r="I50" i="34"/>
  <c r="AA50" i="34" s="1"/>
  <c r="J50" i="34"/>
  <c r="B48" i="34"/>
  <c r="B49" i="34"/>
  <c r="B50" i="34"/>
  <c r="AH49" i="34"/>
  <c r="AH50" i="34"/>
  <c r="AE49" i="34"/>
  <c r="AE50" i="34"/>
  <c r="AA49" i="34"/>
  <c r="L49" i="34"/>
  <c r="M49" i="34"/>
  <c r="N49" i="34"/>
  <c r="L50" i="34"/>
  <c r="M50" i="34"/>
  <c r="N50" i="34"/>
  <c r="I49" i="34"/>
  <c r="J49" i="34"/>
  <c r="K49" i="34"/>
  <c r="AD46" i="34"/>
  <c r="N46" i="34"/>
  <c r="T46" i="34"/>
  <c r="W46" i="34"/>
  <c r="W53" i="34" s="1"/>
  <c r="W60" i="34" s="1"/>
  <c r="I46" i="34"/>
  <c r="J46" i="34"/>
  <c r="A45" i="34"/>
  <c r="AD44" i="34"/>
  <c r="AK44" i="34" s="1"/>
  <c r="AE44" i="34"/>
  <c r="AG44" i="34"/>
  <c r="N44" i="34"/>
  <c r="O44" i="34"/>
  <c r="O46" i="34" s="1"/>
  <c r="O53" i="34" s="1"/>
  <c r="P44" i="34"/>
  <c r="P46" i="34" s="1"/>
  <c r="P53" i="34" s="1"/>
  <c r="P60" i="34" s="1"/>
  <c r="Q44" i="34"/>
  <c r="Q46" i="34" s="1"/>
  <c r="Q53" i="34" s="1"/>
  <c r="Q60" i="34" s="1"/>
  <c r="R44" i="34"/>
  <c r="R46" i="34" s="1"/>
  <c r="R53" i="34" s="1"/>
  <c r="R60" i="34" s="1"/>
  <c r="S44" i="34"/>
  <c r="S46" i="34" s="1"/>
  <c r="S53" i="34" s="1"/>
  <c r="S60" i="34" s="1"/>
  <c r="T44" i="34"/>
  <c r="U44" i="34"/>
  <c r="U46" i="34" s="1"/>
  <c r="U53" i="34" s="1"/>
  <c r="U60" i="34" s="1"/>
  <c r="V44" i="34"/>
  <c r="V46" i="34" s="1"/>
  <c r="V53" i="34" s="1"/>
  <c r="V60" i="34" s="1"/>
  <c r="W44" i="34"/>
  <c r="X44" i="34"/>
  <c r="X46" i="34" s="1"/>
  <c r="X53" i="34" s="1"/>
  <c r="X60" i="34" s="1"/>
  <c r="Y44" i="34"/>
  <c r="Y46" i="34" s="1"/>
  <c r="Y53" i="34" s="1"/>
  <c r="Y60" i="34" s="1"/>
  <c r="Z44" i="34"/>
  <c r="Z46" i="34" s="1"/>
  <c r="Z53" i="34" s="1"/>
  <c r="Z60" i="34" s="1"/>
  <c r="I44" i="34"/>
  <c r="J44" i="34"/>
  <c r="AH42" i="34"/>
  <c r="AK42" i="34"/>
  <c r="AH43" i="34"/>
  <c r="AE42" i="34"/>
  <c r="AE43" i="34"/>
  <c r="I42" i="34"/>
  <c r="AA42" i="34" s="1"/>
  <c r="AF42" i="34" s="1"/>
  <c r="J42" i="34"/>
  <c r="K42" i="34"/>
  <c r="L42" i="34"/>
  <c r="M42" i="34"/>
  <c r="N42" i="34"/>
  <c r="I43" i="34"/>
  <c r="J43" i="34"/>
  <c r="L43" i="34"/>
  <c r="M43" i="34"/>
  <c r="N43" i="34"/>
  <c r="N41" i="34"/>
  <c r="I41" i="34"/>
  <c r="J41" i="34"/>
  <c r="AH35" i="34"/>
  <c r="AH36" i="34"/>
  <c r="AK36" i="34"/>
  <c r="AH37" i="34"/>
  <c r="AH38" i="34"/>
  <c r="AK38" i="34"/>
  <c r="AH39" i="34"/>
  <c r="AE35" i="34"/>
  <c r="AE36" i="34"/>
  <c r="AE37" i="34"/>
  <c r="AE38" i="34"/>
  <c r="AF38" i="34"/>
  <c r="AE39" i="34"/>
  <c r="AA35" i="34"/>
  <c r="AA38" i="34"/>
  <c r="AB38" i="34" s="1"/>
  <c r="I35" i="34"/>
  <c r="J35" i="34"/>
  <c r="K35" i="34"/>
  <c r="L35" i="34"/>
  <c r="M35" i="34"/>
  <c r="N35" i="34"/>
  <c r="I36" i="34"/>
  <c r="J36" i="34"/>
  <c r="L36" i="34"/>
  <c r="M36" i="34"/>
  <c r="N36" i="34"/>
  <c r="I37" i="34"/>
  <c r="AA37" i="34" s="1"/>
  <c r="J37" i="34"/>
  <c r="K37" i="34"/>
  <c r="L37" i="34"/>
  <c r="M37" i="34"/>
  <c r="N37" i="34"/>
  <c r="I38" i="34"/>
  <c r="K38" i="34" s="1"/>
  <c r="J38" i="34"/>
  <c r="L38" i="34"/>
  <c r="M38" i="34"/>
  <c r="N38" i="34"/>
  <c r="I39" i="34"/>
  <c r="AA39" i="34" s="1"/>
  <c r="AI39" i="34" s="1"/>
  <c r="J39" i="34"/>
  <c r="K39" i="34"/>
  <c r="L39" i="34"/>
  <c r="M39" i="34"/>
  <c r="N39" i="34"/>
  <c r="N33" i="34"/>
  <c r="N34" i="34"/>
  <c r="I33" i="34"/>
  <c r="J33" i="34"/>
  <c r="I34" i="34"/>
  <c r="J34" i="34"/>
  <c r="AG32" i="34"/>
  <c r="AL32" i="34" s="1"/>
  <c r="AD32" i="34"/>
  <c r="AK32" i="34" s="1"/>
  <c r="O32" i="34"/>
  <c r="P32" i="34"/>
  <c r="Q32" i="34"/>
  <c r="R32" i="34"/>
  <c r="S32" i="34"/>
  <c r="T32" i="34"/>
  <c r="U32" i="34"/>
  <c r="V32" i="34"/>
  <c r="W32" i="34"/>
  <c r="X32" i="34"/>
  <c r="Y32" i="34"/>
  <c r="Z32" i="34"/>
  <c r="AJ32" i="34" s="1"/>
  <c r="AJ31" i="34"/>
  <c r="AK31" i="34"/>
  <c r="AM31" i="34" s="1"/>
  <c r="AL31" i="34"/>
  <c r="AN31" i="34" s="1"/>
  <c r="AG31" i="34"/>
  <c r="AD31" i="34"/>
  <c r="O31" i="34"/>
  <c r="P31" i="34"/>
  <c r="Q31" i="34"/>
  <c r="R31" i="34"/>
  <c r="S31" i="34"/>
  <c r="T31" i="34"/>
  <c r="U31" i="34"/>
  <c r="V31" i="34"/>
  <c r="W31" i="34"/>
  <c r="X31" i="34"/>
  <c r="Y31" i="34"/>
  <c r="Z31" i="34"/>
  <c r="AA31" i="34"/>
  <c r="N26" i="34"/>
  <c r="N27" i="34"/>
  <c r="N28" i="34"/>
  <c r="N29" i="34"/>
  <c r="B22" i="34"/>
  <c r="B23" i="34"/>
  <c r="AG16" i="34"/>
  <c r="AG19" i="34"/>
  <c r="AG20" i="34"/>
  <c r="AD19" i="34"/>
  <c r="AD20" i="34"/>
  <c r="AK56" i="34" s="1"/>
  <c r="N19" i="34"/>
  <c r="O19" i="34"/>
  <c r="P19" i="34"/>
  <c r="Q19" i="34"/>
  <c r="R19" i="34"/>
  <c r="S19" i="34"/>
  <c r="T19" i="34"/>
  <c r="U19" i="34"/>
  <c r="V19" i="34"/>
  <c r="W19" i="34"/>
  <c r="X19" i="34"/>
  <c r="Y19" i="34"/>
  <c r="Z19" i="34"/>
  <c r="N20" i="34"/>
  <c r="O20" i="34"/>
  <c r="P20" i="34"/>
  <c r="Q20" i="34"/>
  <c r="R20" i="34"/>
  <c r="S20" i="34"/>
  <c r="T20" i="34"/>
  <c r="U20" i="34"/>
  <c r="V20" i="34"/>
  <c r="W20" i="34"/>
  <c r="X20" i="34"/>
  <c r="Y20" i="34"/>
  <c r="Z20" i="34"/>
  <c r="B17" i="34"/>
  <c r="B18" i="34"/>
  <c r="B19" i="34"/>
  <c r="O17" i="34"/>
  <c r="P17" i="34"/>
  <c r="Q17" i="34"/>
  <c r="R17" i="34"/>
  <c r="S17" i="34"/>
  <c r="T17" i="34"/>
  <c r="U17" i="34"/>
  <c r="V17" i="34"/>
  <c r="W17" i="34"/>
  <c r="X17" i="34"/>
  <c r="Y17" i="34"/>
  <c r="Z17" i="34"/>
  <c r="O16" i="34"/>
  <c r="P16" i="34"/>
  <c r="Q16" i="34"/>
  <c r="R16" i="34"/>
  <c r="S16" i="34"/>
  <c r="T16" i="34"/>
  <c r="U16" i="34"/>
  <c r="V16" i="34"/>
  <c r="W16" i="34"/>
  <c r="X16" i="34"/>
  <c r="Y16" i="34"/>
  <c r="A14" i="34"/>
  <c r="AG12" i="34"/>
  <c r="AG13" i="34"/>
  <c r="AD12" i="34"/>
  <c r="AD13" i="34"/>
  <c r="B12" i="34"/>
  <c r="B13" i="34"/>
  <c r="O12" i="34"/>
  <c r="P12" i="34"/>
  <c r="Q12" i="34"/>
  <c r="R12" i="34"/>
  <c r="S12" i="34"/>
  <c r="T12" i="34"/>
  <c r="U12" i="34"/>
  <c r="V12" i="34"/>
  <c r="W12" i="34"/>
  <c r="X12" i="34"/>
  <c r="Y12" i="34"/>
  <c r="Z12" i="34"/>
  <c r="AA12" i="34"/>
  <c r="O13" i="34"/>
  <c r="P13" i="34"/>
  <c r="Q13" i="34"/>
  <c r="R13" i="34"/>
  <c r="S13" i="34"/>
  <c r="T13" i="34"/>
  <c r="U13" i="34"/>
  <c r="V13" i="34"/>
  <c r="W13" i="34"/>
  <c r="X13" i="34"/>
  <c r="Y13" i="34"/>
  <c r="Z13" i="34"/>
  <c r="AA13" i="34"/>
  <c r="O11" i="34"/>
  <c r="P11" i="34"/>
  <c r="Q11" i="34"/>
  <c r="R11" i="34"/>
  <c r="S11" i="34"/>
  <c r="T11" i="34"/>
  <c r="U11" i="34"/>
  <c r="V11" i="34"/>
  <c r="W11" i="34"/>
  <c r="X11" i="34"/>
  <c r="Y11" i="34"/>
  <c r="Z11" i="34"/>
  <c r="C10" i="34"/>
  <c r="D10" i="34"/>
  <c r="C9" i="34"/>
  <c r="C1" i="34"/>
  <c r="C2" i="34"/>
  <c r="C3" i="34"/>
  <c r="C4" i="34"/>
  <c r="C5" i="34"/>
  <c r="C6" i="34"/>
  <c r="C7" i="34"/>
  <c r="C8" i="34"/>
  <c r="E6" i="34"/>
  <c r="E4" i="34"/>
  <c r="F4" i="34"/>
  <c r="B3" i="34"/>
  <c r="N66" i="33"/>
  <c r="I66" i="33"/>
  <c r="J66" i="33"/>
  <c r="W64"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AH34" i="33"/>
  <c r="AH35" i="33"/>
  <c r="AH36" i="33"/>
  <c r="AI36" i="33"/>
  <c r="AH37" i="33"/>
  <c r="AH38" i="33"/>
  <c r="AL38" i="33"/>
  <c r="AH39" i="33"/>
  <c r="AL40" i="33"/>
  <c r="AH42" i="33"/>
  <c r="AH46" i="33"/>
  <c r="AL46" i="33"/>
  <c r="AH48" i="33"/>
  <c r="AL48" i="33"/>
  <c r="AH49" i="33"/>
  <c r="AL54" i="33"/>
  <c r="AH55" i="33"/>
  <c r="AL55" i="33"/>
  <c r="AH56" i="33"/>
  <c r="AH57" i="33"/>
  <c r="AH58" i="33"/>
  <c r="AL58" i="33"/>
  <c r="AH59" i="33"/>
  <c r="AH61" i="33"/>
  <c r="AH62" i="33"/>
  <c r="AL63" i="33"/>
  <c r="AE34" i="33"/>
  <c r="AE35" i="33"/>
  <c r="AE36" i="33"/>
  <c r="AE37" i="33"/>
  <c r="AE38" i="33"/>
  <c r="AE39" i="33"/>
  <c r="AE42" i="33"/>
  <c r="AF44" i="33"/>
  <c r="AE45" i="33"/>
  <c r="AE46" i="33"/>
  <c r="AE48" i="33"/>
  <c r="AE49" i="33"/>
  <c r="AE55" i="33"/>
  <c r="AE56" i="33"/>
  <c r="AE57" i="33"/>
  <c r="AE58" i="33"/>
  <c r="AE59" i="33"/>
  <c r="AE60" i="33"/>
  <c r="AE61" i="33"/>
  <c r="AE62" i="33"/>
  <c r="AE63" i="33"/>
  <c r="AA35" i="33"/>
  <c r="AA41" i="33"/>
  <c r="AA42" i="33"/>
  <c r="AA47" i="33"/>
  <c r="AI47" i="33" s="1"/>
  <c r="AA49" i="33"/>
  <c r="AA53" i="33"/>
  <c r="AA54" i="33"/>
  <c r="AA61" i="33"/>
  <c r="AA63" i="33"/>
  <c r="AI63" i="33" s="1"/>
  <c r="I34" i="33"/>
  <c r="AA34" i="33" s="1"/>
  <c r="AB34" i="33" s="1"/>
  <c r="AM34" i="33" s="1"/>
  <c r="J34" i="33"/>
  <c r="L34" i="33"/>
  <c r="M34" i="33"/>
  <c r="I35" i="33"/>
  <c r="K35" i="33" s="1"/>
  <c r="J35" i="33"/>
  <c r="L35" i="33"/>
  <c r="M35" i="33"/>
  <c r="I36" i="33"/>
  <c r="AA36" i="33" s="1"/>
  <c r="AB36" i="33" s="1"/>
  <c r="J36" i="33"/>
  <c r="K36" i="33"/>
  <c r="L36" i="33"/>
  <c r="M36" i="33"/>
  <c r="I37" i="33"/>
  <c r="AA37" i="33" s="1"/>
  <c r="J37" i="33"/>
  <c r="K37" i="33"/>
  <c r="L37" i="33"/>
  <c r="M37" i="33"/>
  <c r="I38" i="33"/>
  <c r="AA38" i="33" s="1"/>
  <c r="J38" i="33"/>
  <c r="L38" i="33"/>
  <c r="M38" i="33"/>
  <c r="I39" i="33"/>
  <c r="K39" i="33" s="1"/>
  <c r="J39" i="33"/>
  <c r="L39" i="33"/>
  <c r="M39" i="33"/>
  <c r="I40" i="33"/>
  <c r="J40" i="33"/>
  <c r="L40" i="33"/>
  <c r="M40" i="33"/>
  <c r="I41" i="33"/>
  <c r="K41" i="33" s="1"/>
  <c r="J41" i="33"/>
  <c r="L41" i="33"/>
  <c r="M41" i="33"/>
  <c r="I42" i="33"/>
  <c r="J42" i="33"/>
  <c r="K42" i="33"/>
  <c r="L42" i="33"/>
  <c r="M42" i="33"/>
  <c r="I43" i="33"/>
  <c r="K43" i="33" s="1"/>
  <c r="J43" i="33"/>
  <c r="L43" i="33"/>
  <c r="M43" i="33"/>
  <c r="I44" i="33"/>
  <c r="AA44" i="33" s="1"/>
  <c r="AI44" i="33" s="1"/>
  <c r="J44" i="33"/>
  <c r="K44" i="33"/>
  <c r="L44" i="33"/>
  <c r="M44" i="33"/>
  <c r="I45" i="33"/>
  <c r="AA45" i="33" s="1"/>
  <c r="J45" i="33"/>
  <c r="L45" i="33"/>
  <c r="M45" i="33"/>
  <c r="I46" i="33"/>
  <c r="AA46" i="33" s="1"/>
  <c r="J46" i="33"/>
  <c r="L46" i="33"/>
  <c r="M46" i="33"/>
  <c r="I47" i="33"/>
  <c r="J47" i="33"/>
  <c r="K47" i="33"/>
  <c r="L47" i="33"/>
  <c r="M47" i="33"/>
  <c r="I48" i="33"/>
  <c r="J48" i="33"/>
  <c r="L48" i="33"/>
  <c r="M48" i="33"/>
  <c r="I49" i="33"/>
  <c r="J49" i="33"/>
  <c r="K49" i="33"/>
  <c r="L49" i="33"/>
  <c r="M49" i="33"/>
  <c r="I50" i="33"/>
  <c r="AA50" i="33" s="1"/>
  <c r="J50" i="33"/>
  <c r="L50" i="33"/>
  <c r="M50" i="33"/>
  <c r="I51" i="33"/>
  <c r="K51" i="33" s="1"/>
  <c r="J51" i="33"/>
  <c r="L51" i="33"/>
  <c r="M51" i="33"/>
  <c r="I52" i="33"/>
  <c r="AA52" i="33" s="1"/>
  <c r="AF52" i="33" s="1"/>
  <c r="J52" i="33"/>
  <c r="L52" i="33"/>
  <c r="M52" i="33"/>
  <c r="I53" i="33"/>
  <c r="K53" i="33" s="1"/>
  <c r="J53" i="33"/>
  <c r="L53" i="33"/>
  <c r="M53" i="33"/>
  <c r="I54" i="33"/>
  <c r="J54" i="33"/>
  <c r="K54" i="33"/>
  <c r="L54" i="33"/>
  <c r="M54" i="33"/>
  <c r="I55" i="33"/>
  <c r="AA55" i="33" s="1"/>
  <c r="AI55" i="33" s="1"/>
  <c r="J55" i="33"/>
  <c r="K55" i="33"/>
  <c r="L55" i="33"/>
  <c r="M55" i="33"/>
  <c r="I56" i="33"/>
  <c r="J56" i="33"/>
  <c r="L56" i="33"/>
  <c r="M56" i="33"/>
  <c r="I57" i="33"/>
  <c r="AA57" i="33" s="1"/>
  <c r="J57" i="33"/>
  <c r="L57" i="33"/>
  <c r="M57" i="33"/>
  <c r="I58" i="33"/>
  <c r="K58" i="33" s="1"/>
  <c r="J58" i="33"/>
  <c r="L58" i="33"/>
  <c r="M58" i="33"/>
  <c r="I59" i="33"/>
  <c r="K59" i="33" s="1"/>
  <c r="J59" i="33"/>
  <c r="L59" i="33"/>
  <c r="M59" i="33"/>
  <c r="I60" i="33"/>
  <c r="AA60" i="33" s="1"/>
  <c r="AF60" i="33" s="1"/>
  <c r="J60" i="33"/>
  <c r="L60" i="33"/>
  <c r="M60" i="33"/>
  <c r="I61" i="33"/>
  <c r="J61" i="33"/>
  <c r="K61" i="33"/>
  <c r="L61" i="33"/>
  <c r="M61" i="33"/>
  <c r="I62" i="33"/>
  <c r="K62" i="33" s="1"/>
  <c r="J62" i="33"/>
  <c r="L62" i="33"/>
  <c r="M62" i="33"/>
  <c r="I63" i="33"/>
  <c r="J63" i="33"/>
  <c r="K63" i="33"/>
  <c r="L63" i="33"/>
  <c r="M63" i="33"/>
  <c r="I33" i="33"/>
  <c r="J33" i="33"/>
  <c r="AG32" i="33"/>
  <c r="AL32" i="33" s="1"/>
  <c r="AD32" i="33"/>
  <c r="AK32" i="33" s="1"/>
  <c r="O32" i="33"/>
  <c r="P32" i="33"/>
  <c r="Q32" i="33"/>
  <c r="R32" i="33"/>
  <c r="S32" i="33"/>
  <c r="T32" i="33"/>
  <c r="U32" i="33"/>
  <c r="V32" i="33"/>
  <c r="W32" i="33"/>
  <c r="X32" i="33"/>
  <c r="Y32" i="33"/>
  <c r="Z32" i="33"/>
  <c r="AJ32" i="33" s="1"/>
  <c r="AJ31" i="33"/>
  <c r="AK31" i="33"/>
  <c r="AL31" i="33"/>
  <c r="AM31" i="33"/>
  <c r="AN31" i="33"/>
  <c r="AG31" i="33"/>
  <c r="AD31" i="33"/>
  <c r="O31" i="33"/>
  <c r="P31" i="33"/>
  <c r="Q31" i="33"/>
  <c r="R31" i="33"/>
  <c r="S31" i="33"/>
  <c r="T31" i="33"/>
  <c r="U31" i="33"/>
  <c r="V31" i="33"/>
  <c r="W31" i="33"/>
  <c r="X31" i="33"/>
  <c r="Y31" i="33"/>
  <c r="Z31" i="33"/>
  <c r="AA31" i="33"/>
  <c r="N26" i="33"/>
  <c r="N27" i="33"/>
  <c r="N28" i="33"/>
  <c r="N29" i="33"/>
  <c r="B22" i="33"/>
  <c r="B23" i="33"/>
  <c r="AG16" i="33"/>
  <c r="AG19" i="33"/>
  <c r="AH51" i="33" s="1"/>
  <c r="AG20" i="33"/>
  <c r="AG64" i="33" s="1"/>
  <c r="AG21" i="33"/>
  <c r="AL37" i="33" s="1"/>
  <c r="AD19" i="33"/>
  <c r="AE52" i="33" s="1"/>
  <c r="AD20" i="33"/>
  <c r="AD64" i="33" s="1"/>
  <c r="AD21" i="33"/>
  <c r="I20" i="33"/>
  <c r="J20" i="33"/>
  <c r="N19" i="33"/>
  <c r="O19" i="33"/>
  <c r="P19" i="33"/>
  <c r="Q19" i="33"/>
  <c r="R19" i="33"/>
  <c r="S19" i="33"/>
  <c r="T19" i="33"/>
  <c r="U19" i="33"/>
  <c r="V19" i="33"/>
  <c r="W19" i="33"/>
  <c r="X19" i="33"/>
  <c r="Y19" i="33"/>
  <c r="Z19" i="33"/>
  <c r="AA19" i="33"/>
  <c r="N20" i="33"/>
  <c r="O20" i="33"/>
  <c r="O64" i="33" s="1"/>
  <c r="P20" i="33"/>
  <c r="P64" i="33" s="1"/>
  <c r="P65" i="33" s="1"/>
  <c r="Q20" i="33"/>
  <c r="Q64" i="33" s="1"/>
  <c r="R20" i="33"/>
  <c r="R64" i="33" s="1"/>
  <c r="S20" i="33"/>
  <c r="S64" i="33" s="1"/>
  <c r="T20" i="33"/>
  <c r="T64" i="33" s="1"/>
  <c r="T66" i="33" s="1"/>
  <c r="U20" i="33"/>
  <c r="U64" i="33" s="1"/>
  <c r="V20" i="33"/>
  <c r="V64" i="33" s="1"/>
  <c r="W20" i="33"/>
  <c r="X20" i="33"/>
  <c r="X64" i="33" s="1"/>
  <c r="X65" i="33" s="1"/>
  <c r="Y20" i="33"/>
  <c r="Y64" i="33" s="1"/>
  <c r="Z20" i="33"/>
  <c r="Z64" i="33" s="1"/>
  <c r="N21" i="33"/>
  <c r="O21" i="33"/>
  <c r="P21" i="33"/>
  <c r="Q21" i="33"/>
  <c r="R21" i="33"/>
  <c r="S21" i="33"/>
  <c r="T21" i="33"/>
  <c r="U21" i="33"/>
  <c r="V21" i="33"/>
  <c r="W21" i="33"/>
  <c r="X21" i="33"/>
  <c r="Y21" i="33"/>
  <c r="Z21" i="33"/>
  <c r="B17" i="33"/>
  <c r="B18" i="33"/>
  <c r="B19" i="33"/>
  <c r="O17" i="33"/>
  <c r="P17" i="33"/>
  <c r="Q17" i="33"/>
  <c r="R17" i="33"/>
  <c r="S17" i="33"/>
  <c r="T17" i="33"/>
  <c r="U17" i="33"/>
  <c r="V17" i="33"/>
  <c r="W17" i="33"/>
  <c r="X17" i="33"/>
  <c r="Y17" i="33"/>
  <c r="Z17" i="33"/>
  <c r="O16" i="33"/>
  <c r="P16" i="33"/>
  <c r="Q16" i="33"/>
  <c r="R16" i="33"/>
  <c r="S16" i="33"/>
  <c r="T16" i="33"/>
  <c r="U16" i="33"/>
  <c r="V16" i="33"/>
  <c r="W16" i="33"/>
  <c r="X16" i="33"/>
  <c r="Y16" i="33"/>
  <c r="A14" i="33"/>
  <c r="AG12" i="33"/>
  <c r="AG13" i="33"/>
  <c r="AD12" i="33"/>
  <c r="AD13" i="33"/>
  <c r="B12" i="33"/>
  <c r="B13" i="33"/>
  <c r="O12" i="33"/>
  <c r="P12" i="33"/>
  <c r="Q12" i="33"/>
  <c r="R12" i="33"/>
  <c r="S12" i="33"/>
  <c r="T12" i="33"/>
  <c r="U12" i="33"/>
  <c r="V12" i="33"/>
  <c r="W12" i="33"/>
  <c r="X12" i="33"/>
  <c r="Y12" i="33"/>
  <c r="Z12" i="33"/>
  <c r="AA12" i="33"/>
  <c r="O13" i="33"/>
  <c r="P13" i="33"/>
  <c r="Q13" i="33"/>
  <c r="R13" i="33"/>
  <c r="S13" i="33"/>
  <c r="T13" i="33"/>
  <c r="U13" i="33"/>
  <c r="V13" i="33"/>
  <c r="W13" i="33"/>
  <c r="X13" i="33"/>
  <c r="Y13" i="33"/>
  <c r="Z13" i="33"/>
  <c r="AA13" i="33"/>
  <c r="O11" i="33"/>
  <c r="P11" i="33"/>
  <c r="Q11" i="33"/>
  <c r="R11" i="33"/>
  <c r="S11" i="33"/>
  <c r="T11" i="33"/>
  <c r="U11" i="33"/>
  <c r="V11" i="33"/>
  <c r="W11" i="33"/>
  <c r="X11" i="33"/>
  <c r="Y11" i="33"/>
  <c r="Z11" i="33"/>
  <c r="C10" i="33"/>
  <c r="D10" i="33"/>
  <c r="Z16" i="33" s="1"/>
  <c r="C9" i="33"/>
  <c r="C1" i="33"/>
  <c r="C2" i="33"/>
  <c r="C3" i="33"/>
  <c r="C4" i="33"/>
  <c r="C5" i="33"/>
  <c r="C6" i="33"/>
  <c r="C7" i="33"/>
  <c r="C8" i="33"/>
  <c r="E6" i="33"/>
  <c r="E4" i="33"/>
  <c r="F4" i="33"/>
  <c r="B3" i="33"/>
  <c r="AG38" i="32"/>
  <c r="AD38" i="32"/>
  <c r="O38" i="32"/>
  <c r="AA38" i="32" s="1"/>
  <c r="P38" i="32"/>
  <c r="Q38" i="32"/>
  <c r="R38" i="32"/>
  <c r="S38" i="32"/>
  <c r="T38" i="32"/>
  <c r="U38" i="32"/>
  <c r="V38" i="32"/>
  <c r="W38" i="32"/>
  <c r="X38" i="32"/>
  <c r="Y38" i="32"/>
  <c r="Z38" i="32"/>
  <c r="AD36" i="32"/>
  <c r="AE36" i="32" s="1"/>
  <c r="AG36" i="32"/>
  <c r="AK36" i="32"/>
  <c r="N36" i="32"/>
  <c r="N38" i="32" s="1"/>
  <c r="O36" i="32"/>
  <c r="P36" i="32"/>
  <c r="Q36" i="32"/>
  <c r="R36" i="32"/>
  <c r="S36" i="32"/>
  <c r="T36" i="32"/>
  <c r="U36" i="32"/>
  <c r="V36" i="32"/>
  <c r="W36" i="32"/>
  <c r="X36" i="32"/>
  <c r="Y36" i="32"/>
  <c r="Z36" i="32"/>
  <c r="I36" i="32"/>
  <c r="J36" i="32"/>
  <c r="AK34" i="32"/>
  <c r="AH35" i="32"/>
  <c r="AE35" i="32"/>
  <c r="AA34" i="32"/>
  <c r="AF34" i="32" s="1"/>
  <c r="I34" i="32"/>
  <c r="J34" i="32"/>
  <c r="K34" i="32"/>
  <c r="L34" i="32"/>
  <c r="M34" i="32"/>
  <c r="N34" i="32"/>
  <c r="I35" i="32"/>
  <c r="K35" i="32" s="1"/>
  <c r="J35" i="32"/>
  <c r="L35" i="32"/>
  <c r="M35" i="32"/>
  <c r="N35" i="32"/>
  <c r="N33" i="32"/>
  <c r="I33" i="32"/>
  <c r="J33" i="32"/>
  <c r="AG32" i="32"/>
  <c r="AL32" i="32" s="1"/>
  <c r="AD32" i="32"/>
  <c r="AK32" i="32" s="1"/>
  <c r="O32" i="32"/>
  <c r="P32" i="32"/>
  <c r="Q32" i="32"/>
  <c r="R32" i="32"/>
  <c r="S32" i="32"/>
  <c r="T32" i="32"/>
  <c r="U32" i="32"/>
  <c r="V32" i="32"/>
  <c r="W32" i="32"/>
  <c r="X32" i="32"/>
  <c r="Y32" i="32"/>
  <c r="Z32" i="32"/>
  <c r="AJ32" i="32" s="1"/>
  <c r="AJ31" i="32"/>
  <c r="AK31" i="32"/>
  <c r="AL31" i="32"/>
  <c r="AN31" i="32" s="1"/>
  <c r="AM31" i="32"/>
  <c r="AG31" i="32"/>
  <c r="AD31" i="32"/>
  <c r="O31" i="32"/>
  <c r="P31" i="32"/>
  <c r="Q31" i="32"/>
  <c r="R31" i="32"/>
  <c r="S31" i="32"/>
  <c r="T31" i="32"/>
  <c r="U31" i="32"/>
  <c r="V31" i="32"/>
  <c r="W31" i="32"/>
  <c r="X31" i="32"/>
  <c r="Y31" i="32"/>
  <c r="Z31" i="32"/>
  <c r="AA31" i="32"/>
  <c r="N26" i="32"/>
  <c r="N27" i="32"/>
  <c r="N28" i="32"/>
  <c r="N29" i="32"/>
  <c r="B23" i="32"/>
  <c r="AG16" i="32"/>
  <c r="AG19" i="32"/>
  <c r="AG20" i="32"/>
  <c r="AD19" i="32"/>
  <c r="AE34" i="32" s="1"/>
  <c r="AD20" i="32"/>
  <c r="AK35" i="32" s="1"/>
  <c r="N19" i="32"/>
  <c r="O19" i="32"/>
  <c r="P19" i="32"/>
  <c r="Q19" i="32"/>
  <c r="R19" i="32"/>
  <c r="S19" i="32"/>
  <c r="T19" i="32"/>
  <c r="U19" i="32"/>
  <c r="V19" i="32"/>
  <c r="W19" i="32"/>
  <c r="X19" i="32"/>
  <c r="Y19" i="32"/>
  <c r="Z19" i="32"/>
  <c r="N20" i="32"/>
  <c r="O20" i="32"/>
  <c r="P20" i="32"/>
  <c r="Q20" i="32"/>
  <c r="R20" i="32"/>
  <c r="S20" i="32"/>
  <c r="T20" i="32"/>
  <c r="U20" i="32"/>
  <c r="V20" i="32"/>
  <c r="W20" i="32"/>
  <c r="X20" i="32"/>
  <c r="Y20" i="32"/>
  <c r="Z20" i="32"/>
  <c r="B17" i="32"/>
  <c r="B18" i="32"/>
  <c r="B19" i="32"/>
  <c r="O17" i="32"/>
  <c r="P17" i="32"/>
  <c r="Q17" i="32"/>
  <c r="R17" i="32"/>
  <c r="S17" i="32"/>
  <c r="T17" i="32"/>
  <c r="U17" i="32"/>
  <c r="V17" i="32"/>
  <c r="W17" i="32"/>
  <c r="X17" i="32"/>
  <c r="Y17" i="32"/>
  <c r="Z17" i="32"/>
  <c r="O16" i="32"/>
  <c r="P16" i="32"/>
  <c r="Q16" i="32"/>
  <c r="R16" i="32"/>
  <c r="S16" i="32"/>
  <c r="T16" i="32"/>
  <c r="U16" i="32"/>
  <c r="V16" i="32"/>
  <c r="W16" i="32"/>
  <c r="X16" i="32"/>
  <c r="Y16" i="32"/>
  <c r="A14" i="32"/>
  <c r="AG12" i="32"/>
  <c r="AG13" i="32"/>
  <c r="AD12" i="32"/>
  <c r="AD13" i="32"/>
  <c r="B12" i="32"/>
  <c r="B13" i="32"/>
  <c r="O12" i="32"/>
  <c r="P12" i="32"/>
  <c r="Q12" i="32"/>
  <c r="R12" i="32"/>
  <c r="S12" i="32"/>
  <c r="T12" i="32"/>
  <c r="U12" i="32"/>
  <c r="V12" i="32"/>
  <c r="W12" i="32"/>
  <c r="X12" i="32"/>
  <c r="Y12" i="32"/>
  <c r="Z12" i="32"/>
  <c r="AA12" i="32"/>
  <c r="O13" i="32"/>
  <c r="P13" i="32"/>
  <c r="Q13" i="32"/>
  <c r="R13" i="32"/>
  <c r="S13" i="32"/>
  <c r="T13" i="32"/>
  <c r="U13" i="32"/>
  <c r="V13" i="32"/>
  <c r="W13" i="32"/>
  <c r="X13" i="32"/>
  <c r="Y13" i="32"/>
  <c r="Z13" i="32"/>
  <c r="AA13" i="32"/>
  <c r="O11" i="32"/>
  <c r="P11" i="32"/>
  <c r="Q11" i="32"/>
  <c r="R11" i="32"/>
  <c r="S11" i="32"/>
  <c r="T11" i="32"/>
  <c r="U11" i="32"/>
  <c r="V11" i="32"/>
  <c r="W11" i="32"/>
  <c r="X11" i="32"/>
  <c r="Y11" i="32"/>
  <c r="Z11" i="32"/>
  <c r="C10" i="32"/>
  <c r="D10" i="32"/>
  <c r="C9" i="32"/>
  <c r="C1" i="32"/>
  <c r="C2" i="32"/>
  <c r="C3" i="32"/>
  <c r="C4" i="32"/>
  <c r="C5" i="32"/>
  <c r="C6" i="32"/>
  <c r="C7" i="32"/>
  <c r="C8" i="32"/>
  <c r="E6" i="32"/>
  <c r="E4" i="32"/>
  <c r="F4" i="32"/>
  <c r="B3" i="32"/>
  <c r="AG39" i="31"/>
  <c r="AD39" i="31"/>
  <c r="O39" i="31"/>
  <c r="P39" i="31"/>
  <c r="Q39" i="31"/>
  <c r="R39" i="31"/>
  <c r="S39" i="31"/>
  <c r="T39" i="31"/>
  <c r="U39" i="31"/>
  <c r="V39" i="31"/>
  <c r="W39" i="31"/>
  <c r="X39" i="31"/>
  <c r="Y39" i="31"/>
  <c r="Z39" i="31"/>
  <c r="AD37" i="31"/>
  <c r="AE37" i="31"/>
  <c r="AG37" i="31"/>
  <c r="N37" i="31"/>
  <c r="N39" i="31" s="1"/>
  <c r="O37" i="31"/>
  <c r="P37" i="31"/>
  <c r="Q37" i="31"/>
  <c r="R37" i="31"/>
  <c r="S37" i="31"/>
  <c r="T37" i="31"/>
  <c r="U37" i="31"/>
  <c r="V37" i="31"/>
  <c r="W37" i="31"/>
  <c r="X37" i="31"/>
  <c r="Y37" i="31"/>
  <c r="Z37" i="31"/>
  <c r="I37" i="31"/>
  <c r="J37" i="31"/>
  <c r="AE34" i="31"/>
  <c r="AA35" i="31"/>
  <c r="AI35" i="31" s="1"/>
  <c r="I34" i="31"/>
  <c r="K34" i="31" s="1"/>
  <c r="J34" i="31"/>
  <c r="L34" i="31"/>
  <c r="M34" i="31"/>
  <c r="N34" i="31"/>
  <c r="I35" i="31"/>
  <c r="K35" i="31" s="1"/>
  <c r="J35" i="31"/>
  <c r="L35" i="31"/>
  <c r="M35" i="31"/>
  <c r="N35" i="31"/>
  <c r="I36" i="31"/>
  <c r="AA36" i="31" s="1"/>
  <c r="J36" i="31"/>
  <c r="L36" i="31"/>
  <c r="M36" i="31"/>
  <c r="N36" i="31"/>
  <c r="N33" i="31"/>
  <c r="I33" i="31"/>
  <c r="J33" i="31"/>
  <c r="AK32" i="31"/>
  <c r="AG32" i="31"/>
  <c r="AL32" i="31" s="1"/>
  <c r="AD32" i="31"/>
  <c r="O32" i="31"/>
  <c r="P32" i="31"/>
  <c r="Q32" i="31"/>
  <c r="R32" i="31"/>
  <c r="S32" i="31"/>
  <c r="T32" i="31"/>
  <c r="U32" i="31"/>
  <c r="V32" i="31"/>
  <c r="W32" i="31"/>
  <c r="X32" i="31"/>
  <c r="Y32" i="31"/>
  <c r="Z32" i="31"/>
  <c r="AJ32" i="31" s="1"/>
  <c r="AJ31" i="31"/>
  <c r="AK31" i="31"/>
  <c r="AM31" i="31" s="1"/>
  <c r="AL31" i="31"/>
  <c r="AN31" i="31" s="1"/>
  <c r="AG31" i="31"/>
  <c r="AD31" i="31"/>
  <c r="O31" i="31"/>
  <c r="P31" i="31"/>
  <c r="Q31" i="31"/>
  <c r="R31" i="31"/>
  <c r="S31" i="31"/>
  <c r="T31" i="31"/>
  <c r="U31" i="31"/>
  <c r="V31" i="31"/>
  <c r="W31" i="31"/>
  <c r="X31" i="31"/>
  <c r="Y31" i="31"/>
  <c r="Z31" i="31"/>
  <c r="AA31" i="31"/>
  <c r="N26" i="31"/>
  <c r="N27" i="31"/>
  <c r="N28" i="31"/>
  <c r="N29" i="31"/>
  <c r="B23" i="31"/>
  <c r="AG16" i="31"/>
  <c r="AG19" i="31"/>
  <c r="AG20" i="31"/>
  <c r="AL36" i="31" s="1"/>
  <c r="AD19" i="31"/>
  <c r="AE36" i="31" s="1"/>
  <c r="AD20" i="31"/>
  <c r="AK36" i="31" s="1"/>
  <c r="N19" i="31"/>
  <c r="O19" i="31"/>
  <c r="P19" i="31"/>
  <c r="Q19" i="31"/>
  <c r="R19" i="31"/>
  <c r="S19" i="31"/>
  <c r="T19" i="31"/>
  <c r="U19" i="31"/>
  <c r="V19" i="31"/>
  <c r="W19" i="31"/>
  <c r="X19" i="31"/>
  <c r="Y19" i="31"/>
  <c r="Z19" i="31"/>
  <c r="N20" i="31"/>
  <c r="O20" i="31"/>
  <c r="P20" i="31"/>
  <c r="Q20" i="31"/>
  <c r="R20" i="31"/>
  <c r="S20" i="31"/>
  <c r="T20" i="31"/>
  <c r="U20" i="31"/>
  <c r="V20" i="31"/>
  <c r="W20" i="31"/>
  <c r="X20" i="31"/>
  <c r="Y20" i="31"/>
  <c r="Z20" i="31"/>
  <c r="B17" i="31"/>
  <c r="B18" i="31"/>
  <c r="B19" i="31"/>
  <c r="O17" i="31"/>
  <c r="P17" i="31"/>
  <c r="Q17" i="31"/>
  <c r="R17" i="31"/>
  <c r="S17" i="31"/>
  <c r="T17" i="31"/>
  <c r="U17" i="31"/>
  <c r="V17" i="31"/>
  <c r="W17" i="31"/>
  <c r="X17" i="31"/>
  <c r="Y17" i="31"/>
  <c r="Z17" i="31"/>
  <c r="O16" i="31"/>
  <c r="P16" i="31"/>
  <c r="Q16" i="31"/>
  <c r="R16" i="31"/>
  <c r="S16" i="31"/>
  <c r="T16" i="31"/>
  <c r="U16" i="31"/>
  <c r="V16" i="31"/>
  <c r="W16" i="31"/>
  <c r="X16" i="31"/>
  <c r="Y16" i="31"/>
  <c r="A14" i="31"/>
  <c r="AG12" i="31"/>
  <c r="AG13" i="31"/>
  <c r="AD12" i="31"/>
  <c r="AD13" i="31"/>
  <c r="B12" i="31"/>
  <c r="B13" i="31"/>
  <c r="O12" i="31"/>
  <c r="P12" i="31"/>
  <c r="Q12" i="31"/>
  <c r="R12" i="31"/>
  <c r="S12" i="31"/>
  <c r="T12" i="31"/>
  <c r="U12" i="31"/>
  <c r="V12" i="31"/>
  <c r="W12" i="31"/>
  <c r="X12" i="31"/>
  <c r="Y12" i="31"/>
  <c r="Z12" i="31"/>
  <c r="AA12" i="31"/>
  <c r="O13" i="31"/>
  <c r="P13" i="31"/>
  <c r="Q13" i="31"/>
  <c r="R13" i="31"/>
  <c r="S13" i="31"/>
  <c r="T13" i="31"/>
  <c r="U13" i="31"/>
  <c r="V13" i="31"/>
  <c r="W13" i="31"/>
  <c r="X13" i="31"/>
  <c r="Y13" i="31"/>
  <c r="Z13" i="31"/>
  <c r="AA13" i="31"/>
  <c r="O11" i="31"/>
  <c r="P11" i="31"/>
  <c r="Q11" i="31"/>
  <c r="R11" i="31"/>
  <c r="S11" i="31"/>
  <c r="T11" i="31"/>
  <c r="U11" i="31"/>
  <c r="V11" i="31"/>
  <c r="W11" i="31"/>
  <c r="X11" i="31"/>
  <c r="Y11" i="31"/>
  <c r="Z11" i="31"/>
  <c r="C10" i="31"/>
  <c r="D10" i="31"/>
  <c r="C9" i="31"/>
  <c r="C1" i="31"/>
  <c r="C2" i="31"/>
  <c r="C3" i="31"/>
  <c r="C4" i="31"/>
  <c r="C5" i="31"/>
  <c r="C6" i="31"/>
  <c r="C7" i="31"/>
  <c r="C8" i="31"/>
  <c r="E6" i="31"/>
  <c r="E4" i="31"/>
  <c r="F4" i="31"/>
  <c r="B3" i="31"/>
  <c r="AG77" i="30"/>
  <c r="AG78" i="30"/>
  <c r="AD77" i="30"/>
  <c r="AD78" i="30"/>
  <c r="O77" i="30"/>
  <c r="P77" i="30"/>
  <c r="Q77" i="30"/>
  <c r="R77" i="30"/>
  <c r="S77" i="30"/>
  <c r="T77" i="30"/>
  <c r="U77" i="30"/>
  <c r="V77" i="30"/>
  <c r="W77" i="30"/>
  <c r="X77" i="30"/>
  <c r="Y77" i="30"/>
  <c r="Z77" i="30"/>
  <c r="N78" i="30"/>
  <c r="O78" i="30"/>
  <c r="P78" i="30"/>
  <c r="Q78" i="30"/>
  <c r="R78" i="30"/>
  <c r="S78" i="30"/>
  <c r="T78" i="30"/>
  <c r="U78" i="30"/>
  <c r="V78" i="30"/>
  <c r="W78" i="30"/>
  <c r="X78" i="30"/>
  <c r="Y78" i="30"/>
  <c r="Z78" i="30"/>
  <c r="N74" i="30"/>
  <c r="N77" i="30" s="1"/>
  <c r="N75" i="30"/>
  <c r="AK74" i="30"/>
  <c r="AI75" i="30"/>
  <c r="I74" i="30"/>
  <c r="AA74" i="30" s="1"/>
  <c r="J74" i="30"/>
  <c r="I75" i="30"/>
  <c r="AA75" i="30" s="1"/>
  <c r="AF75" i="30" s="1"/>
  <c r="J75" i="30"/>
  <c r="N48" i="30"/>
  <c r="N49" i="30"/>
  <c r="N50" i="30"/>
  <c r="N51" i="30"/>
  <c r="N52" i="30"/>
  <c r="N53" i="30"/>
  <c r="N54" i="30"/>
  <c r="N55" i="30"/>
  <c r="N56" i="30"/>
  <c r="N57" i="30"/>
  <c r="N58" i="30"/>
  <c r="N59" i="30"/>
  <c r="N60" i="30"/>
  <c r="N61" i="30"/>
  <c r="N62" i="30"/>
  <c r="N63" i="30"/>
  <c r="N64" i="30"/>
  <c r="N65" i="30"/>
  <c r="N66" i="30"/>
  <c r="N67" i="30"/>
  <c r="N68" i="30"/>
  <c r="N69" i="30"/>
  <c r="N70" i="30"/>
  <c r="N71" i="30"/>
  <c r="N72" i="30"/>
  <c r="I72" i="30"/>
  <c r="AA72" i="30" s="1"/>
  <c r="J72" i="30"/>
  <c r="B54" i="30"/>
  <c r="B48" i="30"/>
  <c r="B49" i="30"/>
  <c r="B50" i="30"/>
  <c r="AK53" i="30"/>
  <c r="AI59" i="30"/>
  <c r="AK60" i="30"/>
  <c r="AK67" i="30"/>
  <c r="AK71" i="30"/>
  <c r="AF52" i="30"/>
  <c r="AE53" i="30"/>
  <c r="AE57" i="30"/>
  <c r="AE58" i="30"/>
  <c r="AE62" i="30"/>
  <c r="AE69" i="30"/>
  <c r="AE70" i="30"/>
  <c r="AA57" i="30"/>
  <c r="AI57" i="30" s="1"/>
  <c r="AB57" i="30"/>
  <c r="AA65" i="30"/>
  <c r="AI65" i="30" s="1"/>
  <c r="AA66" i="30"/>
  <c r="I49" i="30"/>
  <c r="AA49" i="30" s="1"/>
  <c r="AF49" i="30" s="1"/>
  <c r="J49" i="30"/>
  <c r="L49" i="30"/>
  <c r="M49" i="30"/>
  <c r="I50" i="30"/>
  <c r="J50" i="30"/>
  <c r="L50" i="30"/>
  <c r="M50" i="30"/>
  <c r="I51" i="30"/>
  <c r="J51" i="30"/>
  <c r="L51" i="30"/>
  <c r="M51" i="30"/>
  <c r="I52" i="30"/>
  <c r="AA52" i="30" s="1"/>
  <c r="AI52" i="30" s="1"/>
  <c r="J52" i="30"/>
  <c r="K52" i="30"/>
  <c r="L52" i="30"/>
  <c r="M52" i="30"/>
  <c r="I53" i="30"/>
  <c r="AA53" i="30" s="1"/>
  <c r="AB53" i="30" s="1"/>
  <c r="AM53" i="30" s="1"/>
  <c r="J53" i="30"/>
  <c r="L53" i="30"/>
  <c r="M53" i="30"/>
  <c r="I54" i="30"/>
  <c r="K54" i="30" s="1"/>
  <c r="J54" i="30"/>
  <c r="L54" i="30"/>
  <c r="M54" i="30"/>
  <c r="I55" i="30"/>
  <c r="J55" i="30"/>
  <c r="L55" i="30"/>
  <c r="M55" i="30"/>
  <c r="I56" i="30"/>
  <c r="AA56" i="30" s="1"/>
  <c r="AI56" i="30" s="1"/>
  <c r="J56" i="30"/>
  <c r="L56" i="30"/>
  <c r="M56" i="30"/>
  <c r="I57" i="30"/>
  <c r="K57" i="30" s="1"/>
  <c r="J57" i="30"/>
  <c r="L57" i="30"/>
  <c r="M57" i="30"/>
  <c r="I58" i="30"/>
  <c r="AA58" i="30" s="1"/>
  <c r="J58" i="30"/>
  <c r="K58" i="30"/>
  <c r="L58" i="30"/>
  <c r="M58" i="30"/>
  <c r="I59" i="30"/>
  <c r="AA59" i="30" s="1"/>
  <c r="AF59" i="30" s="1"/>
  <c r="J59" i="30"/>
  <c r="L59" i="30"/>
  <c r="M59" i="30"/>
  <c r="I60" i="30"/>
  <c r="AA60" i="30" s="1"/>
  <c r="AI60" i="30" s="1"/>
  <c r="J60" i="30"/>
  <c r="K60" i="30"/>
  <c r="L60" i="30"/>
  <c r="M60" i="30"/>
  <c r="I61" i="30"/>
  <c r="J61" i="30"/>
  <c r="L61" i="30"/>
  <c r="M61" i="30"/>
  <c r="I62" i="30"/>
  <c r="K62" i="30" s="1"/>
  <c r="J62" i="30"/>
  <c r="L62" i="30"/>
  <c r="M62" i="30"/>
  <c r="I63" i="30"/>
  <c r="J63" i="30"/>
  <c r="L63" i="30"/>
  <c r="M63" i="30"/>
  <c r="I64" i="30"/>
  <c r="J64" i="30"/>
  <c r="L64" i="30"/>
  <c r="M64" i="30"/>
  <c r="I65" i="30"/>
  <c r="K65" i="30" s="1"/>
  <c r="J65" i="30"/>
  <c r="L65" i="30"/>
  <c r="M65" i="30"/>
  <c r="I66" i="30"/>
  <c r="J66" i="30"/>
  <c r="K66" i="30"/>
  <c r="L66" i="30"/>
  <c r="M66" i="30"/>
  <c r="I67" i="30"/>
  <c r="AA67" i="30" s="1"/>
  <c r="AI67" i="30" s="1"/>
  <c r="J67" i="30"/>
  <c r="L67" i="30"/>
  <c r="M67" i="30"/>
  <c r="I68" i="30"/>
  <c r="AA68" i="30" s="1"/>
  <c r="AI68" i="30" s="1"/>
  <c r="J68" i="30"/>
  <c r="K68" i="30"/>
  <c r="L68" i="30"/>
  <c r="M68" i="30"/>
  <c r="I69" i="30"/>
  <c r="AA69" i="30" s="1"/>
  <c r="J69" i="30"/>
  <c r="L69" i="30"/>
  <c r="M69" i="30"/>
  <c r="I70" i="30"/>
  <c r="K70" i="30" s="1"/>
  <c r="J70" i="30"/>
  <c r="L70" i="30"/>
  <c r="M70" i="30"/>
  <c r="I71" i="30"/>
  <c r="J71" i="30"/>
  <c r="L71" i="30"/>
  <c r="M71" i="30"/>
  <c r="I48" i="30"/>
  <c r="J48" i="30"/>
  <c r="A45" i="30"/>
  <c r="AK35" i="30"/>
  <c r="AH36" i="30"/>
  <c r="AH37" i="30"/>
  <c r="AK37" i="30"/>
  <c r="AK43" i="30"/>
  <c r="AK45" i="30"/>
  <c r="AE36" i="30"/>
  <c r="AE37" i="30"/>
  <c r="AE38" i="30"/>
  <c r="AE39" i="30"/>
  <c r="AE40" i="30"/>
  <c r="AE41" i="30"/>
  <c r="AE43" i="30"/>
  <c r="AE44" i="30"/>
  <c r="AE46" i="30"/>
  <c r="AF46" i="30"/>
  <c r="AA38" i="30"/>
  <c r="AI38" i="30" s="1"/>
  <c r="AA46" i="30"/>
  <c r="I35" i="30"/>
  <c r="K35" i="30" s="1"/>
  <c r="J35" i="30"/>
  <c r="L35" i="30"/>
  <c r="M35" i="30"/>
  <c r="N35" i="30"/>
  <c r="I36" i="30"/>
  <c r="AA36" i="30" s="1"/>
  <c r="AI36" i="30" s="1"/>
  <c r="J36" i="30"/>
  <c r="L36" i="30"/>
  <c r="M36" i="30"/>
  <c r="N36" i="30"/>
  <c r="I37" i="30"/>
  <c r="K37" i="30" s="1"/>
  <c r="J37" i="30"/>
  <c r="L37" i="30"/>
  <c r="M37" i="30"/>
  <c r="N37" i="30"/>
  <c r="I38" i="30"/>
  <c r="K38" i="30" s="1"/>
  <c r="J38" i="30"/>
  <c r="L38" i="30"/>
  <c r="M38" i="30"/>
  <c r="N38" i="30"/>
  <c r="I39" i="30"/>
  <c r="K39" i="30" s="1"/>
  <c r="J39" i="30"/>
  <c r="L39" i="30"/>
  <c r="M39" i="30"/>
  <c r="N39" i="30"/>
  <c r="I40" i="30"/>
  <c r="AA40" i="30" s="1"/>
  <c r="J40" i="30"/>
  <c r="L40" i="30"/>
  <c r="M40" i="30"/>
  <c r="N40" i="30"/>
  <c r="I41" i="30"/>
  <c r="K41" i="30" s="1"/>
  <c r="J41" i="30"/>
  <c r="L41" i="30"/>
  <c r="M41" i="30"/>
  <c r="N41" i="30"/>
  <c r="I42" i="30"/>
  <c r="AA42" i="30" s="1"/>
  <c r="J42" i="30"/>
  <c r="L42" i="30"/>
  <c r="M42" i="30"/>
  <c r="N42" i="30"/>
  <c r="I43" i="30"/>
  <c r="K43" i="30" s="1"/>
  <c r="J43" i="30"/>
  <c r="L43" i="30"/>
  <c r="M43" i="30"/>
  <c r="N43" i="30"/>
  <c r="I44" i="30"/>
  <c r="AA44" i="30" s="1"/>
  <c r="J44" i="30"/>
  <c r="L44" i="30"/>
  <c r="M44" i="30"/>
  <c r="N44" i="30"/>
  <c r="I45" i="30"/>
  <c r="K45" i="30" s="1"/>
  <c r="J45" i="30"/>
  <c r="L45" i="30"/>
  <c r="M45" i="30"/>
  <c r="N45" i="30"/>
  <c r="I46" i="30"/>
  <c r="J46" i="30"/>
  <c r="K46" i="30"/>
  <c r="L46" i="30"/>
  <c r="M46" i="30"/>
  <c r="N46" i="30"/>
  <c r="N33" i="30"/>
  <c r="N34" i="30"/>
  <c r="I33" i="30"/>
  <c r="J33" i="30"/>
  <c r="I34" i="30"/>
  <c r="J34" i="30"/>
  <c r="AG32" i="30"/>
  <c r="AL32" i="30" s="1"/>
  <c r="AD32" i="30"/>
  <c r="AK32" i="30" s="1"/>
  <c r="O32" i="30"/>
  <c r="P32" i="30"/>
  <c r="Q32" i="30"/>
  <c r="R32" i="30"/>
  <c r="S32" i="30"/>
  <c r="T32" i="30"/>
  <c r="U32" i="30"/>
  <c r="V32" i="30"/>
  <c r="W32" i="30"/>
  <c r="X32" i="30"/>
  <c r="Y32" i="30"/>
  <c r="Z32" i="30"/>
  <c r="AJ32" i="30" s="1"/>
  <c r="AJ31" i="30"/>
  <c r="AK31" i="30"/>
  <c r="AM31" i="30" s="1"/>
  <c r="AL31" i="30"/>
  <c r="AN31" i="30"/>
  <c r="AG31" i="30"/>
  <c r="AD31" i="30"/>
  <c r="O31" i="30"/>
  <c r="P31" i="30"/>
  <c r="Q31" i="30"/>
  <c r="R31" i="30"/>
  <c r="S31" i="30"/>
  <c r="T31" i="30"/>
  <c r="U31" i="30"/>
  <c r="V31" i="30"/>
  <c r="W31" i="30"/>
  <c r="X31" i="30"/>
  <c r="Y31" i="30"/>
  <c r="Z31" i="30"/>
  <c r="AA31" i="30"/>
  <c r="N26" i="30"/>
  <c r="N27" i="30"/>
  <c r="N28" i="30"/>
  <c r="N29" i="30"/>
  <c r="B22" i="30"/>
  <c r="B23" i="30"/>
  <c r="AG16" i="30"/>
  <c r="AG19" i="30"/>
  <c r="AG20" i="30"/>
  <c r="AD19" i="30"/>
  <c r="AE74" i="30" s="1"/>
  <c r="AD20" i="30"/>
  <c r="AK55" i="30" s="1"/>
  <c r="N19" i="30"/>
  <c r="O19" i="30"/>
  <c r="P19" i="30"/>
  <c r="Q19" i="30"/>
  <c r="R19" i="30"/>
  <c r="S19" i="30"/>
  <c r="T19" i="30"/>
  <c r="U19" i="30"/>
  <c r="V19" i="30"/>
  <c r="W19" i="30"/>
  <c r="X19" i="30"/>
  <c r="Y19" i="30"/>
  <c r="Z19" i="30"/>
  <c r="N20" i="30"/>
  <c r="O20" i="30"/>
  <c r="P20" i="30"/>
  <c r="Q20" i="30"/>
  <c r="R20" i="30"/>
  <c r="S20" i="30"/>
  <c r="T20" i="30"/>
  <c r="U20" i="30"/>
  <c r="V20" i="30"/>
  <c r="W20" i="30"/>
  <c r="X20" i="30"/>
  <c r="Y20" i="30"/>
  <c r="Z20" i="30"/>
  <c r="B17" i="30"/>
  <c r="B18" i="30"/>
  <c r="B19" i="30"/>
  <c r="O17" i="30"/>
  <c r="P17" i="30"/>
  <c r="Q17" i="30"/>
  <c r="R17" i="30"/>
  <c r="S17" i="30"/>
  <c r="T17" i="30"/>
  <c r="U17" i="30"/>
  <c r="V17" i="30"/>
  <c r="W17" i="30"/>
  <c r="X17" i="30"/>
  <c r="Y17" i="30"/>
  <c r="Z17" i="30"/>
  <c r="O16" i="30"/>
  <c r="P16" i="30"/>
  <c r="Q16" i="30"/>
  <c r="R16" i="30"/>
  <c r="S16" i="30"/>
  <c r="T16" i="30"/>
  <c r="U16" i="30"/>
  <c r="V16" i="30"/>
  <c r="W16" i="30"/>
  <c r="X16" i="30"/>
  <c r="Y16" i="30"/>
  <c r="A14" i="30"/>
  <c r="AG12" i="30"/>
  <c r="AG13" i="30"/>
  <c r="AD12" i="30"/>
  <c r="AD13" i="30"/>
  <c r="B12" i="30"/>
  <c r="B13" i="30"/>
  <c r="O12" i="30"/>
  <c r="P12" i="30"/>
  <c r="Q12" i="30"/>
  <c r="R12" i="30"/>
  <c r="S12" i="30"/>
  <c r="T12" i="30"/>
  <c r="U12" i="30"/>
  <c r="V12" i="30"/>
  <c r="W12" i="30"/>
  <c r="X12" i="30"/>
  <c r="Y12" i="30"/>
  <c r="Z12" i="30"/>
  <c r="AA12" i="30"/>
  <c r="O13" i="30"/>
  <c r="P13" i="30"/>
  <c r="Q13" i="30"/>
  <c r="R13" i="30"/>
  <c r="S13" i="30"/>
  <c r="T13" i="30"/>
  <c r="U13" i="30"/>
  <c r="V13" i="30"/>
  <c r="W13" i="30"/>
  <c r="X13" i="30"/>
  <c r="Y13" i="30"/>
  <c r="Z13" i="30"/>
  <c r="AA13" i="30"/>
  <c r="O11" i="30"/>
  <c r="P11" i="30"/>
  <c r="Q11" i="30"/>
  <c r="R11" i="30"/>
  <c r="S11" i="30"/>
  <c r="T11" i="30"/>
  <c r="U11" i="30"/>
  <c r="V11" i="30"/>
  <c r="W11" i="30"/>
  <c r="X11" i="30"/>
  <c r="Y11" i="30"/>
  <c r="Z11" i="30"/>
  <c r="C10" i="30"/>
  <c r="D10" i="30"/>
  <c r="C9" i="30"/>
  <c r="C1" i="30"/>
  <c r="C2" i="30"/>
  <c r="C3" i="30"/>
  <c r="C4" i="30"/>
  <c r="C5" i="30"/>
  <c r="C6" i="30"/>
  <c r="C7" i="30"/>
  <c r="C8" i="30"/>
  <c r="E6" i="30"/>
  <c r="E4" i="30"/>
  <c r="F4" i="30"/>
  <c r="B3" i="30"/>
  <c r="AG77" i="29"/>
  <c r="AG78" i="29"/>
  <c r="AD77" i="29"/>
  <c r="AD78" i="29"/>
  <c r="O77" i="29"/>
  <c r="P77" i="29"/>
  <c r="Q77" i="29"/>
  <c r="R77" i="29"/>
  <c r="S77" i="29"/>
  <c r="T77" i="29"/>
  <c r="U77" i="29"/>
  <c r="V77" i="29"/>
  <c r="W77" i="29"/>
  <c r="X77" i="29"/>
  <c r="Y77" i="29"/>
  <c r="Z77" i="29"/>
  <c r="N78" i="29"/>
  <c r="O78" i="29"/>
  <c r="P78" i="29"/>
  <c r="Q78" i="29"/>
  <c r="R78" i="29"/>
  <c r="S78" i="29"/>
  <c r="T78" i="29"/>
  <c r="U78" i="29"/>
  <c r="V78" i="29"/>
  <c r="W78" i="29"/>
  <c r="X78" i="29"/>
  <c r="Y78" i="29"/>
  <c r="Z78" i="29"/>
  <c r="N74" i="29"/>
  <c r="N77" i="29" s="1"/>
  <c r="N75" i="29"/>
  <c r="AA74" i="29"/>
  <c r="I74" i="29"/>
  <c r="J74" i="29"/>
  <c r="I75" i="29"/>
  <c r="AA75" i="29" s="1"/>
  <c r="J75" i="29"/>
  <c r="N49" i="29"/>
  <c r="N50" i="29"/>
  <c r="N51" i="29"/>
  <c r="N52" i="29"/>
  <c r="N53" i="29"/>
  <c r="N54" i="29"/>
  <c r="N55" i="29"/>
  <c r="N56" i="29"/>
  <c r="N57" i="29"/>
  <c r="N58" i="29"/>
  <c r="N59" i="29"/>
  <c r="N60" i="29"/>
  <c r="N61" i="29"/>
  <c r="N62" i="29"/>
  <c r="N63" i="29"/>
  <c r="N64" i="29"/>
  <c r="N65" i="29"/>
  <c r="N66" i="29"/>
  <c r="N67" i="29"/>
  <c r="N68" i="29"/>
  <c r="N69" i="29"/>
  <c r="N70" i="29"/>
  <c r="N71" i="29"/>
  <c r="N72" i="29"/>
  <c r="I72" i="29"/>
  <c r="AA72" i="29" s="1"/>
  <c r="AF72" i="29" s="1"/>
  <c r="J72" i="29"/>
  <c r="B54" i="29"/>
  <c r="AK52" i="29"/>
  <c r="AH65" i="29"/>
  <c r="AK67" i="29"/>
  <c r="AE50" i="29"/>
  <c r="AF55" i="29"/>
  <c r="AE62" i="29"/>
  <c r="AF62" i="29"/>
  <c r="AF63" i="29"/>
  <c r="AE65" i="29"/>
  <c r="AA53" i="29"/>
  <c r="AA55" i="29"/>
  <c r="AI55" i="29" s="1"/>
  <c r="AA63" i="29"/>
  <c r="AI63" i="29" s="1"/>
  <c r="AA64" i="29"/>
  <c r="AF64" i="29" s="1"/>
  <c r="AA67" i="29"/>
  <c r="AI67" i="29" s="1"/>
  <c r="AA68" i="29"/>
  <c r="I50" i="29"/>
  <c r="J50" i="29"/>
  <c r="L50" i="29"/>
  <c r="M50" i="29"/>
  <c r="I51" i="29"/>
  <c r="AA51" i="29" s="1"/>
  <c r="J51" i="29"/>
  <c r="L51" i="29"/>
  <c r="M51" i="29"/>
  <c r="I52" i="29"/>
  <c r="AA52" i="29" s="1"/>
  <c r="J52" i="29"/>
  <c r="L52" i="29"/>
  <c r="M52" i="29"/>
  <c r="I53" i="29"/>
  <c r="K53" i="29" s="1"/>
  <c r="J53" i="29"/>
  <c r="L53" i="29"/>
  <c r="M53" i="29"/>
  <c r="I54" i="29"/>
  <c r="AA54" i="29" s="1"/>
  <c r="AI54" i="29" s="1"/>
  <c r="J54" i="29"/>
  <c r="K54" i="29"/>
  <c r="L54" i="29"/>
  <c r="M54" i="29"/>
  <c r="I55" i="29"/>
  <c r="K55" i="29" s="1"/>
  <c r="J55" i="29"/>
  <c r="L55" i="29"/>
  <c r="M55" i="29"/>
  <c r="I56" i="29"/>
  <c r="AA56" i="29" s="1"/>
  <c r="J56" i="29"/>
  <c r="L56" i="29"/>
  <c r="M56" i="29"/>
  <c r="I57" i="29"/>
  <c r="AA57" i="29" s="1"/>
  <c r="AI57" i="29" s="1"/>
  <c r="J57" i="29"/>
  <c r="K57" i="29"/>
  <c r="L57" i="29"/>
  <c r="M57" i="29"/>
  <c r="I58" i="29"/>
  <c r="J58" i="29"/>
  <c r="L58" i="29"/>
  <c r="M58" i="29"/>
  <c r="I59" i="29"/>
  <c r="J59" i="29"/>
  <c r="L59" i="29"/>
  <c r="M59" i="29"/>
  <c r="I60" i="29"/>
  <c r="K60" i="29" s="1"/>
  <c r="J60" i="29"/>
  <c r="L60" i="29"/>
  <c r="M60" i="29"/>
  <c r="I61" i="29"/>
  <c r="K61" i="29" s="1"/>
  <c r="J61" i="29"/>
  <c r="L61" i="29"/>
  <c r="M61" i="29"/>
  <c r="I62" i="29"/>
  <c r="AA62" i="29" s="1"/>
  <c r="J62" i="29"/>
  <c r="L62" i="29"/>
  <c r="M62" i="29"/>
  <c r="I63" i="29"/>
  <c r="K63" i="29" s="1"/>
  <c r="J63" i="29"/>
  <c r="L63" i="29"/>
  <c r="M63" i="29"/>
  <c r="I64" i="29"/>
  <c r="K64" i="29" s="1"/>
  <c r="J64" i="29"/>
  <c r="L64" i="29"/>
  <c r="M64" i="29"/>
  <c r="I65" i="29"/>
  <c r="AA65" i="29" s="1"/>
  <c r="J65" i="29"/>
  <c r="K65" i="29"/>
  <c r="L65" i="29"/>
  <c r="M65" i="29"/>
  <c r="I66" i="29"/>
  <c r="J66" i="29"/>
  <c r="L66" i="29"/>
  <c r="M66" i="29"/>
  <c r="I67" i="29"/>
  <c r="K67" i="29" s="1"/>
  <c r="J67" i="29"/>
  <c r="L67" i="29"/>
  <c r="M67" i="29"/>
  <c r="I68" i="29"/>
  <c r="J68" i="29"/>
  <c r="K68" i="29"/>
  <c r="L68" i="29"/>
  <c r="M68" i="29"/>
  <c r="I69" i="29"/>
  <c r="K69" i="29" s="1"/>
  <c r="J69" i="29"/>
  <c r="L69" i="29"/>
  <c r="M69" i="29"/>
  <c r="I70" i="29"/>
  <c r="AA70" i="29" s="1"/>
  <c r="AF70" i="29" s="1"/>
  <c r="J70" i="29"/>
  <c r="L70" i="29"/>
  <c r="M70" i="29"/>
  <c r="I71" i="29"/>
  <c r="K71" i="29" s="1"/>
  <c r="J71" i="29"/>
  <c r="L71" i="29"/>
  <c r="M71" i="29"/>
  <c r="B48" i="29"/>
  <c r="B49" i="29"/>
  <c r="B50" i="29"/>
  <c r="I49" i="29"/>
  <c r="J49" i="29"/>
  <c r="A45" i="29"/>
  <c r="AK35" i="29"/>
  <c r="AH36" i="29"/>
  <c r="AK36" i="29"/>
  <c r="AH37" i="29"/>
  <c r="AK38" i="29"/>
  <c r="AK40" i="29"/>
  <c r="AK41" i="29"/>
  <c r="AK43" i="29"/>
  <c r="AE36" i="29"/>
  <c r="AE37" i="29"/>
  <c r="AE40" i="29"/>
  <c r="AE43" i="29"/>
  <c r="AE47" i="29"/>
  <c r="AA39" i="29"/>
  <c r="I35" i="29"/>
  <c r="J35" i="29"/>
  <c r="L35" i="29"/>
  <c r="M35" i="29"/>
  <c r="N35" i="29"/>
  <c r="I36" i="29"/>
  <c r="AA36" i="29" s="1"/>
  <c r="J36" i="29"/>
  <c r="L36" i="29"/>
  <c r="M36" i="29"/>
  <c r="N36" i="29"/>
  <c r="I37" i="29"/>
  <c r="J37" i="29"/>
  <c r="L37" i="29"/>
  <c r="M37" i="29"/>
  <c r="N37" i="29"/>
  <c r="I38" i="29"/>
  <c r="K38" i="29" s="1"/>
  <c r="J38" i="29"/>
  <c r="L38" i="29"/>
  <c r="M38" i="29"/>
  <c r="N38" i="29"/>
  <c r="I39" i="29"/>
  <c r="K39" i="29" s="1"/>
  <c r="J39" i="29"/>
  <c r="L39" i="29"/>
  <c r="M39" i="29"/>
  <c r="N39" i="29"/>
  <c r="I40" i="29"/>
  <c r="AA40" i="29" s="1"/>
  <c r="J40" i="29"/>
  <c r="L40" i="29"/>
  <c r="M40" i="29"/>
  <c r="N40" i="29"/>
  <c r="I41" i="29"/>
  <c r="J41" i="29"/>
  <c r="L41" i="29"/>
  <c r="M41" i="29"/>
  <c r="N41" i="29"/>
  <c r="I42" i="29"/>
  <c r="AA42" i="29" s="1"/>
  <c r="J42" i="29"/>
  <c r="L42" i="29"/>
  <c r="M42" i="29"/>
  <c r="N42" i="29"/>
  <c r="I43" i="29"/>
  <c r="K43" i="29" s="1"/>
  <c r="J43" i="29"/>
  <c r="L43" i="29"/>
  <c r="M43" i="29"/>
  <c r="N43" i="29"/>
  <c r="I44" i="29"/>
  <c r="AA44" i="29" s="1"/>
  <c r="J44" i="29"/>
  <c r="L44" i="29"/>
  <c r="M44" i="29"/>
  <c r="N44" i="29"/>
  <c r="I45" i="29"/>
  <c r="J45" i="29"/>
  <c r="L45" i="29"/>
  <c r="M45" i="29"/>
  <c r="N45" i="29"/>
  <c r="I46" i="29"/>
  <c r="AA46" i="29" s="1"/>
  <c r="J46" i="29"/>
  <c r="K46" i="29"/>
  <c r="L46" i="29"/>
  <c r="M46" i="29"/>
  <c r="N46" i="29"/>
  <c r="I47" i="29"/>
  <c r="K47" i="29" s="1"/>
  <c r="J47" i="29"/>
  <c r="L47" i="29"/>
  <c r="M47" i="29"/>
  <c r="N47" i="29"/>
  <c r="N33" i="29"/>
  <c r="N34" i="29"/>
  <c r="I33" i="29"/>
  <c r="J33" i="29"/>
  <c r="I34" i="29"/>
  <c r="J34" i="29"/>
  <c r="AJ32" i="29"/>
  <c r="AK32" i="29"/>
  <c r="AG32" i="29"/>
  <c r="AL32" i="29" s="1"/>
  <c r="AD32" i="29"/>
  <c r="O32" i="29"/>
  <c r="P32" i="29"/>
  <c r="Q32" i="29"/>
  <c r="R32" i="29"/>
  <c r="S32" i="29"/>
  <c r="T32" i="29"/>
  <c r="U32" i="29"/>
  <c r="V32" i="29"/>
  <c r="W32" i="29"/>
  <c r="X32" i="29"/>
  <c r="Y32" i="29"/>
  <c r="Z32" i="29"/>
  <c r="AJ31" i="29"/>
  <c r="AK31" i="29"/>
  <c r="AM31" i="29" s="1"/>
  <c r="AL31" i="29"/>
  <c r="AN31" i="29" s="1"/>
  <c r="AG31" i="29"/>
  <c r="AD31" i="29"/>
  <c r="O31" i="29"/>
  <c r="P31" i="29"/>
  <c r="Q31" i="29"/>
  <c r="R31" i="29"/>
  <c r="S31" i="29"/>
  <c r="T31" i="29"/>
  <c r="U31" i="29"/>
  <c r="V31" i="29"/>
  <c r="W31" i="29"/>
  <c r="X31" i="29"/>
  <c r="Y31" i="29"/>
  <c r="Z31" i="29"/>
  <c r="AA31" i="29"/>
  <c r="N26" i="29"/>
  <c r="N27" i="29"/>
  <c r="N28" i="29"/>
  <c r="N29" i="29"/>
  <c r="B22" i="29"/>
  <c r="B23" i="29"/>
  <c r="AG16" i="29"/>
  <c r="AG19" i="29"/>
  <c r="AG20" i="29"/>
  <c r="AL52" i="29" s="1"/>
  <c r="AD19" i="29"/>
  <c r="AE52" i="29" s="1"/>
  <c r="AD20" i="29"/>
  <c r="AK72" i="29" s="1"/>
  <c r="N19" i="29"/>
  <c r="O19" i="29"/>
  <c r="P19" i="29"/>
  <c r="Q19" i="29"/>
  <c r="R19" i="29"/>
  <c r="S19" i="29"/>
  <c r="T19" i="29"/>
  <c r="U19" i="29"/>
  <c r="V19" i="29"/>
  <c r="W19" i="29"/>
  <c r="X19" i="29"/>
  <c r="Y19" i="29"/>
  <c r="Z19" i="29"/>
  <c r="N20" i="29"/>
  <c r="O20" i="29"/>
  <c r="P20" i="29"/>
  <c r="Q20" i="29"/>
  <c r="R20" i="29"/>
  <c r="S20" i="29"/>
  <c r="T20" i="29"/>
  <c r="U20" i="29"/>
  <c r="V20" i="29"/>
  <c r="W20" i="29"/>
  <c r="X20" i="29"/>
  <c r="Y20" i="29"/>
  <c r="Z20" i="29"/>
  <c r="B17" i="29"/>
  <c r="B18" i="29"/>
  <c r="B19" i="29"/>
  <c r="O17" i="29"/>
  <c r="P17" i="29"/>
  <c r="Q17" i="29"/>
  <c r="R17" i="29"/>
  <c r="S17" i="29"/>
  <c r="T17" i="29"/>
  <c r="U17" i="29"/>
  <c r="V17" i="29"/>
  <c r="W17" i="29"/>
  <c r="X17" i="29"/>
  <c r="Y17" i="29"/>
  <c r="Z17" i="29"/>
  <c r="O16" i="29"/>
  <c r="P16" i="29"/>
  <c r="Q16" i="29"/>
  <c r="R16" i="29"/>
  <c r="S16" i="29"/>
  <c r="T16" i="29"/>
  <c r="U16" i="29"/>
  <c r="V16" i="29"/>
  <c r="W16" i="29"/>
  <c r="X16" i="29"/>
  <c r="Y16" i="29"/>
  <c r="A14" i="29"/>
  <c r="AG12" i="29"/>
  <c r="AG13" i="29"/>
  <c r="AD12" i="29"/>
  <c r="AD13" i="29"/>
  <c r="B12" i="29"/>
  <c r="B13" i="29"/>
  <c r="O12" i="29"/>
  <c r="P12" i="29"/>
  <c r="Q12" i="29"/>
  <c r="R12" i="29"/>
  <c r="S12" i="29"/>
  <c r="T12" i="29"/>
  <c r="U12" i="29"/>
  <c r="V12" i="29"/>
  <c r="W12" i="29"/>
  <c r="X12" i="29"/>
  <c r="Y12" i="29"/>
  <c r="Z12" i="29"/>
  <c r="AA12" i="29"/>
  <c r="O13" i="29"/>
  <c r="P13" i="29"/>
  <c r="Q13" i="29"/>
  <c r="R13" i="29"/>
  <c r="S13" i="29"/>
  <c r="T13" i="29"/>
  <c r="U13" i="29"/>
  <c r="V13" i="29"/>
  <c r="W13" i="29"/>
  <c r="X13" i="29"/>
  <c r="Y13" i="29"/>
  <c r="Z13" i="29"/>
  <c r="AA13" i="29"/>
  <c r="O11" i="29"/>
  <c r="P11" i="29"/>
  <c r="Q11" i="29"/>
  <c r="R11" i="29"/>
  <c r="S11" i="29"/>
  <c r="T11" i="29"/>
  <c r="U11" i="29"/>
  <c r="V11" i="29"/>
  <c r="W11" i="29"/>
  <c r="X11" i="29"/>
  <c r="Y11" i="29"/>
  <c r="Z11" i="29"/>
  <c r="C10" i="29"/>
  <c r="D10" i="29"/>
  <c r="C9" i="29"/>
  <c r="C1" i="29"/>
  <c r="C2" i="29"/>
  <c r="C3" i="29"/>
  <c r="C4" i="29"/>
  <c r="C5" i="29"/>
  <c r="C6" i="29"/>
  <c r="C7" i="29"/>
  <c r="C8" i="29"/>
  <c r="E6" i="29"/>
  <c r="E4" i="29"/>
  <c r="F4" i="29"/>
  <c r="B3" i="29"/>
  <c r="B100" i="28"/>
  <c r="B94" i="28"/>
  <c r="B95" i="28"/>
  <c r="B96" i="28"/>
  <c r="A91" i="28"/>
  <c r="B77" i="28"/>
  <c r="B71" i="28"/>
  <c r="B72" i="28"/>
  <c r="B73" i="28"/>
  <c r="A68" i="28"/>
  <c r="AG67" i="28"/>
  <c r="AD67" i="28"/>
  <c r="O67" i="28"/>
  <c r="P67" i="28"/>
  <c r="Q67" i="28"/>
  <c r="R67" i="28"/>
  <c r="S67" i="28"/>
  <c r="T67" i="28"/>
  <c r="U67" i="28"/>
  <c r="V67" i="28"/>
  <c r="W67" i="28"/>
  <c r="X67" i="28"/>
  <c r="Y67" i="28"/>
  <c r="Z67" i="28"/>
  <c r="N63" i="28"/>
  <c r="N66" i="28" s="1"/>
  <c r="N64" i="28"/>
  <c r="N67" i="28" s="1"/>
  <c r="AK64" i="28"/>
  <c r="AA63" i="28"/>
  <c r="AA64" i="28"/>
  <c r="AF64" i="28" s="1"/>
  <c r="I63" i="28"/>
  <c r="J63" i="28"/>
  <c r="I64" i="28"/>
  <c r="J64" i="28"/>
  <c r="AD61" i="28"/>
  <c r="AG61" i="28"/>
  <c r="N61" i="28"/>
  <c r="O61" i="28"/>
  <c r="P61" i="28"/>
  <c r="Q61" i="28"/>
  <c r="R61" i="28"/>
  <c r="S61" i="28"/>
  <c r="T61" i="28"/>
  <c r="U61" i="28"/>
  <c r="V61" i="28"/>
  <c r="W61" i="28"/>
  <c r="X61" i="28"/>
  <c r="Y61" i="28"/>
  <c r="Z61" i="28"/>
  <c r="I61" i="28"/>
  <c r="J61" i="28"/>
  <c r="AH56" i="28"/>
  <c r="AK56" i="28"/>
  <c r="AH57" i="28"/>
  <c r="AK58" i="28"/>
  <c r="AH59" i="28"/>
  <c r="AE56" i="28"/>
  <c r="AE57" i="28"/>
  <c r="AE59" i="28"/>
  <c r="AA56" i="28"/>
  <c r="AI56" i="28" s="1"/>
  <c r="AA58" i="28"/>
  <c r="I56" i="28"/>
  <c r="K56" i="28" s="1"/>
  <c r="J56" i="28"/>
  <c r="L56" i="28"/>
  <c r="M56" i="28"/>
  <c r="N56" i="28"/>
  <c r="I57" i="28"/>
  <c r="AA57" i="28" s="1"/>
  <c r="AF57" i="28" s="1"/>
  <c r="J57" i="28"/>
  <c r="L57" i="28"/>
  <c r="M57" i="28"/>
  <c r="N57" i="28"/>
  <c r="I58" i="28"/>
  <c r="K58" i="28" s="1"/>
  <c r="J58" i="28"/>
  <c r="L58" i="28"/>
  <c r="M58" i="28"/>
  <c r="N58" i="28"/>
  <c r="I59" i="28"/>
  <c r="J59" i="28"/>
  <c r="L59" i="28"/>
  <c r="M59" i="28"/>
  <c r="N59" i="28"/>
  <c r="I60" i="28"/>
  <c r="AA60" i="28" s="1"/>
  <c r="AF60" i="28" s="1"/>
  <c r="J60" i="28"/>
  <c r="L60" i="28"/>
  <c r="M60" i="28"/>
  <c r="N60" i="28"/>
  <c r="N55" i="28"/>
  <c r="I55" i="28"/>
  <c r="J55" i="28"/>
  <c r="B54" i="28"/>
  <c r="AD53" i="28"/>
  <c r="AG53" i="28"/>
  <c r="AK53" i="28"/>
  <c r="L53" i="28"/>
  <c r="M53" i="28"/>
  <c r="N53" i="28"/>
  <c r="O53" i="28"/>
  <c r="P53" i="28"/>
  <c r="Q53" i="28"/>
  <c r="R53" i="28"/>
  <c r="S53" i="28"/>
  <c r="T53" i="28"/>
  <c r="U53" i="28"/>
  <c r="V53" i="28"/>
  <c r="W53" i="28"/>
  <c r="X53" i="28"/>
  <c r="Y53" i="28"/>
  <c r="Z53" i="28"/>
  <c r="I53" i="28"/>
  <c r="J53" i="28"/>
  <c r="B48" i="28"/>
  <c r="B49" i="28"/>
  <c r="B50" i="28"/>
  <c r="AH47" i="28"/>
  <c r="AI50" i="28"/>
  <c r="AE47" i="28"/>
  <c r="AE49" i="28"/>
  <c r="I47" i="28"/>
  <c r="K47" i="28" s="1"/>
  <c r="J47" i="28"/>
  <c r="L47" i="28"/>
  <c r="M47" i="28"/>
  <c r="N47" i="28"/>
  <c r="I48" i="28"/>
  <c r="J48" i="28"/>
  <c r="L48" i="28"/>
  <c r="M48" i="28"/>
  <c r="N48" i="28"/>
  <c r="I49" i="28"/>
  <c r="K49" i="28" s="1"/>
  <c r="J49" i="28"/>
  <c r="L49" i="28"/>
  <c r="M49" i="28"/>
  <c r="N49" i="28"/>
  <c r="I50" i="28"/>
  <c r="AA50" i="28" s="1"/>
  <c r="J50" i="28"/>
  <c r="K50" i="28"/>
  <c r="L50" i="28"/>
  <c r="M50" i="28"/>
  <c r="N50" i="28"/>
  <c r="I51" i="28"/>
  <c r="K51" i="28" s="1"/>
  <c r="J51" i="28"/>
  <c r="L51" i="28"/>
  <c r="M51" i="28"/>
  <c r="N51" i="28"/>
  <c r="I52" i="28"/>
  <c r="AA52" i="28" s="1"/>
  <c r="J52" i="28"/>
  <c r="K52" i="28"/>
  <c r="L52" i="28"/>
  <c r="M52" i="28"/>
  <c r="N52" i="28"/>
  <c r="N46" i="28"/>
  <c r="I46" i="28"/>
  <c r="J46" i="28"/>
  <c r="A45" i="28"/>
  <c r="AD44" i="28"/>
  <c r="AG44" i="28"/>
  <c r="AG66" i="28" s="1"/>
  <c r="L44" i="28"/>
  <c r="M44" i="28"/>
  <c r="N44" i="28"/>
  <c r="O44" i="28"/>
  <c r="P44" i="28"/>
  <c r="P66" i="28" s="1"/>
  <c r="Q44" i="28"/>
  <c r="Q66" i="28" s="1"/>
  <c r="R44" i="28"/>
  <c r="S44" i="28"/>
  <c r="T44" i="28"/>
  <c r="T66" i="28" s="1"/>
  <c r="U44" i="28"/>
  <c r="U66" i="28" s="1"/>
  <c r="V44" i="28"/>
  <c r="W44" i="28"/>
  <c r="X44" i="28"/>
  <c r="X66" i="28" s="1"/>
  <c r="Y44" i="28"/>
  <c r="Y66" i="28" s="1"/>
  <c r="Z44" i="28"/>
  <c r="I44" i="28"/>
  <c r="J44" i="28"/>
  <c r="AH41" i="28"/>
  <c r="AI41" i="28"/>
  <c r="AH42" i="28"/>
  <c r="AK43" i="28"/>
  <c r="AE41" i="28"/>
  <c r="AE42" i="28"/>
  <c r="AA41" i="28"/>
  <c r="AB41" i="28" s="1"/>
  <c r="I39" i="28"/>
  <c r="J39" i="28"/>
  <c r="L39" i="28"/>
  <c r="M39" i="28"/>
  <c r="N39" i="28"/>
  <c r="I40" i="28"/>
  <c r="AA40" i="28" s="1"/>
  <c r="J40" i="28"/>
  <c r="K40" i="28"/>
  <c r="L40" i="28"/>
  <c r="M40" i="28"/>
  <c r="N40" i="28"/>
  <c r="I41" i="28"/>
  <c r="K41" i="28" s="1"/>
  <c r="J41" i="28"/>
  <c r="L41" i="28"/>
  <c r="M41" i="28"/>
  <c r="N41" i="28"/>
  <c r="I42" i="28"/>
  <c r="J42" i="28"/>
  <c r="L42" i="28"/>
  <c r="M42" i="28"/>
  <c r="N42" i="28"/>
  <c r="I43" i="28"/>
  <c r="AA43" i="28" s="1"/>
  <c r="J43" i="28"/>
  <c r="K43" i="28"/>
  <c r="L43" i="28"/>
  <c r="M43" i="28"/>
  <c r="N43" i="28"/>
  <c r="N38" i="28"/>
  <c r="I38" i="28"/>
  <c r="J38" i="28"/>
  <c r="AH35" i="28"/>
  <c r="AH36" i="28"/>
  <c r="AE35" i="28"/>
  <c r="AE36" i="28"/>
  <c r="I35" i="28"/>
  <c r="K35" i="28" s="1"/>
  <c r="J35" i="28"/>
  <c r="L35" i="28"/>
  <c r="M35" i="28"/>
  <c r="N35" i="28"/>
  <c r="I36" i="28"/>
  <c r="AA36" i="28" s="1"/>
  <c r="AF36" i="28" s="1"/>
  <c r="J36" i="28"/>
  <c r="K36" i="28"/>
  <c r="L36" i="28"/>
  <c r="M36" i="28"/>
  <c r="N36" i="28"/>
  <c r="N33" i="28"/>
  <c r="N34" i="28"/>
  <c r="I33" i="28"/>
  <c r="J33" i="28"/>
  <c r="I34" i="28"/>
  <c r="J34" i="28"/>
  <c r="AG32" i="28"/>
  <c r="AL32" i="28" s="1"/>
  <c r="AD32" i="28"/>
  <c r="AK32" i="28" s="1"/>
  <c r="O32" i="28"/>
  <c r="P32" i="28"/>
  <c r="Q32" i="28"/>
  <c r="R32" i="28"/>
  <c r="S32" i="28"/>
  <c r="T32" i="28"/>
  <c r="U32" i="28"/>
  <c r="V32" i="28"/>
  <c r="W32" i="28"/>
  <c r="X32" i="28"/>
  <c r="Y32" i="28"/>
  <c r="Z32" i="28"/>
  <c r="AJ32" i="28" s="1"/>
  <c r="AJ31" i="28"/>
  <c r="AK31" i="28"/>
  <c r="AM31" i="28" s="1"/>
  <c r="AL31" i="28"/>
  <c r="AN31" i="28" s="1"/>
  <c r="AG31" i="28"/>
  <c r="AD31" i="28"/>
  <c r="O31" i="28"/>
  <c r="P31" i="28"/>
  <c r="Q31" i="28"/>
  <c r="R31" i="28"/>
  <c r="S31" i="28"/>
  <c r="T31" i="28"/>
  <c r="U31" i="28"/>
  <c r="V31" i="28"/>
  <c r="W31" i="28"/>
  <c r="X31" i="28"/>
  <c r="Y31" i="28"/>
  <c r="Z31" i="28"/>
  <c r="AA31" i="28"/>
  <c r="N26" i="28"/>
  <c r="N27" i="28"/>
  <c r="N28" i="28"/>
  <c r="N29" i="28"/>
  <c r="B22" i="28"/>
  <c r="B23" i="28"/>
  <c r="AG16" i="28"/>
  <c r="AG19" i="28"/>
  <c r="AG20" i="28"/>
  <c r="AD19" i="28"/>
  <c r="AE48" i="28" s="1"/>
  <c r="AD20" i="28"/>
  <c r="AK60" i="28" s="1"/>
  <c r="N19" i="28"/>
  <c r="O19" i="28"/>
  <c r="P19" i="28"/>
  <c r="Q19" i="28"/>
  <c r="R19" i="28"/>
  <c r="S19" i="28"/>
  <c r="T19" i="28"/>
  <c r="U19" i="28"/>
  <c r="V19" i="28"/>
  <c r="W19" i="28"/>
  <c r="X19" i="28"/>
  <c r="Y19" i="28"/>
  <c r="Z19" i="28"/>
  <c r="N20" i="28"/>
  <c r="O20" i="28"/>
  <c r="P20" i="28"/>
  <c r="Q20" i="28"/>
  <c r="R20" i="28"/>
  <c r="S20" i="28"/>
  <c r="T20" i="28"/>
  <c r="U20" i="28"/>
  <c r="V20" i="28"/>
  <c r="W20" i="28"/>
  <c r="X20" i="28"/>
  <c r="Y20" i="28"/>
  <c r="Z20" i="28"/>
  <c r="B17" i="28"/>
  <c r="B18" i="28"/>
  <c r="B19" i="28"/>
  <c r="O17" i="28"/>
  <c r="P17" i="28"/>
  <c r="Q17" i="28"/>
  <c r="R17" i="28"/>
  <c r="S17" i="28"/>
  <c r="T17" i="28"/>
  <c r="U17" i="28"/>
  <c r="V17" i="28"/>
  <c r="W17" i="28"/>
  <c r="X17" i="28"/>
  <c r="Y17" i="28"/>
  <c r="Z17" i="28"/>
  <c r="O16" i="28"/>
  <c r="P16" i="28"/>
  <c r="Q16" i="28"/>
  <c r="R16" i="28"/>
  <c r="S16" i="28"/>
  <c r="T16" i="28"/>
  <c r="U16" i="28"/>
  <c r="V16" i="28"/>
  <c r="W16" i="28"/>
  <c r="X16" i="28"/>
  <c r="Y16" i="28"/>
  <c r="A14" i="28"/>
  <c r="AG12" i="28"/>
  <c r="AG13" i="28"/>
  <c r="AD12" i="28"/>
  <c r="AD13" i="28"/>
  <c r="B12" i="28"/>
  <c r="B13" i="28"/>
  <c r="O12" i="28"/>
  <c r="P12" i="28"/>
  <c r="Q12" i="28"/>
  <c r="R12" i="28"/>
  <c r="S12" i="28"/>
  <c r="T12" i="28"/>
  <c r="U12" i="28"/>
  <c r="V12" i="28"/>
  <c r="W12" i="28"/>
  <c r="X12" i="28"/>
  <c r="Y12" i="28"/>
  <c r="Z12" i="28"/>
  <c r="AA12" i="28"/>
  <c r="O13" i="28"/>
  <c r="P13" i="28"/>
  <c r="Q13" i="28"/>
  <c r="R13" i="28"/>
  <c r="S13" i="28"/>
  <c r="T13" i="28"/>
  <c r="U13" i="28"/>
  <c r="V13" i="28"/>
  <c r="W13" i="28"/>
  <c r="X13" i="28"/>
  <c r="Y13" i="28"/>
  <c r="Z13" i="28"/>
  <c r="AA13" i="28"/>
  <c r="O11" i="28"/>
  <c r="P11" i="28"/>
  <c r="Q11" i="28"/>
  <c r="R11" i="28"/>
  <c r="S11" i="28"/>
  <c r="T11" i="28"/>
  <c r="U11" i="28"/>
  <c r="V11" i="28"/>
  <c r="W11" i="28"/>
  <c r="X11" i="28"/>
  <c r="Y11" i="28"/>
  <c r="Z11" i="28"/>
  <c r="C10" i="28"/>
  <c r="D10" i="28"/>
  <c r="C9" i="28"/>
  <c r="C1" i="28"/>
  <c r="C2" i="28"/>
  <c r="C3" i="28"/>
  <c r="C4" i="28"/>
  <c r="C5" i="28"/>
  <c r="C6" i="28"/>
  <c r="C7" i="28"/>
  <c r="C8" i="28"/>
  <c r="E6" i="28"/>
  <c r="E4" i="28"/>
  <c r="F4" i="28"/>
  <c r="B3" i="28"/>
  <c r="N48" i="27"/>
  <c r="Y48" i="27"/>
  <c r="AD46" i="27"/>
  <c r="AD48" i="27" s="1"/>
  <c r="AG46" i="27"/>
  <c r="AG48" i="27" s="1"/>
  <c r="N46" i="27"/>
  <c r="O46" i="27"/>
  <c r="O48" i="27" s="1"/>
  <c r="P46" i="27"/>
  <c r="P48" i="27" s="1"/>
  <c r="Q46" i="27"/>
  <c r="Q48" i="27" s="1"/>
  <c r="R46" i="27"/>
  <c r="R48" i="27" s="1"/>
  <c r="S46" i="27"/>
  <c r="S48" i="27" s="1"/>
  <c r="T46" i="27"/>
  <c r="T48" i="27" s="1"/>
  <c r="U46" i="27"/>
  <c r="U48" i="27" s="1"/>
  <c r="V46" i="27"/>
  <c r="V48" i="27" s="1"/>
  <c r="W46" i="27"/>
  <c r="W48" i="27" s="1"/>
  <c r="X46" i="27"/>
  <c r="X48" i="27" s="1"/>
  <c r="Y46" i="27"/>
  <c r="Z46" i="27"/>
  <c r="Z48" i="27" s="1"/>
  <c r="I46" i="27"/>
  <c r="J46" i="27"/>
  <c r="AH37" i="27"/>
  <c r="AK40" i="27"/>
  <c r="AH42" i="27"/>
  <c r="AE36" i="27"/>
  <c r="AE38" i="27"/>
  <c r="AE41" i="27"/>
  <c r="AE42" i="27"/>
  <c r="AF42" i="27"/>
  <c r="AE45" i="27"/>
  <c r="AA35" i="27"/>
  <c r="AI35" i="27" s="1"/>
  <c r="AA39" i="27"/>
  <c r="AF39" i="27" s="1"/>
  <c r="I34" i="27"/>
  <c r="AA34" i="27" s="1"/>
  <c r="J34" i="27"/>
  <c r="L34" i="27"/>
  <c r="M34" i="27"/>
  <c r="N34" i="27"/>
  <c r="I35" i="27"/>
  <c r="K35" i="27" s="1"/>
  <c r="J35" i="27"/>
  <c r="L35" i="27"/>
  <c r="M35" i="27"/>
  <c r="N35" i="27"/>
  <c r="I36" i="27"/>
  <c r="K36" i="27" s="1"/>
  <c r="J36" i="27"/>
  <c r="L36" i="27"/>
  <c r="M36" i="27"/>
  <c r="N36" i="27"/>
  <c r="I37" i="27"/>
  <c r="AA37" i="27" s="1"/>
  <c r="J37" i="27"/>
  <c r="K37" i="27"/>
  <c r="L37" i="27"/>
  <c r="M37" i="27"/>
  <c r="N37" i="27"/>
  <c r="I38" i="27"/>
  <c r="AA38" i="27" s="1"/>
  <c r="J38" i="27"/>
  <c r="L38" i="27"/>
  <c r="M38" i="27"/>
  <c r="N38" i="27"/>
  <c r="I39" i="27"/>
  <c r="J39" i="27"/>
  <c r="K39" i="27"/>
  <c r="L39" i="27"/>
  <c r="M39" i="27"/>
  <c r="N39" i="27"/>
  <c r="I40" i="27"/>
  <c r="K40" i="27" s="1"/>
  <c r="J40" i="27"/>
  <c r="L40" i="27"/>
  <c r="M40" i="27"/>
  <c r="N40" i="27"/>
  <c r="I41" i="27"/>
  <c r="J41" i="27"/>
  <c r="L41" i="27"/>
  <c r="M41" i="27"/>
  <c r="N41" i="27"/>
  <c r="I42" i="27"/>
  <c r="AA42" i="27" s="1"/>
  <c r="J42" i="27"/>
  <c r="L42" i="27"/>
  <c r="M42" i="27"/>
  <c r="N42" i="27"/>
  <c r="I43" i="27"/>
  <c r="J43" i="27"/>
  <c r="L43" i="27"/>
  <c r="M43" i="27"/>
  <c r="N43" i="27"/>
  <c r="I44" i="27"/>
  <c r="K44" i="27" s="1"/>
  <c r="J44" i="27"/>
  <c r="L44" i="27"/>
  <c r="M44" i="27"/>
  <c r="N44" i="27"/>
  <c r="I45" i="27"/>
  <c r="AA45" i="27" s="1"/>
  <c r="J45" i="27"/>
  <c r="K45" i="27"/>
  <c r="L45" i="27"/>
  <c r="M45" i="27"/>
  <c r="N45" i="27"/>
  <c r="N33" i="27"/>
  <c r="I33" i="27"/>
  <c r="J33" i="27"/>
  <c r="AK32" i="27"/>
  <c r="AG32" i="27"/>
  <c r="AL32" i="27" s="1"/>
  <c r="AD32" i="27"/>
  <c r="O32" i="27"/>
  <c r="P32" i="27"/>
  <c r="Q32" i="27"/>
  <c r="R32" i="27"/>
  <c r="S32" i="27"/>
  <c r="T32" i="27"/>
  <c r="U32" i="27"/>
  <c r="V32" i="27"/>
  <c r="W32" i="27"/>
  <c r="X32" i="27"/>
  <c r="Y32" i="27"/>
  <c r="Z32" i="27"/>
  <c r="AJ32" i="27" s="1"/>
  <c r="AJ31" i="27"/>
  <c r="AK31" i="27"/>
  <c r="AM31" i="27" s="1"/>
  <c r="AL31" i="27"/>
  <c r="AN31" i="27" s="1"/>
  <c r="AG31" i="27"/>
  <c r="AD31" i="27"/>
  <c r="O31" i="27"/>
  <c r="P31" i="27"/>
  <c r="Q31" i="27"/>
  <c r="R31" i="27"/>
  <c r="S31" i="27"/>
  <c r="T31" i="27"/>
  <c r="U31" i="27"/>
  <c r="V31" i="27"/>
  <c r="W31" i="27"/>
  <c r="X31" i="27"/>
  <c r="Y31" i="27"/>
  <c r="Z31" i="27"/>
  <c r="AA31" i="27"/>
  <c r="N26" i="27"/>
  <c r="N27" i="27"/>
  <c r="N28" i="27"/>
  <c r="N29" i="27"/>
  <c r="B23" i="27"/>
  <c r="AG16" i="27"/>
  <c r="AG19" i="27"/>
  <c r="AG20" i="27"/>
  <c r="AL41" i="27" s="1"/>
  <c r="AD19" i="27"/>
  <c r="AE37" i="27" s="1"/>
  <c r="AD20" i="27"/>
  <c r="N19" i="27"/>
  <c r="O19" i="27"/>
  <c r="P19" i="27"/>
  <c r="Q19" i="27"/>
  <c r="R19" i="27"/>
  <c r="S19" i="27"/>
  <c r="T19" i="27"/>
  <c r="U19" i="27"/>
  <c r="V19" i="27"/>
  <c r="W19" i="27"/>
  <c r="X19" i="27"/>
  <c r="Y19" i="27"/>
  <c r="Z19" i="27"/>
  <c r="N20" i="27"/>
  <c r="O20" i="27"/>
  <c r="P20" i="27"/>
  <c r="Q20" i="27"/>
  <c r="R20" i="27"/>
  <c r="S20" i="27"/>
  <c r="T20" i="27"/>
  <c r="U20" i="27"/>
  <c r="V20" i="27"/>
  <c r="W20" i="27"/>
  <c r="X20" i="27"/>
  <c r="Y20" i="27"/>
  <c r="Z20" i="27"/>
  <c r="B17" i="27"/>
  <c r="B18" i="27"/>
  <c r="B19" i="27"/>
  <c r="O17" i="27"/>
  <c r="P17" i="27"/>
  <c r="Q17" i="27"/>
  <c r="R17" i="27"/>
  <c r="S17" i="27"/>
  <c r="T17" i="27"/>
  <c r="U17" i="27"/>
  <c r="V17" i="27"/>
  <c r="W17" i="27"/>
  <c r="X17" i="27"/>
  <c r="Y17" i="27"/>
  <c r="Z17" i="27"/>
  <c r="O16" i="27"/>
  <c r="P16" i="27"/>
  <c r="Q16" i="27"/>
  <c r="R16" i="27"/>
  <c r="S16" i="27"/>
  <c r="T16" i="27"/>
  <c r="U16" i="27"/>
  <c r="V16" i="27"/>
  <c r="W16" i="27"/>
  <c r="X16" i="27"/>
  <c r="Y16" i="27"/>
  <c r="A14" i="27"/>
  <c r="AG12" i="27"/>
  <c r="AG13" i="27"/>
  <c r="AD12" i="27"/>
  <c r="AD13" i="27"/>
  <c r="B12" i="27"/>
  <c r="B13" i="27"/>
  <c r="O12" i="27"/>
  <c r="P12" i="27"/>
  <c r="Q12" i="27"/>
  <c r="R12" i="27"/>
  <c r="S12" i="27"/>
  <c r="T12" i="27"/>
  <c r="U12" i="27"/>
  <c r="V12" i="27"/>
  <c r="W12" i="27"/>
  <c r="X12" i="27"/>
  <c r="Y12" i="27"/>
  <c r="Z12" i="27"/>
  <c r="AA12" i="27"/>
  <c r="O13" i="27"/>
  <c r="P13" i="27"/>
  <c r="Q13" i="27"/>
  <c r="R13" i="27"/>
  <c r="S13" i="27"/>
  <c r="T13" i="27"/>
  <c r="U13" i="27"/>
  <c r="V13" i="27"/>
  <c r="W13" i="27"/>
  <c r="X13" i="27"/>
  <c r="Y13" i="27"/>
  <c r="Z13" i="27"/>
  <c r="AA13" i="27"/>
  <c r="O11" i="27"/>
  <c r="P11" i="27"/>
  <c r="Q11" i="27"/>
  <c r="R11" i="27"/>
  <c r="S11" i="27"/>
  <c r="T11" i="27"/>
  <c r="U11" i="27"/>
  <c r="V11" i="27"/>
  <c r="W11" i="27"/>
  <c r="X11" i="27"/>
  <c r="Y11" i="27"/>
  <c r="Z11" i="27"/>
  <c r="C10" i="27"/>
  <c r="D10" i="27"/>
  <c r="C9" i="27"/>
  <c r="C1" i="27"/>
  <c r="C2" i="27"/>
  <c r="C3" i="27"/>
  <c r="C4" i="27"/>
  <c r="C5" i="27"/>
  <c r="C6" i="27"/>
  <c r="C7" i="27"/>
  <c r="C8" i="27"/>
  <c r="E6" i="27"/>
  <c r="E4" i="27"/>
  <c r="F4" i="27"/>
  <c r="B3" i="27"/>
  <c r="AG79" i="26"/>
  <c r="AG80" i="26"/>
  <c r="AD79" i="26"/>
  <c r="AD80" i="26"/>
  <c r="O79" i="26"/>
  <c r="P79" i="26"/>
  <c r="Q79" i="26"/>
  <c r="R79" i="26"/>
  <c r="S79" i="26"/>
  <c r="T79" i="26"/>
  <c r="U79" i="26"/>
  <c r="V79" i="26"/>
  <c r="W79" i="26"/>
  <c r="X79" i="26"/>
  <c r="Y79" i="26"/>
  <c r="Z79" i="26"/>
  <c r="O80" i="26"/>
  <c r="P80" i="26"/>
  <c r="Q80" i="26"/>
  <c r="R80" i="26"/>
  <c r="S80" i="26"/>
  <c r="T80" i="26"/>
  <c r="U80" i="26"/>
  <c r="V80" i="26"/>
  <c r="W80" i="26"/>
  <c r="X80" i="26"/>
  <c r="Y80" i="26"/>
  <c r="Z80" i="26"/>
  <c r="N76" i="26"/>
  <c r="N79" i="26" s="1"/>
  <c r="N77" i="26"/>
  <c r="N80" i="26" s="1"/>
  <c r="I76" i="26"/>
  <c r="AA76" i="26" s="1"/>
  <c r="J76" i="26"/>
  <c r="I77" i="26"/>
  <c r="AA77" i="26" s="1"/>
  <c r="J77" i="26"/>
  <c r="N49" i="26"/>
  <c r="N50" i="26"/>
  <c r="N51" i="26"/>
  <c r="N52" i="26"/>
  <c r="N53" i="26"/>
  <c r="N54" i="26"/>
  <c r="N55" i="26"/>
  <c r="N56" i="26"/>
  <c r="N57" i="26"/>
  <c r="N58" i="26"/>
  <c r="N59" i="26"/>
  <c r="N60" i="26"/>
  <c r="N61" i="26"/>
  <c r="N62" i="26"/>
  <c r="N63" i="26"/>
  <c r="N64" i="26"/>
  <c r="N65" i="26"/>
  <c r="N66" i="26"/>
  <c r="N67" i="26"/>
  <c r="N68" i="26"/>
  <c r="N69" i="26"/>
  <c r="N70" i="26"/>
  <c r="N71" i="26"/>
  <c r="N72" i="26"/>
  <c r="N73" i="26"/>
  <c r="N74" i="26"/>
  <c r="I73" i="26"/>
  <c r="AA73" i="26" s="1"/>
  <c r="J73" i="26"/>
  <c r="I74" i="26"/>
  <c r="AA74" i="26" s="1"/>
  <c r="J74" i="26"/>
  <c r="B54" i="26"/>
  <c r="AL51" i="26"/>
  <c r="AL52" i="26"/>
  <c r="AL56" i="26"/>
  <c r="AL57" i="26"/>
  <c r="AL62" i="26"/>
  <c r="AH63" i="26"/>
  <c r="AI64" i="26"/>
  <c r="AL66" i="26"/>
  <c r="AL70" i="26"/>
  <c r="AH71" i="26"/>
  <c r="AH72" i="26"/>
  <c r="AL73" i="26"/>
  <c r="AL74" i="26"/>
  <c r="AE54" i="26"/>
  <c r="AE56" i="26"/>
  <c r="AE58" i="26"/>
  <c r="AF58" i="26"/>
  <c r="AE59" i="26"/>
  <c r="AE60" i="26"/>
  <c r="AE63" i="26"/>
  <c r="AE64" i="26"/>
  <c r="AE70" i="26"/>
  <c r="AE71" i="26"/>
  <c r="AA57" i="26"/>
  <c r="AB58" i="26"/>
  <c r="AA64" i="26"/>
  <c r="AA71" i="26"/>
  <c r="AI71" i="26" s="1"/>
  <c r="I50" i="26"/>
  <c r="AA50" i="26" s="1"/>
  <c r="J50" i="26"/>
  <c r="L50" i="26"/>
  <c r="M50" i="26"/>
  <c r="I51" i="26"/>
  <c r="AA51" i="26" s="1"/>
  <c r="J51" i="26"/>
  <c r="L51" i="26"/>
  <c r="M51" i="26"/>
  <c r="I52" i="26"/>
  <c r="K52" i="26" s="1"/>
  <c r="J52" i="26"/>
  <c r="L52" i="26"/>
  <c r="M52" i="26"/>
  <c r="I53" i="26"/>
  <c r="J53" i="26"/>
  <c r="L53" i="26"/>
  <c r="M53" i="26"/>
  <c r="I54" i="26"/>
  <c r="J54" i="26"/>
  <c r="L54" i="26"/>
  <c r="M54" i="26"/>
  <c r="I55" i="26"/>
  <c r="J55" i="26"/>
  <c r="L55" i="26"/>
  <c r="M55" i="26"/>
  <c r="I56" i="26"/>
  <c r="J56" i="26"/>
  <c r="L56" i="26"/>
  <c r="M56" i="26"/>
  <c r="I57" i="26"/>
  <c r="K57" i="26" s="1"/>
  <c r="J57" i="26"/>
  <c r="L57" i="26"/>
  <c r="M57" i="26"/>
  <c r="I58" i="26"/>
  <c r="AA58" i="26" s="1"/>
  <c r="AI58" i="26" s="1"/>
  <c r="J58" i="26"/>
  <c r="K58" i="26"/>
  <c r="L58" i="26"/>
  <c r="M58" i="26"/>
  <c r="I59" i="26"/>
  <c r="K59" i="26" s="1"/>
  <c r="J59" i="26"/>
  <c r="L59" i="26"/>
  <c r="M59" i="26"/>
  <c r="I60" i="26"/>
  <c r="AA60" i="26" s="1"/>
  <c r="J60" i="26"/>
  <c r="K60" i="26"/>
  <c r="L60" i="26"/>
  <c r="M60" i="26"/>
  <c r="I61" i="26"/>
  <c r="J61" i="26"/>
  <c r="L61" i="26"/>
  <c r="M61" i="26"/>
  <c r="I62" i="26"/>
  <c r="J62" i="26"/>
  <c r="L62" i="26"/>
  <c r="M62" i="26"/>
  <c r="I63" i="26"/>
  <c r="J63" i="26"/>
  <c r="L63" i="26"/>
  <c r="M63" i="26"/>
  <c r="I64" i="26"/>
  <c r="J64" i="26"/>
  <c r="K64" i="26"/>
  <c r="L64" i="26"/>
  <c r="M64" i="26"/>
  <c r="I65" i="26"/>
  <c r="AA65" i="26" s="1"/>
  <c r="AF65" i="26" s="1"/>
  <c r="J65" i="26"/>
  <c r="K65" i="26"/>
  <c r="L65" i="26"/>
  <c r="M65" i="26"/>
  <c r="I66" i="26"/>
  <c r="J66" i="26"/>
  <c r="L66" i="26"/>
  <c r="M66" i="26"/>
  <c r="I67" i="26"/>
  <c r="J67" i="26"/>
  <c r="L67" i="26"/>
  <c r="M67" i="26"/>
  <c r="I68" i="26"/>
  <c r="K68" i="26" s="1"/>
  <c r="J68" i="26"/>
  <c r="L68" i="26"/>
  <c r="M68" i="26"/>
  <c r="I69" i="26"/>
  <c r="AA69" i="26" s="1"/>
  <c r="J69" i="26"/>
  <c r="L69" i="26"/>
  <c r="M69" i="26"/>
  <c r="I70" i="26"/>
  <c r="J70" i="26"/>
  <c r="L70" i="26"/>
  <c r="M70" i="26"/>
  <c r="I71" i="26"/>
  <c r="K71" i="26" s="1"/>
  <c r="J71" i="26"/>
  <c r="L71" i="26"/>
  <c r="M71" i="26"/>
  <c r="I72" i="26"/>
  <c r="AA72" i="26" s="1"/>
  <c r="J72" i="26"/>
  <c r="K72" i="26"/>
  <c r="L72" i="26"/>
  <c r="M72" i="26"/>
  <c r="B48" i="26"/>
  <c r="B49" i="26"/>
  <c r="B50" i="26"/>
  <c r="I49" i="26"/>
  <c r="J49" i="26"/>
  <c r="A45" i="26"/>
  <c r="AL38" i="26"/>
  <c r="AI40" i="26"/>
  <c r="AL42" i="26"/>
  <c r="AL46" i="26"/>
  <c r="AL47" i="26"/>
  <c r="AE45" i="26"/>
  <c r="AA40" i="26"/>
  <c r="AF40" i="26" s="1"/>
  <c r="AA45" i="26"/>
  <c r="AF45" i="26" s="1"/>
  <c r="AA37" i="26"/>
  <c r="AL36" i="26"/>
  <c r="AM37" i="26"/>
  <c r="AN37" i="26"/>
  <c r="AH35" i="26"/>
  <c r="AH36" i="26"/>
  <c r="AE36" i="26"/>
  <c r="I35" i="26"/>
  <c r="J35" i="26"/>
  <c r="L35" i="26"/>
  <c r="M35" i="26"/>
  <c r="N35" i="26"/>
  <c r="I36" i="26"/>
  <c r="J36" i="26"/>
  <c r="L36" i="26"/>
  <c r="M36" i="26"/>
  <c r="N36" i="26"/>
  <c r="I37" i="26"/>
  <c r="J37" i="26"/>
  <c r="K37" i="26"/>
  <c r="L37" i="26"/>
  <c r="M37" i="26"/>
  <c r="N37" i="26"/>
  <c r="I38" i="26"/>
  <c r="AA38" i="26" s="1"/>
  <c r="J38" i="26"/>
  <c r="L38" i="26"/>
  <c r="M38" i="26"/>
  <c r="N38" i="26"/>
  <c r="I39" i="26"/>
  <c r="J39" i="26"/>
  <c r="L39" i="26"/>
  <c r="M39" i="26"/>
  <c r="N39" i="26"/>
  <c r="I40" i="26"/>
  <c r="J40" i="26"/>
  <c r="K40" i="26"/>
  <c r="L40" i="26"/>
  <c r="M40" i="26"/>
  <c r="N40" i="26"/>
  <c r="I41" i="26"/>
  <c r="J41" i="26"/>
  <c r="L41" i="26"/>
  <c r="M41" i="26"/>
  <c r="N41" i="26"/>
  <c r="I42" i="26"/>
  <c r="K42" i="26" s="1"/>
  <c r="J42" i="26"/>
  <c r="L42" i="26"/>
  <c r="M42" i="26"/>
  <c r="N42" i="26"/>
  <c r="I43" i="26"/>
  <c r="J43" i="26"/>
  <c r="L43" i="26"/>
  <c r="M43" i="26"/>
  <c r="N43" i="26"/>
  <c r="I44" i="26"/>
  <c r="J44" i="26"/>
  <c r="L44" i="26"/>
  <c r="M44" i="26"/>
  <c r="N44" i="26"/>
  <c r="I45" i="26"/>
  <c r="J45" i="26"/>
  <c r="K45" i="26"/>
  <c r="L45" i="26"/>
  <c r="M45" i="26"/>
  <c r="N45" i="26"/>
  <c r="I46" i="26"/>
  <c r="J46" i="26"/>
  <c r="L46" i="26"/>
  <c r="M46" i="26"/>
  <c r="N46" i="26"/>
  <c r="I47" i="26"/>
  <c r="J47" i="26"/>
  <c r="L47" i="26"/>
  <c r="M47" i="26"/>
  <c r="N47" i="26"/>
  <c r="N33" i="26"/>
  <c r="N34" i="26"/>
  <c r="I33" i="26"/>
  <c r="J33" i="26"/>
  <c r="I34" i="26"/>
  <c r="J34" i="26"/>
  <c r="AL32" i="26"/>
  <c r="AG32" i="26"/>
  <c r="AD32" i="26"/>
  <c r="AK32" i="26" s="1"/>
  <c r="O32" i="26"/>
  <c r="P32" i="26"/>
  <c r="Q32" i="26"/>
  <c r="R32" i="26"/>
  <c r="S32" i="26"/>
  <c r="T32" i="26"/>
  <c r="U32" i="26"/>
  <c r="V32" i="26"/>
  <c r="W32" i="26"/>
  <c r="X32" i="26"/>
  <c r="Y32" i="26"/>
  <c r="Z32" i="26"/>
  <c r="AJ32" i="26" s="1"/>
  <c r="AJ31" i="26"/>
  <c r="AK31" i="26"/>
  <c r="AM31" i="26" s="1"/>
  <c r="AL31" i="26"/>
  <c r="AN31" i="26" s="1"/>
  <c r="AG31" i="26"/>
  <c r="AD31" i="26"/>
  <c r="O31" i="26"/>
  <c r="P31" i="26"/>
  <c r="Q31" i="26"/>
  <c r="R31" i="26"/>
  <c r="S31" i="26"/>
  <c r="T31" i="26"/>
  <c r="U31" i="26"/>
  <c r="V31" i="26"/>
  <c r="W31" i="26"/>
  <c r="X31" i="26"/>
  <c r="Y31" i="26"/>
  <c r="Z31" i="26"/>
  <c r="AA31" i="26"/>
  <c r="N26" i="26"/>
  <c r="N27" i="26"/>
  <c r="N28" i="26"/>
  <c r="N29" i="26"/>
  <c r="B22" i="26"/>
  <c r="B23" i="26"/>
  <c r="AG16" i="26"/>
  <c r="AG19" i="26"/>
  <c r="AH62" i="26" s="1"/>
  <c r="AG20" i="26"/>
  <c r="AL59" i="26" s="1"/>
  <c r="AD19" i="26"/>
  <c r="AD20" i="26"/>
  <c r="AK61" i="26" s="1"/>
  <c r="N19" i="26"/>
  <c r="O19" i="26"/>
  <c r="P19" i="26"/>
  <c r="Q19" i="26"/>
  <c r="R19" i="26"/>
  <c r="S19" i="26"/>
  <c r="T19" i="26"/>
  <c r="U19" i="26"/>
  <c r="V19" i="26"/>
  <c r="W19" i="26"/>
  <c r="X19" i="26"/>
  <c r="Y19" i="26"/>
  <c r="Z19" i="26"/>
  <c r="N20" i="26"/>
  <c r="O20" i="26"/>
  <c r="P20" i="26"/>
  <c r="Q20" i="26"/>
  <c r="R20" i="26"/>
  <c r="S20" i="26"/>
  <c r="T20" i="26"/>
  <c r="U20" i="26"/>
  <c r="V20" i="26"/>
  <c r="W20" i="26"/>
  <c r="X20" i="26"/>
  <c r="Y20" i="26"/>
  <c r="Z20" i="26"/>
  <c r="B17" i="26"/>
  <c r="B18" i="26"/>
  <c r="B19" i="26"/>
  <c r="O17" i="26"/>
  <c r="P17" i="26"/>
  <c r="Q17" i="26"/>
  <c r="R17" i="26"/>
  <c r="S17" i="26"/>
  <c r="T17" i="26"/>
  <c r="U17" i="26"/>
  <c r="V17" i="26"/>
  <c r="W17" i="26"/>
  <c r="X17" i="26"/>
  <c r="Y17" i="26"/>
  <c r="Z17" i="26"/>
  <c r="O16" i="26"/>
  <c r="P16" i="26"/>
  <c r="Q16" i="26"/>
  <c r="R16" i="26"/>
  <c r="S16" i="26"/>
  <c r="T16" i="26"/>
  <c r="U16" i="26"/>
  <c r="V16" i="26"/>
  <c r="W16" i="26"/>
  <c r="X16" i="26"/>
  <c r="Y16" i="26"/>
  <c r="A14" i="26"/>
  <c r="AG12" i="26"/>
  <c r="AG13" i="26"/>
  <c r="AD12" i="26"/>
  <c r="AD13" i="26"/>
  <c r="B12" i="26"/>
  <c r="Z16" i="26" s="1"/>
  <c r="B13" i="26"/>
  <c r="O12" i="26"/>
  <c r="P12" i="26"/>
  <c r="Q12" i="26"/>
  <c r="R12" i="26"/>
  <c r="S12" i="26"/>
  <c r="T12" i="26"/>
  <c r="U12" i="26"/>
  <c r="V12" i="26"/>
  <c r="W12" i="26"/>
  <c r="X12" i="26"/>
  <c r="Y12" i="26"/>
  <c r="Z12" i="26"/>
  <c r="AA12" i="26"/>
  <c r="O13" i="26"/>
  <c r="P13" i="26"/>
  <c r="Q13" i="26"/>
  <c r="R13" i="26"/>
  <c r="S13" i="26"/>
  <c r="T13" i="26"/>
  <c r="U13" i="26"/>
  <c r="V13" i="26"/>
  <c r="W13" i="26"/>
  <c r="X13" i="26"/>
  <c r="Y13" i="26"/>
  <c r="Z13" i="26"/>
  <c r="AA13" i="26"/>
  <c r="O11" i="26"/>
  <c r="P11" i="26"/>
  <c r="Q11" i="26"/>
  <c r="R11" i="26"/>
  <c r="S11" i="26"/>
  <c r="T11" i="26"/>
  <c r="U11" i="26"/>
  <c r="V11" i="26"/>
  <c r="W11" i="26"/>
  <c r="X11" i="26"/>
  <c r="Y11" i="26"/>
  <c r="Z11" i="26"/>
  <c r="C10" i="26"/>
  <c r="D10" i="26"/>
  <c r="C9" i="26"/>
  <c r="C1" i="26"/>
  <c r="C2" i="26"/>
  <c r="C3" i="26"/>
  <c r="C4" i="26"/>
  <c r="C5" i="26"/>
  <c r="C6" i="26"/>
  <c r="C7" i="26"/>
  <c r="C8" i="26"/>
  <c r="E6" i="26"/>
  <c r="E4" i="26"/>
  <c r="F4" i="26"/>
  <c r="B3" i="26"/>
  <c r="P54" i="25"/>
  <c r="AD52" i="25"/>
  <c r="AD54" i="25" s="1"/>
  <c r="AG52" i="25"/>
  <c r="AG54" i="25" s="1"/>
  <c r="AH52" i="25"/>
  <c r="AK52" i="25"/>
  <c r="N52" i="25"/>
  <c r="N54" i="25" s="1"/>
  <c r="O52" i="25"/>
  <c r="P52" i="25"/>
  <c r="Q52" i="25"/>
  <c r="Q54" i="25" s="1"/>
  <c r="R52" i="25"/>
  <c r="R54" i="25" s="1"/>
  <c r="S52" i="25"/>
  <c r="S54" i="25" s="1"/>
  <c r="T52" i="25"/>
  <c r="T54" i="25" s="1"/>
  <c r="U52" i="25"/>
  <c r="U54" i="25" s="1"/>
  <c r="V52" i="25"/>
  <c r="V54" i="25" s="1"/>
  <c r="W52" i="25"/>
  <c r="W54" i="25" s="1"/>
  <c r="X52" i="25"/>
  <c r="X54" i="25" s="1"/>
  <c r="Y52" i="25"/>
  <c r="Y54" i="25" s="1"/>
  <c r="Z52" i="25"/>
  <c r="Z54" i="25" s="1"/>
  <c r="I52" i="25"/>
  <c r="J52" i="25"/>
  <c r="AH34" i="25"/>
  <c r="AL35" i="25"/>
  <c r="AL36" i="25"/>
  <c r="AL38" i="25"/>
  <c r="AH39" i="25"/>
  <c r="AH40" i="25"/>
  <c r="AH41" i="25"/>
  <c r="AL41" i="25"/>
  <c r="AH42" i="25"/>
  <c r="AH43" i="25"/>
  <c r="AH44" i="25"/>
  <c r="AL44" i="25"/>
  <c r="AL45" i="25"/>
  <c r="AH47" i="25"/>
  <c r="AH48" i="25"/>
  <c r="AH49" i="25"/>
  <c r="AL49" i="25"/>
  <c r="AK50" i="25"/>
  <c r="AE39" i="25"/>
  <c r="AE40" i="25"/>
  <c r="AE41" i="25"/>
  <c r="AE42" i="25"/>
  <c r="AE43" i="25"/>
  <c r="AE44" i="25"/>
  <c r="AE47" i="25"/>
  <c r="AE48" i="25"/>
  <c r="AE49" i="25"/>
  <c r="AA40" i="25"/>
  <c r="AA47" i="25"/>
  <c r="AA48" i="25"/>
  <c r="I34" i="25"/>
  <c r="J34" i="25"/>
  <c r="L34" i="25"/>
  <c r="M34" i="25"/>
  <c r="N34" i="25"/>
  <c r="I35" i="25"/>
  <c r="AA35" i="25" s="1"/>
  <c r="AI35" i="25" s="1"/>
  <c r="J35" i="25"/>
  <c r="K35" i="25"/>
  <c r="L35" i="25"/>
  <c r="M35" i="25"/>
  <c r="N35" i="25"/>
  <c r="I36" i="25"/>
  <c r="J36" i="25"/>
  <c r="L36" i="25"/>
  <c r="M36" i="25"/>
  <c r="N36" i="25"/>
  <c r="I37" i="25"/>
  <c r="AA37" i="25" s="1"/>
  <c r="J37" i="25"/>
  <c r="L37" i="25"/>
  <c r="M37" i="25"/>
  <c r="N37" i="25"/>
  <c r="I38" i="25"/>
  <c r="J38" i="25"/>
  <c r="L38" i="25"/>
  <c r="M38" i="25"/>
  <c r="N38" i="25"/>
  <c r="I39" i="25"/>
  <c r="J39" i="25"/>
  <c r="L39" i="25"/>
  <c r="M39" i="25"/>
  <c r="N39" i="25"/>
  <c r="I40" i="25"/>
  <c r="J40" i="25"/>
  <c r="K40" i="25"/>
  <c r="L40" i="25"/>
  <c r="M40" i="25"/>
  <c r="N40" i="25"/>
  <c r="I41" i="25"/>
  <c r="AA41" i="25" s="1"/>
  <c r="AB41" i="25" s="1"/>
  <c r="J41" i="25"/>
  <c r="L41" i="25"/>
  <c r="M41" i="25"/>
  <c r="N41" i="25"/>
  <c r="I42" i="25"/>
  <c r="J42" i="25"/>
  <c r="L42" i="25"/>
  <c r="M42" i="25"/>
  <c r="N42" i="25"/>
  <c r="I43" i="25"/>
  <c r="AA43" i="25" s="1"/>
  <c r="J43" i="25"/>
  <c r="K43" i="25"/>
  <c r="L43" i="25"/>
  <c r="M43" i="25"/>
  <c r="N43" i="25"/>
  <c r="I44" i="25"/>
  <c r="J44" i="25"/>
  <c r="L44" i="25"/>
  <c r="M44" i="25"/>
  <c r="N44" i="25"/>
  <c r="I45" i="25"/>
  <c r="AA45" i="25" s="1"/>
  <c r="J45" i="25"/>
  <c r="L45" i="25"/>
  <c r="M45" i="25"/>
  <c r="N45" i="25"/>
  <c r="I46" i="25"/>
  <c r="J46" i="25"/>
  <c r="L46" i="25"/>
  <c r="M46" i="25"/>
  <c r="N46" i="25"/>
  <c r="I47" i="25"/>
  <c r="K47" i="25" s="1"/>
  <c r="J47" i="25"/>
  <c r="L47" i="25"/>
  <c r="M47" i="25"/>
  <c r="N47" i="25"/>
  <c r="I48" i="25"/>
  <c r="J48" i="25"/>
  <c r="K48" i="25"/>
  <c r="L48" i="25"/>
  <c r="M48" i="25"/>
  <c r="N48" i="25"/>
  <c r="I49" i="25"/>
  <c r="J49" i="25"/>
  <c r="L49" i="25"/>
  <c r="M49" i="25"/>
  <c r="N49" i="25"/>
  <c r="I50" i="25"/>
  <c r="AA50" i="25" s="1"/>
  <c r="AF50" i="25" s="1"/>
  <c r="J50" i="25"/>
  <c r="K50" i="25"/>
  <c r="L50" i="25"/>
  <c r="M50" i="25"/>
  <c r="N50" i="25"/>
  <c r="N33" i="25"/>
  <c r="I33" i="25"/>
  <c r="J33" i="25"/>
  <c r="AK32" i="25"/>
  <c r="AG32" i="25"/>
  <c r="AL32" i="25" s="1"/>
  <c r="AD32" i="25"/>
  <c r="O32" i="25"/>
  <c r="P32" i="25"/>
  <c r="Q32" i="25"/>
  <c r="R32" i="25"/>
  <c r="S32" i="25"/>
  <c r="T32" i="25"/>
  <c r="U32" i="25"/>
  <c r="V32" i="25"/>
  <c r="W32" i="25"/>
  <c r="X32" i="25"/>
  <c r="Y32" i="25"/>
  <c r="Z32" i="25"/>
  <c r="AJ32" i="25" s="1"/>
  <c r="AJ31" i="25"/>
  <c r="AK31" i="25"/>
  <c r="AM31" i="25" s="1"/>
  <c r="AL31" i="25"/>
  <c r="AN31" i="25" s="1"/>
  <c r="AG31" i="25"/>
  <c r="AD31" i="25"/>
  <c r="O31" i="25"/>
  <c r="P31" i="25"/>
  <c r="Q31" i="25"/>
  <c r="R31" i="25"/>
  <c r="S31" i="25"/>
  <c r="T31" i="25"/>
  <c r="U31" i="25"/>
  <c r="V31" i="25"/>
  <c r="W31" i="25"/>
  <c r="X31" i="25"/>
  <c r="Y31" i="25"/>
  <c r="Z31" i="25"/>
  <c r="AA31" i="25"/>
  <c r="N26" i="25"/>
  <c r="N27" i="25"/>
  <c r="N28" i="25"/>
  <c r="N29" i="25"/>
  <c r="B22" i="25"/>
  <c r="B23" i="25"/>
  <c r="AG16" i="25"/>
  <c r="AG19" i="25"/>
  <c r="AH50" i="25" s="1"/>
  <c r="AG20" i="25"/>
  <c r="AL40" i="25" s="1"/>
  <c r="AD19" i="25"/>
  <c r="AD20" i="25"/>
  <c r="AK40" i="25" s="1"/>
  <c r="N19" i="25"/>
  <c r="O19" i="25"/>
  <c r="P19" i="25"/>
  <c r="Q19" i="25"/>
  <c r="R19" i="25"/>
  <c r="S19" i="25"/>
  <c r="T19" i="25"/>
  <c r="U19" i="25"/>
  <c r="V19" i="25"/>
  <c r="W19" i="25"/>
  <c r="X19" i="25"/>
  <c r="Y19" i="25"/>
  <c r="Z19" i="25"/>
  <c r="N20" i="25"/>
  <c r="O20" i="25"/>
  <c r="P20" i="25"/>
  <c r="Q20" i="25"/>
  <c r="R20" i="25"/>
  <c r="S20" i="25"/>
  <c r="T20" i="25"/>
  <c r="U20" i="25"/>
  <c r="V20" i="25"/>
  <c r="W20" i="25"/>
  <c r="X20" i="25"/>
  <c r="Y20" i="25"/>
  <c r="Z20" i="25"/>
  <c r="G19" i="25"/>
  <c r="B17" i="25"/>
  <c r="B18" i="25"/>
  <c r="B19" i="25"/>
  <c r="O17" i="25"/>
  <c r="P17" i="25"/>
  <c r="Q17" i="25"/>
  <c r="R17" i="25"/>
  <c r="S17" i="25"/>
  <c r="T17" i="25"/>
  <c r="U17" i="25"/>
  <c r="V17" i="25"/>
  <c r="W17" i="25"/>
  <c r="X17" i="25"/>
  <c r="Y17" i="25"/>
  <c r="Z17" i="25"/>
  <c r="O16" i="25"/>
  <c r="P16" i="25"/>
  <c r="Q16" i="25"/>
  <c r="R16" i="25"/>
  <c r="S16" i="25"/>
  <c r="T16" i="25"/>
  <c r="U16" i="25"/>
  <c r="V16" i="25"/>
  <c r="W16" i="25"/>
  <c r="X16" i="25"/>
  <c r="Y16" i="25"/>
  <c r="A14" i="25"/>
  <c r="AG12" i="25"/>
  <c r="AG13" i="25"/>
  <c r="AD12" i="25"/>
  <c r="AD13" i="25"/>
  <c r="B12" i="25"/>
  <c r="B13" i="25"/>
  <c r="O12" i="25"/>
  <c r="P12" i="25"/>
  <c r="Q12" i="25"/>
  <c r="R12" i="25"/>
  <c r="S12" i="25"/>
  <c r="T12" i="25"/>
  <c r="U12" i="25"/>
  <c r="V12" i="25"/>
  <c r="W12" i="25"/>
  <c r="X12" i="25"/>
  <c r="Y12" i="25"/>
  <c r="Z12" i="25"/>
  <c r="AA12" i="25"/>
  <c r="O13" i="25"/>
  <c r="P13" i="25"/>
  <c r="Q13" i="25"/>
  <c r="R13" i="25"/>
  <c r="S13" i="25"/>
  <c r="T13" i="25"/>
  <c r="U13" i="25"/>
  <c r="V13" i="25"/>
  <c r="W13" i="25"/>
  <c r="X13" i="25"/>
  <c r="Y13" i="25"/>
  <c r="Z13" i="25"/>
  <c r="AA13" i="25"/>
  <c r="O11" i="25"/>
  <c r="P11" i="25"/>
  <c r="Q11" i="25"/>
  <c r="R11" i="25"/>
  <c r="S11" i="25"/>
  <c r="T11" i="25"/>
  <c r="U11" i="25"/>
  <c r="V11" i="25"/>
  <c r="W11" i="25"/>
  <c r="X11" i="25"/>
  <c r="Y11" i="25"/>
  <c r="Z11" i="25"/>
  <c r="C10" i="25"/>
  <c r="D10" i="25"/>
  <c r="C9" i="25"/>
  <c r="C1" i="25"/>
  <c r="C2" i="25"/>
  <c r="C3" i="25"/>
  <c r="C4" i="25"/>
  <c r="C5" i="25"/>
  <c r="C6" i="25"/>
  <c r="C7" i="25"/>
  <c r="C8" i="25"/>
  <c r="E6" i="25"/>
  <c r="B29" i="25" s="1"/>
  <c r="E4" i="25"/>
  <c r="F4" i="25"/>
  <c r="B3" i="25"/>
  <c r="N98" i="23"/>
  <c r="N100" i="23" s="1"/>
  <c r="I98" i="23"/>
  <c r="AA98" i="23" s="1"/>
  <c r="AI98" i="23" s="1"/>
  <c r="J98" i="23"/>
  <c r="X96" i="23"/>
  <c r="X100" i="23" s="1"/>
  <c r="N76" i="23"/>
  <c r="N77" i="23"/>
  <c r="N78" i="23"/>
  <c r="N79" i="23"/>
  <c r="N80" i="23"/>
  <c r="N81" i="23"/>
  <c r="N82" i="23"/>
  <c r="N83" i="23"/>
  <c r="N84" i="23"/>
  <c r="N85" i="23"/>
  <c r="N86" i="23"/>
  <c r="N87" i="23"/>
  <c r="N88" i="23"/>
  <c r="N89" i="23"/>
  <c r="N90" i="23"/>
  <c r="N91" i="23"/>
  <c r="N92" i="23"/>
  <c r="N93" i="23"/>
  <c r="N94" i="23"/>
  <c r="N95" i="23"/>
  <c r="AK93" i="23"/>
  <c r="AM95" i="23"/>
  <c r="AN95" i="23"/>
  <c r="AG77" i="23"/>
  <c r="AG78" i="23"/>
  <c r="AH78" i="23" s="1"/>
  <c r="AG79" i="23"/>
  <c r="AH79" i="23"/>
  <c r="AG80" i="23"/>
  <c r="AH80" i="23" s="1"/>
  <c r="AG81" i="23"/>
  <c r="AG82" i="23"/>
  <c r="AH82" i="23" s="1"/>
  <c r="AG83" i="23"/>
  <c r="AH83" i="23" s="1"/>
  <c r="AG84" i="23"/>
  <c r="AH84" i="23" s="1"/>
  <c r="AG85" i="23"/>
  <c r="AG86" i="23"/>
  <c r="AH86" i="23"/>
  <c r="AG87" i="23"/>
  <c r="AH87" i="23" s="1"/>
  <c r="AG88" i="23"/>
  <c r="AH88" i="23" s="1"/>
  <c r="AG89" i="23"/>
  <c r="AG90" i="23"/>
  <c r="AH90" i="23"/>
  <c r="AG91" i="23"/>
  <c r="AH91" i="23"/>
  <c r="AG92" i="23"/>
  <c r="AH92" i="23" s="1"/>
  <c r="AG93" i="23"/>
  <c r="AG94" i="23"/>
  <c r="AH94" i="23"/>
  <c r="AD77" i="23"/>
  <c r="AE77" i="23"/>
  <c r="AD78" i="23"/>
  <c r="AD79" i="23"/>
  <c r="AD80" i="23"/>
  <c r="AD81" i="23"/>
  <c r="AD82" i="23"/>
  <c r="AD83" i="23"/>
  <c r="AD84" i="23"/>
  <c r="AE84" i="23" s="1"/>
  <c r="AD85" i="23"/>
  <c r="AD86" i="23"/>
  <c r="AD87" i="23"/>
  <c r="AD88" i="23"/>
  <c r="AE88" i="23"/>
  <c r="AD89" i="23"/>
  <c r="AE89" i="23" s="1"/>
  <c r="AD90" i="23"/>
  <c r="AD91" i="23"/>
  <c r="AD92" i="23"/>
  <c r="AD93" i="23"/>
  <c r="AE93" i="23"/>
  <c r="AD94" i="23"/>
  <c r="O77" i="23"/>
  <c r="P77" i="23"/>
  <c r="Q77" i="23"/>
  <c r="R77" i="23"/>
  <c r="S77" i="23"/>
  <c r="S96" i="23" s="1"/>
  <c r="S100" i="23" s="1"/>
  <c r="T77" i="23"/>
  <c r="U77" i="23"/>
  <c r="V77" i="23"/>
  <c r="W77" i="23"/>
  <c r="X77" i="23"/>
  <c r="Y77" i="23"/>
  <c r="Z77" i="23"/>
  <c r="O78" i="23"/>
  <c r="P78" i="23"/>
  <c r="Q78" i="23"/>
  <c r="R78" i="23"/>
  <c r="S78" i="23"/>
  <c r="T78" i="23"/>
  <c r="U78" i="23"/>
  <c r="V78" i="23"/>
  <c r="W78" i="23"/>
  <c r="X78" i="23"/>
  <c r="Y78" i="23"/>
  <c r="Z78" i="23"/>
  <c r="O79" i="23"/>
  <c r="P79" i="23"/>
  <c r="Q79" i="23"/>
  <c r="R79" i="23"/>
  <c r="S79" i="23"/>
  <c r="T79" i="23"/>
  <c r="U79" i="23"/>
  <c r="V79" i="23"/>
  <c r="W79" i="23"/>
  <c r="X79" i="23"/>
  <c r="Y79" i="23"/>
  <c r="Z79" i="23"/>
  <c r="O80" i="23"/>
  <c r="P80" i="23"/>
  <c r="Q80" i="23"/>
  <c r="R80" i="23"/>
  <c r="S80" i="23"/>
  <c r="T80" i="23"/>
  <c r="U80" i="23"/>
  <c r="V80" i="23"/>
  <c r="W80" i="23"/>
  <c r="X80" i="23"/>
  <c r="Y80" i="23"/>
  <c r="Z80" i="23"/>
  <c r="O81" i="23"/>
  <c r="P81" i="23"/>
  <c r="Q81" i="23"/>
  <c r="R81" i="23"/>
  <c r="S81" i="23"/>
  <c r="T81" i="23"/>
  <c r="U81" i="23"/>
  <c r="V81" i="23"/>
  <c r="W81" i="23"/>
  <c r="X81" i="23"/>
  <c r="Y81" i="23"/>
  <c r="Z81" i="23"/>
  <c r="O82" i="23"/>
  <c r="P82" i="23"/>
  <c r="Q82" i="23"/>
  <c r="R82" i="23"/>
  <c r="S82" i="23"/>
  <c r="T82" i="23"/>
  <c r="U82" i="23"/>
  <c r="V82" i="23"/>
  <c r="W82" i="23"/>
  <c r="X82" i="23"/>
  <c r="Y82" i="23"/>
  <c r="Z82" i="23"/>
  <c r="O83" i="23"/>
  <c r="P83" i="23"/>
  <c r="Q83" i="23"/>
  <c r="R83" i="23"/>
  <c r="S83" i="23"/>
  <c r="T83" i="23"/>
  <c r="U83" i="23"/>
  <c r="V83" i="23"/>
  <c r="W83" i="23"/>
  <c r="X83" i="23"/>
  <c r="Y83" i="23"/>
  <c r="Z83" i="23"/>
  <c r="O84" i="23"/>
  <c r="P84" i="23"/>
  <c r="Q84" i="23"/>
  <c r="R84" i="23"/>
  <c r="S84" i="23"/>
  <c r="T84" i="23"/>
  <c r="U84" i="23"/>
  <c r="V84" i="23"/>
  <c r="W84" i="23"/>
  <c r="X84" i="23"/>
  <c r="Y84" i="23"/>
  <c r="Z84" i="23"/>
  <c r="O85" i="23"/>
  <c r="P85" i="23"/>
  <c r="Q85" i="23"/>
  <c r="R85" i="23"/>
  <c r="S85" i="23"/>
  <c r="T85" i="23"/>
  <c r="U85" i="23"/>
  <c r="V85" i="23"/>
  <c r="W85" i="23"/>
  <c r="X85" i="23"/>
  <c r="Y85" i="23"/>
  <c r="Z85" i="23"/>
  <c r="O86" i="23"/>
  <c r="P86" i="23"/>
  <c r="Q86" i="23"/>
  <c r="R86" i="23"/>
  <c r="S86" i="23"/>
  <c r="T86" i="23"/>
  <c r="U86" i="23"/>
  <c r="V86" i="23"/>
  <c r="W86" i="23"/>
  <c r="X86" i="23"/>
  <c r="Y86" i="23"/>
  <c r="Z86" i="23"/>
  <c r="O87" i="23"/>
  <c r="P87" i="23"/>
  <c r="Q87" i="23"/>
  <c r="R87" i="23"/>
  <c r="S87" i="23"/>
  <c r="T87" i="23"/>
  <c r="U87" i="23"/>
  <c r="V87" i="23"/>
  <c r="W87" i="23"/>
  <c r="X87" i="23"/>
  <c r="Y87" i="23"/>
  <c r="Z87" i="23"/>
  <c r="O88" i="23"/>
  <c r="P88" i="23"/>
  <c r="Q88" i="23"/>
  <c r="R88" i="23"/>
  <c r="S88" i="23"/>
  <c r="T88" i="23"/>
  <c r="U88" i="23"/>
  <c r="V88" i="23"/>
  <c r="W88" i="23"/>
  <c r="X88" i="23"/>
  <c r="Y88" i="23"/>
  <c r="Z88" i="23"/>
  <c r="O89" i="23"/>
  <c r="P89" i="23"/>
  <c r="Q89" i="23"/>
  <c r="R89" i="23"/>
  <c r="S89" i="23"/>
  <c r="T89" i="23"/>
  <c r="U89" i="23"/>
  <c r="V89" i="23"/>
  <c r="W89" i="23"/>
  <c r="X89" i="23"/>
  <c r="Y89" i="23"/>
  <c r="Z89" i="23"/>
  <c r="O90" i="23"/>
  <c r="P90" i="23"/>
  <c r="Q90" i="23"/>
  <c r="R90" i="23"/>
  <c r="S90" i="23"/>
  <c r="T90" i="23"/>
  <c r="U90" i="23"/>
  <c r="V90" i="23"/>
  <c r="W90" i="23"/>
  <c r="X90" i="23"/>
  <c r="Y90" i="23"/>
  <c r="Z90" i="23"/>
  <c r="O91" i="23"/>
  <c r="P91" i="23"/>
  <c r="Q91" i="23"/>
  <c r="R91" i="23"/>
  <c r="S91" i="23"/>
  <c r="T91" i="23"/>
  <c r="U91" i="23"/>
  <c r="V91" i="23"/>
  <c r="W91" i="23"/>
  <c r="X91" i="23"/>
  <c r="Y91" i="23"/>
  <c r="Z91" i="23"/>
  <c r="O92" i="23"/>
  <c r="P92" i="23"/>
  <c r="Q92" i="23"/>
  <c r="R92" i="23"/>
  <c r="S92" i="23"/>
  <c r="T92" i="23"/>
  <c r="U92" i="23"/>
  <c r="V92" i="23"/>
  <c r="W92" i="23"/>
  <c r="X92" i="23"/>
  <c r="Y92" i="23"/>
  <c r="Z92" i="23"/>
  <c r="O93" i="23"/>
  <c r="P93" i="23"/>
  <c r="Q93" i="23"/>
  <c r="R93" i="23"/>
  <c r="S93" i="23"/>
  <c r="T93" i="23"/>
  <c r="U93" i="23"/>
  <c r="V93" i="23"/>
  <c r="W93" i="23"/>
  <c r="X93" i="23"/>
  <c r="Y93" i="23"/>
  <c r="Z93" i="23"/>
  <c r="O94" i="23"/>
  <c r="P94" i="23"/>
  <c r="Q94" i="23"/>
  <c r="R94" i="23"/>
  <c r="S94" i="23"/>
  <c r="T94" i="23"/>
  <c r="U94" i="23"/>
  <c r="V94" i="23"/>
  <c r="W94" i="23"/>
  <c r="X94" i="23"/>
  <c r="Y94" i="23"/>
  <c r="Z94" i="23"/>
  <c r="I76" i="23"/>
  <c r="J76" i="23"/>
  <c r="I77" i="23"/>
  <c r="J77" i="23"/>
  <c r="I78" i="23"/>
  <c r="J78" i="23"/>
  <c r="I79" i="23"/>
  <c r="J79" i="23"/>
  <c r="I80" i="23"/>
  <c r="J80" i="23"/>
  <c r="I81" i="23"/>
  <c r="J81" i="23"/>
  <c r="I82" i="23"/>
  <c r="J82" i="23"/>
  <c r="I83" i="23"/>
  <c r="J83" i="23"/>
  <c r="I84" i="23"/>
  <c r="J84" i="23"/>
  <c r="I85" i="23"/>
  <c r="J85" i="23"/>
  <c r="I86" i="23"/>
  <c r="J86" i="23"/>
  <c r="I87" i="23"/>
  <c r="J87" i="23"/>
  <c r="I88" i="23"/>
  <c r="J88" i="23"/>
  <c r="I89" i="23"/>
  <c r="J89" i="23"/>
  <c r="I90" i="23"/>
  <c r="J90" i="23"/>
  <c r="I91" i="23"/>
  <c r="AA91" i="23" s="1"/>
  <c r="AF91" i="23" s="1"/>
  <c r="J91" i="23"/>
  <c r="I92" i="23"/>
  <c r="J92" i="23"/>
  <c r="I93" i="23"/>
  <c r="J93" i="23"/>
  <c r="I94" i="23"/>
  <c r="J94" i="23"/>
  <c r="I95" i="23"/>
  <c r="AA95" i="23" s="1"/>
  <c r="J95" i="23"/>
  <c r="B74" i="23"/>
  <c r="B68" i="23"/>
  <c r="B69" i="23"/>
  <c r="B70" i="23"/>
  <c r="A65" i="23"/>
  <c r="AH56" i="23"/>
  <c r="AK56" i="23"/>
  <c r="AH57" i="23"/>
  <c r="AH58" i="23"/>
  <c r="AH59" i="23"/>
  <c r="AH60" i="23"/>
  <c r="AH61" i="23"/>
  <c r="AH62" i="23"/>
  <c r="AI62" i="23"/>
  <c r="AH63" i="23"/>
  <c r="AH64" i="23"/>
  <c r="AH65" i="23"/>
  <c r="AH66" i="23"/>
  <c r="AH67" i="23"/>
  <c r="AN67" i="23"/>
  <c r="AH68" i="23"/>
  <c r="AH69" i="23"/>
  <c r="AH70" i="23"/>
  <c r="AH71" i="23"/>
  <c r="AH72" i="23"/>
  <c r="AH73" i="23"/>
  <c r="AH74" i="23"/>
  <c r="AE56" i="23"/>
  <c r="AE57" i="23"/>
  <c r="AF57" i="23"/>
  <c r="AE58" i="23"/>
  <c r="AE59" i="23"/>
  <c r="AE60" i="23"/>
  <c r="AE61" i="23"/>
  <c r="AE62" i="23"/>
  <c r="AE63" i="23"/>
  <c r="AE64" i="23"/>
  <c r="AE65" i="23"/>
  <c r="AE66" i="23"/>
  <c r="AE67" i="23"/>
  <c r="AE68" i="23"/>
  <c r="AE69" i="23"/>
  <c r="AM69" i="23" s="1"/>
  <c r="AE70" i="23"/>
  <c r="AE71" i="23"/>
  <c r="AF71" i="23"/>
  <c r="AE72" i="23"/>
  <c r="AE73" i="23"/>
  <c r="AE74" i="23"/>
  <c r="AA56" i="23"/>
  <c r="AB56" i="23"/>
  <c r="AA57" i="23"/>
  <c r="AI57" i="23" s="1"/>
  <c r="AB57" i="23"/>
  <c r="AN57" i="23" s="1"/>
  <c r="AB58" i="23"/>
  <c r="AM58" i="23" s="1"/>
  <c r="AB59" i="23"/>
  <c r="AB60" i="23"/>
  <c r="AB61" i="23"/>
  <c r="AB62" i="23"/>
  <c r="AM62" i="23" s="1"/>
  <c r="AB63" i="23"/>
  <c r="AB64" i="23"/>
  <c r="AA65" i="23"/>
  <c r="AI65" i="23" s="1"/>
  <c r="AB65" i="23"/>
  <c r="AN65" i="23" s="1"/>
  <c r="AB66" i="23"/>
  <c r="AB67" i="23"/>
  <c r="AA68" i="23"/>
  <c r="AI68" i="23" s="1"/>
  <c r="AB68" i="23"/>
  <c r="AB69" i="23"/>
  <c r="AB70" i="23"/>
  <c r="AM70" i="23" s="1"/>
  <c r="AB71" i="23"/>
  <c r="AB72" i="23"/>
  <c r="AA73" i="23"/>
  <c r="AF73" i="23" s="1"/>
  <c r="AB73" i="23"/>
  <c r="AN73" i="23" s="1"/>
  <c r="AB74" i="23"/>
  <c r="I56" i="23"/>
  <c r="J56" i="23"/>
  <c r="K56" i="23"/>
  <c r="L56" i="23"/>
  <c r="M56" i="23"/>
  <c r="N56" i="23"/>
  <c r="I57" i="23"/>
  <c r="K57" i="23" s="1"/>
  <c r="J57" i="23"/>
  <c r="L57" i="23"/>
  <c r="M57" i="23"/>
  <c r="N57" i="23"/>
  <c r="I58" i="23"/>
  <c r="AA58" i="23" s="1"/>
  <c r="J58" i="23"/>
  <c r="L58" i="23"/>
  <c r="M58" i="23"/>
  <c r="N58" i="23"/>
  <c r="I59" i="23"/>
  <c r="J59" i="23"/>
  <c r="L59" i="23"/>
  <c r="M59" i="23"/>
  <c r="N59" i="23"/>
  <c r="I60" i="23"/>
  <c r="J60" i="23"/>
  <c r="L60" i="23"/>
  <c r="M60" i="23"/>
  <c r="N60" i="23"/>
  <c r="I61" i="23"/>
  <c r="K61" i="23" s="1"/>
  <c r="J61" i="23"/>
  <c r="L61" i="23"/>
  <c r="M61" i="23"/>
  <c r="N61" i="23"/>
  <c r="I62" i="23"/>
  <c r="AA62" i="23" s="1"/>
  <c r="AF62" i="23" s="1"/>
  <c r="J62" i="23"/>
  <c r="L62" i="23"/>
  <c r="M62" i="23"/>
  <c r="N62" i="23"/>
  <c r="I63" i="23"/>
  <c r="J63" i="23"/>
  <c r="L63" i="23"/>
  <c r="M63" i="23"/>
  <c r="N63" i="23"/>
  <c r="I64" i="23"/>
  <c r="J64" i="23"/>
  <c r="L64" i="23"/>
  <c r="M64" i="23"/>
  <c r="N64" i="23"/>
  <c r="I65" i="23"/>
  <c r="K65" i="23" s="1"/>
  <c r="J65" i="23"/>
  <c r="L65" i="23"/>
  <c r="M65" i="23"/>
  <c r="N65" i="23"/>
  <c r="I66" i="23"/>
  <c r="J66" i="23"/>
  <c r="L66" i="23"/>
  <c r="M66" i="23"/>
  <c r="N66" i="23"/>
  <c r="I67" i="23"/>
  <c r="AA67" i="23" s="1"/>
  <c r="AI67" i="23" s="1"/>
  <c r="J67" i="23"/>
  <c r="L67" i="23"/>
  <c r="M67" i="23"/>
  <c r="N67" i="23"/>
  <c r="I68" i="23"/>
  <c r="J68" i="23"/>
  <c r="K68" i="23"/>
  <c r="L68" i="23"/>
  <c r="M68" i="23"/>
  <c r="N68" i="23"/>
  <c r="I69" i="23"/>
  <c r="J69" i="23"/>
  <c r="L69" i="23"/>
  <c r="M69" i="23"/>
  <c r="N69" i="23"/>
  <c r="I70" i="23"/>
  <c r="J70" i="23"/>
  <c r="L70" i="23"/>
  <c r="M70" i="23"/>
  <c r="N70" i="23"/>
  <c r="I71" i="23"/>
  <c r="AA71" i="23" s="1"/>
  <c r="AI71" i="23" s="1"/>
  <c r="J71" i="23"/>
  <c r="K71" i="23"/>
  <c r="L71" i="23"/>
  <c r="M71" i="23"/>
  <c r="N71" i="23"/>
  <c r="I72" i="23"/>
  <c r="J72" i="23"/>
  <c r="L72" i="23"/>
  <c r="M72" i="23"/>
  <c r="N72" i="23"/>
  <c r="I73" i="23"/>
  <c r="K73" i="23" s="1"/>
  <c r="J73" i="23"/>
  <c r="L73" i="23"/>
  <c r="M73" i="23"/>
  <c r="N73" i="23"/>
  <c r="I74" i="23"/>
  <c r="J74" i="23"/>
  <c r="L74" i="23"/>
  <c r="M74" i="23"/>
  <c r="N74" i="23"/>
  <c r="N55" i="23"/>
  <c r="I55" i="23"/>
  <c r="J55" i="23"/>
  <c r="B44" i="23"/>
  <c r="B45" i="23"/>
  <c r="B39" i="23"/>
  <c r="B40" i="23"/>
  <c r="B41" i="23"/>
  <c r="A36" i="23"/>
  <c r="AH35" i="23"/>
  <c r="AH37" i="23"/>
  <c r="AK38" i="23"/>
  <c r="AH39" i="23"/>
  <c r="AH40" i="23"/>
  <c r="AH41" i="23"/>
  <c r="AH42" i="23"/>
  <c r="AH43" i="23"/>
  <c r="AH44" i="23"/>
  <c r="AH45" i="23"/>
  <c r="AK45" i="23"/>
  <c r="AH46" i="23"/>
  <c r="AH47" i="23"/>
  <c r="AH48" i="23"/>
  <c r="AH49" i="23"/>
  <c r="AH50" i="23"/>
  <c r="AH51" i="23"/>
  <c r="AH52" i="23"/>
  <c r="AE35" i="23"/>
  <c r="AE37" i="23"/>
  <c r="AE39" i="23"/>
  <c r="AE40" i="23"/>
  <c r="AE41" i="23"/>
  <c r="AE42" i="23"/>
  <c r="AE43" i="23"/>
  <c r="AE44" i="23"/>
  <c r="AE45" i="23"/>
  <c r="AE46" i="23"/>
  <c r="AE47" i="23"/>
  <c r="AE48" i="23"/>
  <c r="AE49" i="23"/>
  <c r="AE50" i="23"/>
  <c r="AE51" i="23"/>
  <c r="AE52" i="23"/>
  <c r="AA43" i="23"/>
  <c r="AA51" i="23"/>
  <c r="AI51" i="23" s="1"/>
  <c r="AB51" i="23"/>
  <c r="I34" i="23"/>
  <c r="AA34" i="23" s="1"/>
  <c r="J34" i="23"/>
  <c r="K34" i="23"/>
  <c r="L34" i="23"/>
  <c r="M34" i="23"/>
  <c r="N34" i="23"/>
  <c r="I35" i="23"/>
  <c r="J35" i="23"/>
  <c r="L35" i="23"/>
  <c r="M35" i="23"/>
  <c r="N35" i="23"/>
  <c r="I36" i="23"/>
  <c r="K36" i="23" s="1"/>
  <c r="J36" i="23"/>
  <c r="L36" i="23"/>
  <c r="M36" i="23"/>
  <c r="N36" i="23"/>
  <c r="I37" i="23"/>
  <c r="J37" i="23"/>
  <c r="L37" i="23"/>
  <c r="M37" i="23"/>
  <c r="N37" i="23"/>
  <c r="I38" i="23"/>
  <c r="AA38" i="23" s="1"/>
  <c r="J38" i="23"/>
  <c r="K38" i="23"/>
  <c r="L38" i="23"/>
  <c r="M38" i="23"/>
  <c r="N38" i="23"/>
  <c r="I39" i="23"/>
  <c r="AA39" i="23" s="1"/>
  <c r="AB39" i="23" s="1"/>
  <c r="J39" i="23"/>
  <c r="L39" i="23"/>
  <c r="M39" i="23"/>
  <c r="N39" i="23"/>
  <c r="I40" i="23"/>
  <c r="K40" i="23" s="1"/>
  <c r="J40" i="23"/>
  <c r="L40" i="23"/>
  <c r="M40" i="23"/>
  <c r="N40" i="23"/>
  <c r="I41" i="23"/>
  <c r="AA41" i="23" s="1"/>
  <c r="AI41" i="23" s="1"/>
  <c r="J41" i="23"/>
  <c r="L41" i="23"/>
  <c r="M41" i="23"/>
  <c r="N41" i="23"/>
  <c r="I42" i="23"/>
  <c r="AA42" i="23" s="1"/>
  <c r="AI42" i="23" s="1"/>
  <c r="J42" i="23"/>
  <c r="L42" i="23"/>
  <c r="M42" i="23"/>
  <c r="N42" i="23"/>
  <c r="I43" i="23"/>
  <c r="J43" i="23"/>
  <c r="K43" i="23"/>
  <c r="L43" i="23"/>
  <c r="M43" i="23"/>
  <c r="N43" i="23"/>
  <c r="I44" i="23"/>
  <c r="J44" i="23"/>
  <c r="L44" i="23"/>
  <c r="M44" i="23"/>
  <c r="N44" i="23"/>
  <c r="I45" i="23"/>
  <c r="AA45" i="23" s="1"/>
  <c r="AF45" i="23" s="1"/>
  <c r="J45" i="23"/>
  <c r="L45" i="23"/>
  <c r="M45" i="23"/>
  <c r="N45" i="23"/>
  <c r="I46" i="23"/>
  <c r="AA46" i="23" s="1"/>
  <c r="J46" i="23"/>
  <c r="K46" i="23"/>
  <c r="L46" i="23"/>
  <c r="M46" i="23"/>
  <c r="N46" i="23"/>
  <c r="I47" i="23"/>
  <c r="J47" i="23"/>
  <c r="L47" i="23"/>
  <c r="M47" i="23"/>
  <c r="N47" i="23"/>
  <c r="I48" i="23"/>
  <c r="K48" i="23" s="1"/>
  <c r="J48" i="23"/>
  <c r="L48" i="23"/>
  <c r="M48" i="23"/>
  <c r="N48" i="23"/>
  <c r="I49" i="23"/>
  <c r="AA49" i="23" s="1"/>
  <c r="AI49" i="23" s="1"/>
  <c r="J49" i="23"/>
  <c r="L49" i="23"/>
  <c r="M49" i="23"/>
  <c r="N49" i="23"/>
  <c r="I50" i="23"/>
  <c r="J50" i="23"/>
  <c r="L50" i="23"/>
  <c r="M50" i="23"/>
  <c r="N50" i="23"/>
  <c r="I51" i="23"/>
  <c r="J51" i="23"/>
  <c r="K51" i="23"/>
  <c r="L51" i="23"/>
  <c r="M51" i="23"/>
  <c r="N51" i="23"/>
  <c r="I52" i="23"/>
  <c r="K52" i="23" s="1"/>
  <c r="J52" i="23"/>
  <c r="L52" i="23"/>
  <c r="M52" i="23"/>
  <c r="N52" i="23"/>
  <c r="I53" i="23"/>
  <c r="AA53" i="23" s="1"/>
  <c r="AI53" i="23" s="1"/>
  <c r="J53" i="23"/>
  <c r="L53" i="23"/>
  <c r="M53" i="23"/>
  <c r="N53" i="23"/>
  <c r="N33" i="23"/>
  <c r="I33" i="23"/>
  <c r="J33" i="23"/>
  <c r="AG32" i="23"/>
  <c r="AL32" i="23" s="1"/>
  <c r="AD32" i="23"/>
  <c r="AK32" i="23" s="1"/>
  <c r="O32" i="23"/>
  <c r="P32" i="23"/>
  <c r="Q32" i="23"/>
  <c r="R32" i="23"/>
  <c r="S32" i="23"/>
  <c r="T32" i="23"/>
  <c r="U32" i="23"/>
  <c r="V32" i="23"/>
  <c r="W32" i="23"/>
  <c r="X32" i="23"/>
  <c r="Y32" i="23"/>
  <c r="Z32" i="23"/>
  <c r="AJ32" i="23" s="1"/>
  <c r="AJ31" i="23"/>
  <c r="AK31" i="23"/>
  <c r="AM31" i="23" s="1"/>
  <c r="AL31" i="23"/>
  <c r="AN31" i="23"/>
  <c r="AG31" i="23"/>
  <c r="AD31" i="23"/>
  <c r="O31" i="23"/>
  <c r="P31" i="23"/>
  <c r="Q31" i="23"/>
  <c r="R31" i="23"/>
  <c r="S31" i="23"/>
  <c r="T31" i="23"/>
  <c r="U31" i="23"/>
  <c r="V31" i="23"/>
  <c r="W31" i="23"/>
  <c r="X31" i="23"/>
  <c r="Y31" i="23"/>
  <c r="Z31" i="23"/>
  <c r="AA31" i="23"/>
  <c r="N26" i="23"/>
  <c r="N27" i="23"/>
  <c r="N28" i="23"/>
  <c r="N29" i="23"/>
  <c r="B29" i="23"/>
  <c r="B22" i="23"/>
  <c r="B23" i="23"/>
  <c r="AG16" i="23"/>
  <c r="AG19" i="23"/>
  <c r="AH98" i="23" s="1"/>
  <c r="AG20" i="23"/>
  <c r="AL46" i="23" s="1"/>
  <c r="AD19" i="23"/>
  <c r="AD20" i="23"/>
  <c r="N19" i="23"/>
  <c r="O19" i="23"/>
  <c r="P19" i="23"/>
  <c r="Q19" i="23"/>
  <c r="R19" i="23"/>
  <c r="S19" i="23"/>
  <c r="T19" i="23"/>
  <c r="U19" i="23"/>
  <c r="V19" i="23"/>
  <c r="W19" i="23"/>
  <c r="X19" i="23"/>
  <c r="Y19" i="23"/>
  <c r="Z19" i="23"/>
  <c r="N20" i="23"/>
  <c r="O20" i="23"/>
  <c r="P20" i="23"/>
  <c r="Q20" i="23"/>
  <c r="R20" i="23"/>
  <c r="S20" i="23"/>
  <c r="T20" i="23"/>
  <c r="U20" i="23"/>
  <c r="V20" i="23"/>
  <c r="W20" i="23"/>
  <c r="X20" i="23"/>
  <c r="Y20" i="23"/>
  <c r="Z20" i="23"/>
  <c r="G19" i="23"/>
  <c r="B17" i="23"/>
  <c r="B18" i="23"/>
  <c r="B19" i="23"/>
  <c r="O17" i="23"/>
  <c r="P17" i="23"/>
  <c r="Q17" i="23"/>
  <c r="R17" i="23"/>
  <c r="S17" i="23"/>
  <c r="T17" i="23"/>
  <c r="U17" i="23"/>
  <c r="V17" i="23"/>
  <c r="W17" i="23"/>
  <c r="X17" i="23"/>
  <c r="Y17" i="23"/>
  <c r="Z17" i="23"/>
  <c r="AA18" i="23" s="1"/>
  <c r="O16" i="23"/>
  <c r="P16" i="23"/>
  <c r="Q16" i="23"/>
  <c r="R16" i="23"/>
  <c r="S16" i="23"/>
  <c r="T16" i="23"/>
  <c r="U16" i="23"/>
  <c r="V16" i="23"/>
  <c r="W16" i="23"/>
  <c r="X16" i="23"/>
  <c r="Y16" i="23"/>
  <c r="A14" i="23"/>
  <c r="AG12" i="23"/>
  <c r="AG13" i="23"/>
  <c r="AD12" i="23"/>
  <c r="AD13" i="23"/>
  <c r="B12" i="23"/>
  <c r="B13" i="23"/>
  <c r="O12" i="23"/>
  <c r="P12" i="23"/>
  <c r="Q12" i="23"/>
  <c r="R12" i="23"/>
  <c r="S12" i="23"/>
  <c r="T12" i="23"/>
  <c r="U12" i="23"/>
  <c r="V12" i="23"/>
  <c r="W12" i="23"/>
  <c r="X12" i="23"/>
  <c r="Y12" i="23"/>
  <c r="Z12" i="23"/>
  <c r="AA12" i="23"/>
  <c r="O13" i="23"/>
  <c r="P13" i="23"/>
  <c r="Q13" i="23"/>
  <c r="R13" i="23"/>
  <c r="S13" i="23"/>
  <c r="T13" i="23"/>
  <c r="U13" i="23"/>
  <c r="V13" i="23"/>
  <c r="W13" i="23"/>
  <c r="X13" i="23"/>
  <c r="Y13" i="23"/>
  <c r="Z13" i="23"/>
  <c r="AA13" i="23"/>
  <c r="O11" i="23"/>
  <c r="P11" i="23"/>
  <c r="Q11" i="23"/>
  <c r="R11" i="23"/>
  <c r="S11" i="23"/>
  <c r="T11" i="23"/>
  <c r="U11" i="23"/>
  <c r="V11" i="23"/>
  <c r="W11" i="23"/>
  <c r="X11" i="23"/>
  <c r="Y11" i="23"/>
  <c r="Z11" i="23"/>
  <c r="C10" i="23"/>
  <c r="D10" i="23"/>
  <c r="C9" i="23"/>
  <c r="C1" i="23"/>
  <c r="C2" i="23"/>
  <c r="C3" i="23"/>
  <c r="C4" i="23"/>
  <c r="C5" i="23"/>
  <c r="C6" i="23"/>
  <c r="C7" i="23"/>
  <c r="C8" i="23"/>
  <c r="E6" i="23"/>
  <c r="B51" i="23" s="1"/>
  <c r="E4" i="23"/>
  <c r="F4" i="23"/>
  <c r="B3" i="23"/>
  <c r="B111" i="22"/>
  <c r="B105" i="22"/>
  <c r="B106" i="22"/>
  <c r="B107" i="22"/>
  <c r="A102" i="22"/>
  <c r="B79" i="22"/>
  <c r="B80" i="22"/>
  <c r="B74" i="22"/>
  <c r="B75" i="22"/>
  <c r="B76" i="22"/>
  <c r="AG74" i="22"/>
  <c r="AD74" i="22"/>
  <c r="O74" i="22"/>
  <c r="P74" i="22"/>
  <c r="Q74" i="22"/>
  <c r="R74" i="22"/>
  <c r="S74" i="22"/>
  <c r="T74" i="22"/>
  <c r="U74" i="22"/>
  <c r="V74" i="22"/>
  <c r="W74" i="22"/>
  <c r="X74" i="22"/>
  <c r="Y74" i="22"/>
  <c r="Z74" i="22"/>
  <c r="N75" i="22"/>
  <c r="O75" i="22"/>
  <c r="P75" i="22"/>
  <c r="W75" i="22"/>
  <c r="X75" i="22"/>
  <c r="N71" i="22"/>
  <c r="N74" i="22" s="1"/>
  <c r="N72" i="22"/>
  <c r="AH71" i="22"/>
  <c r="AH72" i="22"/>
  <c r="AL72" i="22"/>
  <c r="AE71" i="22"/>
  <c r="AE72" i="22"/>
  <c r="I71" i="22"/>
  <c r="AA71" i="22" s="1"/>
  <c r="AF71" i="22" s="1"/>
  <c r="J71" i="22"/>
  <c r="I72" i="22"/>
  <c r="AA72" i="22" s="1"/>
  <c r="J72" i="22"/>
  <c r="A71" i="22"/>
  <c r="N66" i="22"/>
  <c r="N67" i="22"/>
  <c r="N68" i="22"/>
  <c r="N69" i="22"/>
  <c r="I69" i="22"/>
  <c r="J69" i="22"/>
  <c r="AH67" i="22"/>
  <c r="AH68" i="22"/>
  <c r="AH69" i="22"/>
  <c r="AL69" i="22"/>
  <c r="AE67" i="22"/>
  <c r="AE68" i="22"/>
  <c r="AE69" i="22"/>
  <c r="AA69" i="22"/>
  <c r="I67" i="22"/>
  <c r="AA67" i="22" s="1"/>
  <c r="J67" i="22"/>
  <c r="L67" i="22"/>
  <c r="M67" i="22"/>
  <c r="I68" i="22"/>
  <c r="AA68" i="22" s="1"/>
  <c r="J68" i="22"/>
  <c r="L68" i="22"/>
  <c r="M68" i="22"/>
  <c r="I66" i="22"/>
  <c r="J66" i="22"/>
  <c r="AH60" i="22"/>
  <c r="AL60" i="22"/>
  <c r="AH61" i="22"/>
  <c r="AH62" i="22"/>
  <c r="AH63" i="22"/>
  <c r="AH64" i="22"/>
  <c r="AE60" i="22"/>
  <c r="AE61" i="22"/>
  <c r="AE62" i="22"/>
  <c r="AE63" i="22"/>
  <c r="AE64" i="22"/>
  <c r="AA64" i="22"/>
  <c r="AF64" i="22" s="1"/>
  <c r="I60" i="22"/>
  <c r="J60" i="22"/>
  <c r="L60" i="22"/>
  <c r="M60" i="22"/>
  <c r="N60" i="22"/>
  <c r="I61" i="22"/>
  <c r="AA61" i="22" s="1"/>
  <c r="J61" i="22"/>
  <c r="L61" i="22"/>
  <c r="M61" i="22"/>
  <c r="N61" i="22"/>
  <c r="I62" i="22"/>
  <c r="J62" i="22"/>
  <c r="L62" i="22"/>
  <c r="M62" i="22"/>
  <c r="N62" i="22"/>
  <c r="I63" i="22"/>
  <c r="AA63" i="22" s="1"/>
  <c r="AF63" i="22" s="1"/>
  <c r="J63" i="22"/>
  <c r="K63" i="22"/>
  <c r="L63" i="22"/>
  <c r="M63" i="22"/>
  <c r="N63" i="22"/>
  <c r="I64" i="22"/>
  <c r="K64" i="22" s="1"/>
  <c r="J64" i="22"/>
  <c r="L64" i="22"/>
  <c r="M64" i="22"/>
  <c r="N64" i="22"/>
  <c r="N58" i="22"/>
  <c r="N59" i="22"/>
  <c r="I58" i="22"/>
  <c r="J58" i="22"/>
  <c r="I59" i="22"/>
  <c r="J59" i="22"/>
  <c r="AD56" i="22"/>
  <c r="AG56" i="22"/>
  <c r="AG75" i="22" s="1"/>
  <c r="AL56" i="22"/>
  <c r="N56" i="22"/>
  <c r="O56" i="22"/>
  <c r="P56" i="22"/>
  <c r="Q56" i="22"/>
  <c r="R56" i="22"/>
  <c r="R75" i="22" s="1"/>
  <c r="S56" i="22"/>
  <c r="S75" i="22" s="1"/>
  <c r="T56" i="22"/>
  <c r="T75" i="22" s="1"/>
  <c r="U56" i="22"/>
  <c r="U75" i="22" s="1"/>
  <c r="V56" i="22"/>
  <c r="V75" i="22" s="1"/>
  <c r="W56" i="22"/>
  <c r="X56" i="22"/>
  <c r="Y56" i="22"/>
  <c r="Y75" i="22" s="1"/>
  <c r="Z56" i="22"/>
  <c r="Z75" i="22" s="1"/>
  <c r="AB46" i="22"/>
  <c r="AN46" i="22" s="1"/>
  <c r="AB47" i="22"/>
  <c r="AB48" i="22"/>
  <c r="AB49" i="22"/>
  <c r="AN49" i="22" s="1"/>
  <c r="AB50" i="22"/>
  <c r="AB51" i="22"/>
  <c r="AB52" i="22"/>
  <c r="AN52" i="22" s="1"/>
  <c r="AB53" i="22"/>
  <c r="AM53" i="22" s="1"/>
  <c r="AB54" i="22"/>
  <c r="AB55" i="22"/>
  <c r="N45" i="22"/>
  <c r="N46" i="22"/>
  <c r="N47" i="22"/>
  <c r="N48" i="22"/>
  <c r="N49" i="22"/>
  <c r="N50" i="22"/>
  <c r="N51" i="22"/>
  <c r="N52" i="22"/>
  <c r="N53" i="22"/>
  <c r="N54" i="22"/>
  <c r="N55" i="22"/>
  <c r="I55" i="22"/>
  <c r="J55" i="22"/>
  <c r="K55" i="22"/>
  <c r="I56" i="22"/>
  <c r="K56" i="22" s="1"/>
  <c r="J56" i="22"/>
  <c r="AA47" i="22"/>
  <c r="AI47" i="22" s="1"/>
  <c r="AA49" i="22"/>
  <c r="AI49" i="22" s="1"/>
  <c r="B51" i="22"/>
  <c r="B52" i="22"/>
  <c r="B46" i="22"/>
  <c r="B47" i="22"/>
  <c r="B48" i="22"/>
  <c r="AH46" i="22"/>
  <c r="AL46" i="22"/>
  <c r="AH47" i="22"/>
  <c r="AL47" i="22"/>
  <c r="AM47" i="22"/>
  <c r="AN47" i="22"/>
  <c r="AH48" i="22"/>
  <c r="AM48" i="22"/>
  <c r="AH49" i="22"/>
  <c r="AH50" i="22"/>
  <c r="AH51" i="22"/>
  <c r="AH52" i="22"/>
  <c r="AL52" i="22"/>
  <c r="AH53" i="22"/>
  <c r="AH54" i="22"/>
  <c r="AL54" i="22"/>
  <c r="AH55" i="22"/>
  <c r="AN55" i="22" s="1"/>
  <c r="AI55" i="22"/>
  <c r="AM55" i="22"/>
  <c r="AE46" i="22"/>
  <c r="AM46" i="22" s="1"/>
  <c r="AE47" i="22"/>
  <c r="AE48" i="22"/>
  <c r="AE49" i="22"/>
  <c r="AM49" i="22" s="1"/>
  <c r="AE50" i="22"/>
  <c r="AE51" i="22"/>
  <c r="AE52" i="22"/>
  <c r="AE53" i="22"/>
  <c r="AE54" i="22"/>
  <c r="AM54" i="22" s="1"/>
  <c r="AE55" i="22"/>
  <c r="AF55" i="22"/>
  <c r="I46" i="22"/>
  <c r="J46" i="22"/>
  <c r="L46" i="22"/>
  <c r="M46" i="22"/>
  <c r="I47" i="22"/>
  <c r="K47" i="22" s="1"/>
  <c r="J47" i="22"/>
  <c r="L47" i="22"/>
  <c r="M47" i="22"/>
  <c r="I48" i="22"/>
  <c r="AA48" i="22" s="1"/>
  <c r="AF48" i="22" s="1"/>
  <c r="J48" i="22"/>
  <c r="K48" i="22"/>
  <c r="L48" i="22"/>
  <c r="M48" i="22"/>
  <c r="I49" i="22"/>
  <c r="J49" i="22"/>
  <c r="K49" i="22"/>
  <c r="L49" i="22"/>
  <c r="M49" i="22"/>
  <c r="I50" i="22"/>
  <c r="K50" i="22" s="1"/>
  <c r="J50" i="22"/>
  <c r="L50" i="22"/>
  <c r="M50" i="22"/>
  <c r="I51" i="22"/>
  <c r="J51" i="22"/>
  <c r="L51" i="22"/>
  <c r="M51" i="22"/>
  <c r="I52" i="22"/>
  <c r="J52" i="22"/>
  <c r="L52" i="22"/>
  <c r="M52" i="22"/>
  <c r="I53" i="22"/>
  <c r="AA53" i="22" s="1"/>
  <c r="J53" i="22"/>
  <c r="L53" i="22"/>
  <c r="M53" i="22"/>
  <c r="I54" i="22"/>
  <c r="AA54" i="22" s="1"/>
  <c r="J54" i="22"/>
  <c r="L54" i="22"/>
  <c r="M54" i="22"/>
  <c r="I45" i="22"/>
  <c r="J45" i="22"/>
  <c r="A43" i="22"/>
  <c r="AH34" i="22"/>
  <c r="AH35" i="22"/>
  <c r="AL35" i="22"/>
  <c r="AH36" i="22"/>
  <c r="AL36" i="22"/>
  <c r="AH37" i="22"/>
  <c r="AL37" i="22"/>
  <c r="AH38" i="22"/>
  <c r="AH39" i="22"/>
  <c r="AH40" i="22"/>
  <c r="AH41" i="22"/>
  <c r="AH42" i="22"/>
  <c r="AH43" i="22"/>
  <c r="AL43" i="22"/>
  <c r="AE34" i="22"/>
  <c r="AE35" i="22"/>
  <c r="AE36" i="22"/>
  <c r="AE37" i="22"/>
  <c r="AE38" i="22"/>
  <c r="AE39" i="22"/>
  <c r="AE40" i="22"/>
  <c r="AE41" i="22"/>
  <c r="AE42" i="22"/>
  <c r="AE43" i="22"/>
  <c r="AB38" i="22"/>
  <c r="AN38" i="22" s="1"/>
  <c r="I34" i="22"/>
  <c r="K34" i="22" s="1"/>
  <c r="J34" i="22"/>
  <c r="L34" i="22"/>
  <c r="M34" i="22"/>
  <c r="N34" i="22"/>
  <c r="I35" i="22"/>
  <c r="K35" i="22" s="1"/>
  <c r="J35" i="22"/>
  <c r="L35" i="22"/>
  <c r="M35" i="22"/>
  <c r="N35" i="22"/>
  <c r="I36" i="22"/>
  <c r="AA36" i="22" s="1"/>
  <c r="J36" i="22"/>
  <c r="K36" i="22"/>
  <c r="L36" i="22"/>
  <c r="M36" i="22"/>
  <c r="N36" i="22"/>
  <c r="I37" i="22"/>
  <c r="AA37" i="22" s="1"/>
  <c r="AB37" i="22" s="1"/>
  <c r="J37" i="22"/>
  <c r="L37" i="22"/>
  <c r="M37" i="22"/>
  <c r="N37" i="22"/>
  <c r="I38" i="22"/>
  <c r="AA38" i="22" s="1"/>
  <c r="J38" i="22"/>
  <c r="K38" i="22"/>
  <c r="L38" i="22"/>
  <c r="M38" i="22"/>
  <c r="N38" i="22"/>
  <c r="I39" i="22"/>
  <c r="K39" i="22" s="1"/>
  <c r="J39" i="22"/>
  <c r="L39" i="22"/>
  <c r="M39" i="22"/>
  <c r="N39" i="22"/>
  <c r="I40" i="22"/>
  <c r="AA40" i="22" s="1"/>
  <c r="J40" i="22"/>
  <c r="K40" i="22"/>
  <c r="L40" i="22"/>
  <c r="M40" i="22"/>
  <c r="N40" i="22"/>
  <c r="I41" i="22"/>
  <c r="J41" i="22"/>
  <c r="L41" i="22"/>
  <c r="M41" i="22"/>
  <c r="N41" i="22"/>
  <c r="I42" i="22"/>
  <c r="AA42" i="22" s="1"/>
  <c r="J42" i="22"/>
  <c r="K42" i="22"/>
  <c r="L42" i="22"/>
  <c r="M42" i="22"/>
  <c r="N42" i="22"/>
  <c r="I43" i="22"/>
  <c r="K43" i="22" s="1"/>
  <c r="J43" i="22"/>
  <c r="L43" i="22"/>
  <c r="M43" i="22"/>
  <c r="N43" i="22"/>
  <c r="N33" i="22"/>
  <c r="I33" i="22"/>
  <c r="J33" i="22"/>
  <c r="AG32" i="22"/>
  <c r="AL32" i="22" s="1"/>
  <c r="AD32" i="22"/>
  <c r="AK32" i="22" s="1"/>
  <c r="O32" i="22"/>
  <c r="P32" i="22"/>
  <c r="Q32" i="22"/>
  <c r="R32" i="22"/>
  <c r="S32" i="22"/>
  <c r="T32" i="22"/>
  <c r="U32" i="22"/>
  <c r="V32" i="22"/>
  <c r="W32" i="22"/>
  <c r="X32" i="22"/>
  <c r="Y32" i="22"/>
  <c r="Z32" i="22"/>
  <c r="AJ32" i="22" s="1"/>
  <c r="AJ31" i="22"/>
  <c r="AK31" i="22"/>
  <c r="AL31" i="22"/>
  <c r="AN31" i="22" s="1"/>
  <c r="AM31" i="22"/>
  <c r="AG31" i="22"/>
  <c r="AD31" i="22"/>
  <c r="O31" i="22"/>
  <c r="P31" i="22"/>
  <c r="Q31" i="22"/>
  <c r="R31" i="22"/>
  <c r="S31" i="22"/>
  <c r="T31" i="22"/>
  <c r="U31" i="22"/>
  <c r="V31" i="22"/>
  <c r="W31" i="22"/>
  <c r="X31" i="22"/>
  <c r="Y31" i="22"/>
  <c r="Z31" i="22"/>
  <c r="AA31" i="22"/>
  <c r="N26" i="22"/>
  <c r="N27" i="22"/>
  <c r="N28" i="22"/>
  <c r="N29" i="22"/>
  <c r="B22" i="22"/>
  <c r="B23" i="22"/>
  <c r="AG16" i="22"/>
  <c r="AG19" i="22"/>
  <c r="AG20" i="22"/>
  <c r="AL67" i="22" s="1"/>
  <c r="AD19" i="22"/>
  <c r="AD20" i="22"/>
  <c r="AK41" i="22" s="1"/>
  <c r="N19" i="22"/>
  <c r="O19" i="22"/>
  <c r="P19" i="22"/>
  <c r="Q19" i="22"/>
  <c r="R19" i="22"/>
  <c r="S19" i="22"/>
  <c r="T19" i="22"/>
  <c r="U19" i="22"/>
  <c r="V19" i="22"/>
  <c r="W19" i="22"/>
  <c r="X19" i="22"/>
  <c r="Y19" i="22"/>
  <c r="Z19" i="22"/>
  <c r="N20" i="22"/>
  <c r="O20" i="22"/>
  <c r="P20" i="22"/>
  <c r="Q20" i="22"/>
  <c r="R20" i="22"/>
  <c r="S20" i="22"/>
  <c r="T20" i="22"/>
  <c r="U20" i="22"/>
  <c r="V20" i="22"/>
  <c r="W20" i="22"/>
  <c r="X20" i="22"/>
  <c r="Y20" i="22"/>
  <c r="Z20" i="22"/>
  <c r="G19" i="22"/>
  <c r="B17" i="22"/>
  <c r="B18" i="22"/>
  <c r="B19" i="22"/>
  <c r="O16" i="22"/>
  <c r="P16" i="22"/>
  <c r="Q16" i="22"/>
  <c r="R16" i="22"/>
  <c r="S16" i="22"/>
  <c r="T16" i="22"/>
  <c r="U16" i="22"/>
  <c r="V16" i="22"/>
  <c r="W16" i="22"/>
  <c r="X16" i="22"/>
  <c r="Y16" i="22"/>
  <c r="O17" i="22"/>
  <c r="P17" i="22"/>
  <c r="Q17" i="22"/>
  <c r="R17" i="22"/>
  <c r="S17" i="22"/>
  <c r="T17" i="22"/>
  <c r="U17" i="22"/>
  <c r="V17" i="22"/>
  <c r="W17" i="22"/>
  <c r="X17" i="22"/>
  <c r="Y17" i="22"/>
  <c r="Z17" i="22"/>
  <c r="AA17" i="22" s="1"/>
  <c r="AA11" i="22" s="1"/>
  <c r="A14" i="22"/>
  <c r="AG12" i="22"/>
  <c r="AG13" i="22"/>
  <c r="AD12" i="22"/>
  <c r="AD13" i="22"/>
  <c r="B12" i="22"/>
  <c r="B13" i="22"/>
  <c r="O11" i="22"/>
  <c r="P11" i="22"/>
  <c r="Q11" i="22"/>
  <c r="R11" i="22"/>
  <c r="S11" i="22"/>
  <c r="T11" i="22"/>
  <c r="U11" i="22"/>
  <c r="V11" i="22"/>
  <c r="W11" i="22"/>
  <c r="X11" i="22"/>
  <c r="Y11" i="22"/>
  <c r="Z11" i="22"/>
  <c r="O12" i="22"/>
  <c r="P12" i="22"/>
  <c r="Q12" i="22"/>
  <c r="R12" i="22"/>
  <c r="S12" i="22"/>
  <c r="T12" i="22"/>
  <c r="U12" i="22"/>
  <c r="V12" i="22"/>
  <c r="W12" i="22"/>
  <c r="X12" i="22"/>
  <c r="Y12" i="22"/>
  <c r="Z12" i="22"/>
  <c r="AA12" i="22"/>
  <c r="O13" i="22"/>
  <c r="P13" i="22"/>
  <c r="Q13" i="22"/>
  <c r="R13" i="22"/>
  <c r="S13" i="22"/>
  <c r="T13" i="22"/>
  <c r="U13" i="22"/>
  <c r="V13" i="22"/>
  <c r="W13" i="22"/>
  <c r="X13" i="22"/>
  <c r="Y13" i="22"/>
  <c r="Z13" i="22"/>
  <c r="AA13" i="22"/>
  <c r="C10" i="22"/>
  <c r="D10" i="22"/>
  <c r="C9" i="22"/>
  <c r="C1" i="22"/>
  <c r="C2" i="22"/>
  <c r="C3" i="22"/>
  <c r="C4" i="22"/>
  <c r="C5" i="22"/>
  <c r="C6" i="22"/>
  <c r="C7" i="22"/>
  <c r="C8" i="22"/>
  <c r="E6" i="22"/>
  <c r="E4" i="22"/>
  <c r="F4" i="22"/>
  <c r="B3" i="22"/>
  <c r="B110" i="21"/>
  <c r="B104" i="21"/>
  <c r="B105" i="21"/>
  <c r="B106" i="21"/>
  <c r="A101" i="21"/>
  <c r="B78" i="21"/>
  <c r="B79" i="21"/>
  <c r="AG76" i="21"/>
  <c r="AD76" i="21"/>
  <c r="N76" i="21"/>
  <c r="O76" i="21"/>
  <c r="P76" i="21"/>
  <c r="Q76" i="21"/>
  <c r="R76" i="21"/>
  <c r="S76" i="21"/>
  <c r="T76" i="21"/>
  <c r="U76" i="21"/>
  <c r="V76" i="21"/>
  <c r="W76" i="21"/>
  <c r="X76" i="21"/>
  <c r="Y76" i="21"/>
  <c r="Z76" i="21"/>
  <c r="S77" i="21"/>
  <c r="B73" i="21"/>
  <c r="B74" i="21"/>
  <c r="B75" i="21"/>
  <c r="N73" i="21"/>
  <c r="N74" i="21"/>
  <c r="N77" i="21" s="1"/>
  <c r="AH73" i="21"/>
  <c r="AH74" i="21"/>
  <c r="AE73" i="21"/>
  <c r="AE74" i="21"/>
  <c r="AA73" i="21"/>
  <c r="I73" i="21"/>
  <c r="J73" i="21"/>
  <c r="I74" i="21"/>
  <c r="AA74" i="21" s="1"/>
  <c r="J74" i="21"/>
  <c r="N68" i="21"/>
  <c r="N69" i="21"/>
  <c r="N70" i="21"/>
  <c r="N71" i="21"/>
  <c r="I71" i="21"/>
  <c r="J71" i="21"/>
  <c r="A70" i="21"/>
  <c r="AH69" i="21"/>
  <c r="AH70" i="21"/>
  <c r="AH71" i="21"/>
  <c r="AK71" i="21"/>
  <c r="AE69" i="21"/>
  <c r="AE70" i="21"/>
  <c r="AE71" i="21"/>
  <c r="AA71" i="21"/>
  <c r="AA76" i="21" s="1"/>
  <c r="AB71" i="21"/>
  <c r="I69" i="21"/>
  <c r="J69" i="21"/>
  <c r="L69" i="21"/>
  <c r="M69" i="21"/>
  <c r="I70" i="21"/>
  <c r="J70" i="21"/>
  <c r="L70" i="21"/>
  <c r="M70" i="21"/>
  <c r="I68" i="21"/>
  <c r="J68" i="21"/>
  <c r="AH62" i="21"/>
  <c r="AH63" i="21"/>
  <c r="AK63" i="21"/>
  <c r="AH64" i="21"/>
  <c r="AK64" i="21"/>
  <c r="AH65" i="21"/>
  <c r="AH66" i="21"/>
  <c r="AE62" i="21"/>
  <c r="AE63" i="21"/>
  <c r="AE64" i="21"/>
  <c r="AE65" i="21"/>
  <c r="AE66" i="21"/>
  <c r="AA66" i="21"/>
  <c r="AF66" i="21" s="1"/>
  <c r="I62" i="21"/>
  <c r="AA62" i="21" s="1"/>
  <c r="J62" i="21"/>
  <c r="K62" i="21"/>
  <c r="L62" i="21"/>
  <c r="M62" i="21"/>
  <c r="N62" i="21"/>
  <c r="I63" i="21"/>
  <c r="AA63" i="21" s="1"/>
  <c r="J63" i="21"/>
  <c r="L63" i="21"/>
  <c r="M63" i="21"/>
  <c r="N63" i="21"/>
  <c r="I64" i="21"/>
  <c r="J64" i="21"/>
  <c r="L64" i="21"/>
  <c r="M64" i="21"/>
  <c r="N64" i="21"/>
  <c r="I65" i="21"/>
  <c r="J65" i="21"/>
  <c r="L65" i="21"/>
  <c r="M65" i="21"/>
  <c r="N65" i="21"/>
  <c r="I66" i="21"/>
  <c r="J66" i="21"/>
  <c r="K66" i="21"/>
  <c r="L66" i="21"/>
  <c r="M66" i="21"/>
  <c r="N66" i="21"/>
  <c r="N60" i="21"/>
  <c r="N61" i="21"/>
  <c r="I60" i="21"/>
  <c r="J60" i="21"/>
  <c r="I61" i="21"/>
  <c r="J61" i="21"/>
  <c r="AD58" i="21"/>
  <c r="AD77" i="21" s="1"/>
  <c r="AE58" i="21"/>
  <c r="AG58" i="21"/>
  <c r="AG77" i="21" s="1"/>
  <c r="N58" i="21"/>
  <c r="O58" i="21"/>
  <c r="O77" i="21" s="1"/>
  <c r="P58" i="21"/>
  <c r="P77" i="21" s="1"/>
  <c r="Q58" i="21"/>
  <c r="Q77" i="21" s="1"/>
  <c r="R58" i="21"/>
  <c r="R77" i="21" s="1"/>
  <c r="S58" i="21"/>
  <c r="T58" i="21"/>
  <c r="T77" i="21" s="1"/>
  <c r="U58" i="21"/>
  <c r="U77" i="21" s="1"/>
  <c r="V58" i="21"/>
  <c r="V77" i="21" s="1"/>
  <c r="W58" i="21"/>
  <c r="W77" i="21" s="1"/>
  <c r="X58" i="21"/>
  <c r="X77" i="21" s="1"/>
  <c r="Y58" i="21"/>
  <c r="Y77" i="21" s="1"/>
  <c r="Z58" i="21"/>
  <c r="Z77" i="21" s="1"/>
  <c r="AH57" i="21"/>
  <c r="AI57" i="21"/>
  <c r="AB47" i="21"/>
  <c r="AM47" i="21" s="1"/>
  <c r="AB48" i="21"/>
  <c r="AB49" i="21"/>
  <c r="AB50" i="21"/>
  <c r="AB51" i="21"/>
  <c r="AM51" i="21" s="1"/>
  <c r="AB52" i="21"/>
  <c r="AB53" i="21"/>
  <c r="AB54" i="21"/>
  <c r="AM54" i="21" s="1"/>
  <c r="AB55" i="21"/>
  <c r="AM55" i="21" s="1"/>
  <c r="AB56" i="21"/>
  <c r="AB57" i="21"/>
  <c r="N46" i="21"/>
  <c r="N47" i="21"/>
  <c r="N48" i="21"/>
  <c r="N49" i="21"/>
  <c r="N50" i="21"/>
  <c r="N51" i="21"/>
  <c r="N52" i="21"/>
  <c r="N53" i="21"/>
  <c r="N54" i="21"/>
  <c r="N55" i="21"/>
  <c r="N56" i="21"/>
  <c r="N57" i="21"/>
  <c r="I57" i="21"/>
  <c r="K57" i="21" s="1"/>
  <c r="J57" i="21"/>
  <c r="I58" i="21"/>
  <c r="J58" i="21"/>
  <c r="B57" i="21"/>
  <c r="B50" i="21"/>
  <c r="B51" i="21"/>
  <c r="AH47" i="21"/>
  <c r="AH48" i="21"/>
  <c r="AI48" i="21"/>
  <c r="AK48" i="21"/>
  <c r="AN48" i="21"/>
  <c r="AH49" i="21"/>
  <c r="AH50" i="21"/>
  <c r="AK50" i="21"/>
  <c r="AH51" i="21"/>
  <c r="AH52" i="21"/>
  <c r="AH53" i="21"/>
  <c r="AN53" i="21" s="1"/>
  <c r="AH54" i="21"/>
  <c r="AN54" i="21" s="1"/>
  <c r="AH55" i="21"/>
  <c r="AH56" i="21"/>
  <c r="AN56" i="21" s="1"/>
  <c r="AK56" i="21"/>
  <c r="AE47" i="21"/>
  <c r="AE48" i="21"/>
  <c r="AM48" i="21" s="1"/>
  <c r="AE49" i="21"/>
  <c r="AM49" i="21" s="1"/>
  <c r="AE50" i="21"/>
  <c r="AE51" i="21"/>
  <c r="AE52" i="21"/>
  <c r="AE53" i="21"/>
  <c r="AM53" i="21" s="1"/>
  <c r="AE54" i="21"/>
  <c r="AE55" i="21"/>
  <c r="AE56" i="21"/>
  <c r="AM56" i="21" s="1"/>
  <c r="AE57" i="21"/>
  <c r="AF57" i="21"/>
  <c r="I47" i="21"/>
  <c r="K47" i="21" s="1"/>
  <c r="J47" i="21"/>
  <c r="L47" i="21"/>
  <c r="M47" i="21"/>
  <c r="I48" i="21"/>
  <c r="AA48" i="21" s="1"/>
  <c r="J48" i="21"/>
  <c r="K48" i="21"/>
  <c r="L48" i="21"/>
  <c r="M48" i="21"/>
  <c r="I49" i="21"/>
  <c r="AA49" i="21" s="1"/>
  <c r="AI49" i="21" s="1"/>
  <c r="J49" i="21"/>
  <c r="K49" i="21"/>
  <c r="L49" i="21"/>
  <c r="M49" i="21"/>
  <c r="I50" i="21"/>
  <c r="J50" i="21"/>
  <c r="L50" i="21"/>
  <c r="M50" i="21"/>
  <c r="I51" i="21"/>
  <c r="K51" i="21" s="1"/>
  <c r="J51" i="21"/>
  <c r="L51" i="21"/>
  <c r="M51" i="21"/>
  <c r="I52" i="21"/>
  <c r="J52" i="21"/>
  <c r="L52" i="21"/>
  <c r="M52" i="21"/>
  <c r="I53" i="21"/>
  <c r="AA53" i="21" s="1"/>
  <c r="AI53" i="21" s="1"/>
  <c r="J53" i="21"/>
  <c r="L53" i="21"/>
  <c r="M53" i="21"/>
  <c r="I54" i="21"/>
  <c r="J54" i="21"/>
  <c r="L54" i="21"/>
  <c r="M54" i="21"/>
  <c r="I55" i="21"/>
  <c r="K55" i="21" s="1"/>
  <c r="J55" i="21"/>
  <c r="L55" i="21"/>
  <c r="M55" i="21"/>
  <c r="I56" i="21"/>
  <c r="AA56" i="21" s="1"/>
  <c r="AI56" i="21" s="1"/>
  <c r="J56" i="21"/>
  <c r="L56" i="21"/>
  <c r="M56" i="21"/>
  <c r="B45" i="21"/>
  <c r="B46" i="21"/>
  <c r="B47" i="21"/>
  <c r="I46" i="21"/>
  <c r="J46" i="21"/>
  <c r="A42" i="21"/>
  <c r="AH34" i="21"/>
  <c r="AH35" i="21"/>
  <c r="AH36" i="21"/>
  <c r="AH37" i="21"/>
  <c r="AI37" i="21"/>
  <c r="AH38" i="21"/>
  <c r="AH39" i="21"/>
  <c r="AK39" i="21"/>
  <c r="AH40" i="21"/>
  <c r="AK40" i="21"/>
  <c r="AH41" i="21"/>
  <c r="AK41" i="21"/>
  <c r="AH42" i="21"/>
  <c r="AH43" i="21"/>
  <c r="AH44" i="21"/>
  <c r="AE34" i="21"/>
  <c r="AE35" i="21"/>
  <c r="AE36" i="21"/>
  <c r="AE37" i="21"/>
  <c r="AF37" i="21"/>
  <c r="AE38" i="21"/>
  <c r="AE39" i="21"/>
  <c r="AE40" i="21"/>
  <c r="AE41" i="21"/>
  <c r="AE42" i="21"/>
  <c r="AE43" i="21"/>
  <c r="AE44" i="21"/>
  <c r="AA36" i="21"/>
  <c r="AA37" i="21"/>
  <c r="AB37" i="21" s="1"/>
  <c r="AA40" i="21"/>
  <c r="I34" i="21"/>
  <c r="AA34" i="21" s="1"/>
  <c r="J34" i="21"/>
  <c r="L34" i="21"/>
  <c r="M34" i="21"/>
  <c r="N34" i="21"/>
  <c r="I35" i="21"/>
  <c r="J35" i="21"/>
  <c r="L35" i="21"/>
  <c r="M35" i="21"/>
  <c r="N35" i="21"/>
  <c r="I36" i="21"/>
  <c r="K36" i="21" s="1"/>
  <c r="J36" i="21"/>
  <c r="L36" i="21"/>
  <c r="M36" i="21"/>
  <c r="N36" i="21"/>
  <c r="I37" i="21"/>
  <c r="J37" i="21"/>
  <c r="K37" i="21"/>
  <c r="L37" i="21"/>
  <c r="M37" i="21"/>
  <c r="N37" i="21"/>
  <c r="I38" i="21"/>
  <c r="AA38" i="21" s="1"/>
  <c r="AB38" i="21" s="1"/>
  <c r="J38" i="21"/>
  <c r="L38" i="21"/>
  <c r="M38" i="21"/>
  <c r="N38" i="21"/>
  <c r="I39" i="21"/>
  <c r="J39" i="21"/>
  <c r="L39" i="21"/>
  <c r="M39" i="21"/>
  <c r="N39" i="21"/>
  <c r="I40" i="21"/>
  <c r="J40" i="21"/>
  <c r="K40" i="21"/>
  <c r="L40" i="21"/>
  <c r="M40" i="21"/>
  <c r="N40" i="21"/>
  <c r="I41" i="21"/>
  <c r="AA41" i="21" s="1"/>
  <c r="J41" i="21"/>
  <c r="L41" i="21"/>
  <c r="M41" i="21"/>
  <c r="N41" i="21"/>
  <c r="I42" i="21"/>
  <c r="AA42" i="21" s="1"/>
  <c r="AB42" i="21" s="1"/>
  <c r="J42" i="21"/>
  <c r="L42" i="21"/>
  <c r="M42" i="21"/>
  <c r="N42" i="21"/>
  <c r="I43" i="21"/>
  <c r="J43" i="21"/>
  <c r="L43" i="21"/>
  <c r="M43" i="21"/>
  <c r="N43" i="21"/>
  <c r="I44" i="21"/>
  <c r="AA44" i="21" s="1"/>
  <c r="AI44" i="21" s="1"/>
  <c r="J44" i="21"/>
  <c r="L44" i="21"/>
  <c r="M44" i="21"/>
  <c r="N44" i="21"/>
  <c r="N33" i="21"/>
  <c r="I33" i="21"/>
  <c r="J33" i="21"/>
  <c r="AG32" i="21"/>
  <c r="AL32" i="21" s="1"/>
  <c r="AD32" i="21"/>
  <c r="AK32" i="21" s="1"/>
  <c r="O32" i="21"/>
  <c r="P32" i="21"/>
  <c r="Q32" i="21"/>
  <c r="R32" i="21"/>
  <c r="S32" i="21"/>
  <c r="T32" i="21"/>
  <c r="U32" i="21"/>
  <c r="V32" i="21"/>
  <c r="W32" i="21"/>
  <c r="X32" i="21"/>
  <c r="Y32" i="21"/>
  <c r="Z32" i="21"/>
  <c r="AJ32" i="21" s="1"/>
  <c r="AJ31" i="21"/>
  <c r="AK31" i="21"/>
  <c r="AM31" i="21" s="1"/>
  <c r="AL31" i="21"/>
  <c r="AN31" i="21" s="1"/>
  <c r="AG31" i="21"/>
  <c r="AD31" i="21"/>
  <c r="O31" i="21"/>
  <c r="P31" i="21"/>
  <c r="Q31" i="21"/>
  <c r="R31" i="21"/>
  <c r="S31" i="21"/>
  <c r="T31" i="21"/>
  <c r="U31" i="21"/>
  <c r="V31" i="21"/>
  <c r="W31" i="21"/>
  <c r="X31" i="21"/>
  <c r="Y31" i="21"/>
  <c r="Z31" i="21"/>
  <c r="AA31" i="21"/>
  <c r="N26" i="21"/>
  <c r="N27" i="21"/>
  <c r="N28" i="21"/>
  <c r="N29" i="21"/>
  <c r="B29" i="21"/>
  <c r="B22" i="21"/>
  <c r="B23" i="21"/>
  <c r="AG16" i="21"/>
  <c r="AG19" i="21"/>
  <c r="AG20" i="21"/>
  <c r="AD19" i="21"/>
  <c r="AD20" i="21"/>
  <c r="AK69" i="21" s="1"/>
  <c r="N19" i="21"/>
  <c r="O19" i="21"/>
  <c r="P19" i="21"/>
  <c r="Q19" i="21"/>
  <c r="R19" i="21"/>
  <c r="S19" i="21"/>
  <c r="T19" i="21"/>
  <c r="U19" i="21"/>
  <c r="V19" i="21"/>
  <c r="W19" i="21"/>
  <c r="X19" i="21"/>
  <c r="Y19" i="21"/>
  <c r="Z19" i="21"/>
  <c r="N20" i="21"/>
  <c r="O20" i="21"/>
  <c r="P20" i="21"/>
  <c r="Q20" i="21"/>
  <c r="R20" i="21"/>
  <c r="S20" i="21"/>
  <c r="T20" i="21"/>
  <c r="U20" i="21"/>
  <c r="V20" i="21"/>
  <c r="W20" i="21"/>
  <c r="X20" i="21"/>
  <c r="Y20" i="21"/>
  <c r="Z20" i="21"/>
  <c r="G19" i="21"/>
  <c r="B17" i="21"/>
  <c r="B18" i="21"/>
  <c r="B19" i="21"/>
  <c r="O16" i="21"/>
  <c r="P16" i="21"/>
  <c r="Q16" i="21"/>
  <c r="R16" i="21"/>
  <c r="S16" i="21"/>
  <c r="T16" i="21"/>
  <c r="U16" i="21"/>
  <c r="V16" i="21"/>
  <c r="W16" i="21"/>
  <c r="X16" i="21"/>
  <c r="Y16" i="21"/>
  <c r="O17" i="21"/>
  <c r="P17" i="21"/>
  <c r="Q17" i="21"/>
  <c r="R17" i="21"/>
  <c r="S17" i="21"/>
  <c r="T17" i="21"/>
  <c r="U17" i="21"/>
  <c r="V17" i="21"/>
  <c r="W17" i="21"/>
  <c r="X17" i="21"/>
  <c r="Y17" i="21"/>
  <c r="Z17" i="21"/>
  <c r="AA17" i="21" s="1"/>
  <c r="AA11" i="21" s="1"/>
  <c r="A14" i="21"/>
  <c r="AG12" i="21"/>
  <c r="AG13" i="21"/>
  <c r="AD12" i="21"/>
  <c r="AD13" i="21"/>
  <c r="B12" i="21"/>
  <c r="B13" i="21"/>
  <c r="O11" i="21"/>
  <c r="P11" i="21"/>
  <c r="Q11" i="21"/>
  <c r="R11" i="21"/>
  <c r="S11" i="21"/>
  <c r="T11" i="21"/>
  <c r="U11" i="21"/>
  <c r="V11" i="21"/>
  <c r="W11" i="21"/>
  <c r="X11" i="21"/>
  <c r="Y11" i="21"/>
  <c r="Z11" i="21"/>
  <c r="O12" i="21"/>
  <c r="P12" i="21"/>
  <c r="Q12" i="21"/>
  <c r="R12" i="21"/>
  <c r="S12" i="21"/>
  <c r="T12" i="21"/>
  <c r="U12" i="21"/>
  <c r="V12" i="21"/>
  <c r="W12" i="21"/>
  <c r="X12" i="21"/>
  <c r="Y12" i="21"/>
  <c r="Z12" i="21"/>
  <c r="AA12" i="21"/>
  <c r="O13" i="21"/>
  <c r="P13" i="21"/>
  <c r="Q13" i="21"/>
  <c r="R13" i="21"/>
  <c r="S13" i="21"/>
  <c r="T13" i="21"/>
  <c r="U13" i="21"/>
  <c r="V13" i="21"/>
  <c r="W13" i="21"/>
  <c r="X13" i="21"/>
  <c r="Y13" i="21"/>
  <c r="Z13" i="21"/>
  <c r="AA13" i="21"/>
  <c r="C10" i="21"/>
  <c r="D10" i="21"/>
  <c r="C9" i="21"/>
  <c r="C1" i="21"/>
  <c r="C2" i="21"/>
  <c r="C3" i="21"/>
  <c r="C4" i="21"/>
  <c r="C5" i="21"/>
  <c r="C6" i="21"/>
  <c r="C7" i="21"/>
  <c r="C8" i="21"/>
  <c r="E6" i="21"/>
  <c r="E4" i="21"/>
  <c r="F4" i="21"/>
  <c r="B3" i="21"/>
  <c r="B111" i="20"/>
  <c r="B105" i="20"/>
  <c r="B106" i="20"/>
  <c r="B107" i="20"/>
  <c r="A102" i="20"/>
  <c r="B79" i="20"/>
  <c r="B80" i="20"/>
  <c r="B74" i="20"/>
  <c r="B75" i="20"/>
  <c r="B76" i="20"/>
  <c r="AG70" i="20"/>
  <c r="AD70" i="20"/>
  <c r="A71" i="20"/>
  <c r="N70" i="20"/>
  <c r="O70" i="20"/>
  <c r="P70" i="20"/>
  <c r="Q70" i="20"/>
  <c r="R70" i="20"/>
  <c r="S70" i="20"/>
  <c r="T70" i="20"/>
  <c r="U70" i="20"/>
  <c r="V70" i="20"/>
  <c r="W70" i="20"/>
  <c r="X70" i="20"/>
  <c r="Y70" i="20"/>
  <c r="Z70" i="20"/>
  <c r="N71" i="20"/>
  <c r="N67" i="20"/>
  <c r="N68" i="20"/>
  <c r="AK68" i="20"/>
  <c r="AL68" i="20"/>
  <c r="I67" i="20"/>
  <c r="AA67" i="20" s="1"/>
  <c r="J67" i="20"/>
  <c r="I68" i="20"/>
  <c r="AA68" i="20" s="1"/>
  <c r="AF68" i="20" s="1"/>
  <c r="J68" i="20"/>
  <c r="N59" i="20"/>
  <c r="N60" i="20"/>
  <c r="N61" i="20"/>
  <c r="N62" i="20"/>
  <c r="N63" i="20"/>
  <c r="N64" i="20"/>
  <c r="N65" i="20"/>
  <c r="I65" i="20"/>
  <c r="AA65" i="20" s="1"/>
  <c r="J65" i="20"/>
  <c r="AH60" i="20"/>
  <c r="AK63" i="20"/>
  <c r="AL64" i="20"/>
  <c r="AL65" i="20"/>
  <c r="I60" i="20"/>
  <c r="J60" i="20"/>
  <c r="L60" i="20"/>
  <c r="M60" i="20"/>
  <c r="I61" i="20"/>
  <c r="AA61" i="20" s="1"/>
  <c r="AF61" i="20" s="1"/>
  <c r="J61" i="20"/>
  <c r="L61" i="20"/>
  <c r="M61" i="20"/>
  <c r="I62" i="20"/>
  <c r="J62" i="20"/>
  <c r="L62" i="20"/>
  <c r="M62" i="20"/>
  <c r="I63" i="20"/>
  <c r="AA63" i="20" s="1"/>
  <c r="J63" i="20"/>
  <c r="L63" i="20"/>
  <c r="M63" i="20"/>
  <c r="I64" i="20"/>
  <c r="J64" i="20"/>
  <c r="L64" i="20"/>
  <c r="M64" i="20"/>
  <c r="I59" i="20"/>
  <c r="J59" i="20"/>
  <c r="B51" i="20"/>
  <c r="B52" i="20"/>
  <c r="AH48" i="20"/>
  <c r="AH49" i="20"/>
  <c r="AH50" i="20"/>
  <c r="AL52" i="20"/>
  <c r="AL53" i="20"/>
  <c r="AK54" i="20"/>
  <c r="AI57" i="20"/>
  <c r="AE48" i="20"/>
  <c r="AE49" i="20"/>
  <c r="AE50" i="20"/>
  <c r="AA50" i="20"/>
  <c r="AF50" i="20" s="1"/>
  <c r="I48" i="20"/>
  <c r="AA48" i="20" s="1"/>
  <c r="AF48" i="20" s="1"/>
  <c r="J48" i="20"/>
  <c r="L48" i="20"/>
  <c r="M48" i="20"/>
  <c r="N48" i="20"/>
  <c r="I49" i="20"/>
  <c r="J49" i="20"/>
  <c r="L49" i="20"/>
  <c r="M49" i="20"/>
  <c r="N49" i="20"/>
  <c r="I50" i="20"/>
  <c r="K50" i="20" s="1"/>
  <c r="J50" i="20"/>
  <c r="L50" i="20"/>
  <c r="M50" i="20"/>
  <c r="N50" i="20"/>
  <c r="I51" i="20"/>
  <c r="K51" i="20" s="1"/>
  <c r="J51" i="20"/>
  <c r="L51" i="20"/>
  <c r="M51" i="20"/>
  <c r="N51" i="20"/>
  <c r="I52" i="20"/>
  <c r="J52" i="20"/>
  <c r="L52" i="20"/>
  <c r="M52" i="20"/>
  <c r="N52" i="20"/>
  <c r="I53" i="20"/>
  <c r="AA53" i="20" s="1"/>
  <c r="J53" i="20"/>
  <c r="K53" i="20"/>
  <c r="L53" i="20"/>
  <c r="M53" i="20"/>
  <c r="N53" i="20"/>
  <c r="I54" i="20"/>
  <c r="J54" i="20"/>
  <c r="L54" i="20"/>
  <c r="M54" i="20"/>
  <c r="N54" i="20"/>
  <c r="I55" i="20"/>
  <c r="K55" i="20" s="1"/>
  <c r="J55" i="20"/>
  <c r="L55" i="20"/>
  <c r="M55" i="20"/>
  <c r="N55" i="20"/>
  <c r="I56" i="20"/>
  <c r="AA56" i="20" s="1"/>
  <c r="J56" i="20"/>
  <c r="L56" i="20"/>
  <c r="M56" i="20"/>
  <c r="N56" i="20"/>
  <c r="I57" i="20"/>
  <c r="AA57" i="20" s="1"/>
  <c r="J57" i="20"/>
  <c r="K57" i="20"/>
  <c r="L57" i="20"/>
  <c r="M57" i="20"/>
  <c r="N57" i="20"/>
  <c r="B46" i="20"/>
  <c r="B47" i="20"/>
  <c r="B48" i="20"/>
  <c r="N46" i="20"/>
  <c r="N47" i="20"/>
  <c r="I46" i="20"/>
  <c r="J46" i="20"/>
  <c r="I47" i="20"/>
  <c r="J47" i="20"/>
  <c r="AD44" i="20"/>
  <c r="AD71" i="20" s="1"/>
  <c r="AG44" i="20"/>
  <c r="AK44" i="20"/>
  <c r="N44" i="20"/>
  <c r="O44" i="20"/>
  <c r="P44" i="20"/>
  <c r="P71" i="20" s="1"/>
  <c r="Q44" i="20"/>
  <c r="Q71" i="20" s="1"/>
  <c r="R44" i="20"/>
  <c r="R71" i="20" s="1"/>
  <c r="S44" i="20"/>
  <c r="S71" i="20" s="1"/>
  <c r="T44" i="20"/>
  <c r="T71" i="20" s="1"/>
  <c r="U44" i="20"/>
  <c r="U71" i="20" s="1"/>
  <c r="V44" i="20"/>
  <c r="V71" i="20" s="1"/>
  <c r="W44" i="20"/>
  <c r="W71" i="20" s="1"/>
  <c r="X44" i="20"/>
  <c r="X71" i="20" s="1"/>
  <c r="Y44" i="20"/>
  <c r="Y71" i="20" s="1"/>
  <c r="Z44" i="20"/>
  <c r="Z71" i="20" s="1"/>
  <c r="N40" i="20"/>
  <c r="N41" i="20"/>
  <c r="N42" i="20"/>
  <c r="N43" i="20"/>
  <c r="I43" i="20"/>
  <c r="J43" i="20"/>
  <c r="K43" i="20"/>
  <c r="I44" i="20"/>
  <c r="K44" i="20" s="1"/>
  <c r="J44" i="20"/>
  <c r="A43" i="20"/>
  <c r="AH41" i="20"/>
  <c r="AH42" i="20"/>
  <c r="AK42" i="20"/>
  <c r="AH43" i="20"/>
  <c r="AN43" i="20" s="1"/>
  <c r="AI43" i="20"/>
  <c r="AE41" i="20"/>
  <c r="AE42" i="20"/>
  <c r="AE43" i="20"/>
  <c r="AM43" i="20" s="1"/>
  <c r="AF43" i="20"/>
  <c r="AB41" i="20"/>
  <c r="AN41" i="20" s="1"/>
  <c r="AA42" i="20"/>
  <c r="AB42" i="20"/>
  <c r="I41" i="20"/>
  <c r="J41" i="20"/>
  <c r="L41" i="20"/>
  <c r="M41" i="20"/>
  <c r="I42" i="20"/>
  <c r="J42" i="20"/>
  <c r="K42" i="20"/>
  <c r="L42" i="20"/>
  <c r="M42" i="20"/>
  <c r="I40" i="20"/>
  <c r="J40" i="20"/>
  <c r="AL35" i="20"/>
  <c r="AH36" i="20"/>
  <c r="AL36" i="20"/>
  <c r="AH37" i="20"/>
  <c r="AK38" i="20"/>
  <c r="AE36" i="20"/>
  <c r="AE37" i="20"/>
  <c r="AA37" i="20"/>
  <c r="AB37" i="20"/>
  <c r="AM37" i="20" s="1"/>
  <c r="I34" i="20"/>
  <c r="K34" i="20" s="1"/>
  <c r="J34" i="20"/>
  <c r="L34" i="20"/>
  <c r="M34" i="20"/>
  <c r="N34" i="20"/>
  <c r="I35" i="20"/>
  <c r="K35" i="20" s="1"/>
  <c r="J35" i="20"/>
  <c r="L35" i="20"/>
  <c r="M35" i="20"/>
  <c r="N35" i="20"/>
  <c r="I36" i="20"/>
  <c r="AA36" i="20" s="1"/>
  <c r="AI36" i="20" s="1"/>
  <c r="J36" i="20"/>
  <c r="L36" i="20"/>
  <c r="M36" i="20"/>
  <c r="N36" i="20"/>
  <c r="I37" i="20"/>
  <c r="J37" i="20"/>
  <c r="K37" i="20"/>
  <c r="L37" i="20"/>
  <c r="M37" i="20"/>
  <c r="N37" i="20"/>
  <c r="I38" i="20"/>
  <c r="J38" i="20"/>
  <c r="L38" i="20"/>
  <c r="M38" i="20"/>
  <c r="N38" i="20"/>
  <c r="N33" i="20"/>
  <c r="I33" i="20"/>
  <c r="J33" i="20"/>
  <c r="AK32" i="20"/>
  <c r="AG32" i="20"/>
  <c r="AL32" i="20" s="1"/>
  <c r="AD32" i="20"/>
  <c r="O32" i="20"/>
  <c r="P32" i="20"/>
  <c r="Q32" i="20"/>
  <c r="R32" i="20"/>
  <c r="S32" i="20"/>
  <c r="T32" i="20"/>
  <c r="U32" i="20"/>
  <c r="V32" i="20"/>
  <c r="W32" i="20"/>
  <c r="X32" i="20"/>
  <c r="Y32" i="20"/>
  <c r="Z32" i="20"/>
  <c r="AJ32" i="20" s="1"/>
  <c r="AJ31" i="20"/>
  <c r="AK31" i="20"/>
  <c r="AM31" i="20" s="1"/>
  <c r="AL31" i="20"/>
  <c r="AN31" i="20" s="1"/>
  <c r="AG31" i="20"/>
  <c r="AD31" i="20"/>
  <c r="O31" i="20"/>
  <c r="P31" i="20"/>
  <c r="Q31" i="20"/>
  <c r="R31" i="20"/>
  <c r="S31" i="20"/>
  <c r="T31" i="20"/>
  <c r="U31" i="20"/>
  <c r="V31" i="20"/>
  <c r="W31" i="20"/>
  <c r="X31" i="20"/>
  <c r="Y31" i="20"/>
  <c r="Z31" i="20"/>
  <c r="AA31" i="20"/>
  <c r="N26" i="20"/>
  <c r="N27" i="20"/>
  <c r="N28" i="20"/>
  <c r="N29" i="20"/>
  <c r="B29" i="20"/>
  <c r="B22" i="20"/>
  <c r="B23" i="20"/>
  <c r="AG16" i="20"/>
  <c r="AG19" i="20"/>
  <c r="AG20" i="20"/>
  <c r="AL43" i="20" s="1"/>
  <c r="AD19" i="20"/>
  <c r="AD20" i="20"/>
  <c r="AK52" i="20" s="1"/>
  <c r="N19" i="20"/>
  <c r="O19" i="20"/>
  <c r="P19" i="20"/>
  <c r="Q19" i="20"/>
  <c r="R19" i="20"/>
  <c r="S19" i="20"/>
  <c r="T19" i="20"/>
  <c r="U19" i="20"/>
  <c r="V19" i="20"/>
  <c r="W19" i="20"/>
  <c r="X19" i="20"/>
  <c r="Y19" i="20"/>
  <c r="Z19" i="20"/>
  <c r="N20" i="20"/>
  <c r="O20" i="20"/>
  <c r="P20" i="20"/>
  <c r="Q20" i="20"/>
  <c r="R20" i="20"/>
  <c r="S20" i="20"/>
  <c r="T20" i="20"/>
  <c r="U20" i="20"/>
  <c r="V20" i="20"/>
  <c r="W20" i="20"/>
  <c r="X20" i="20"/>
  <c r="Y20" i="20"/>
  <c r="Z20" i="20"/>
  <c r="G19" i="20"/>
  <c r="B17" i="20"/>
  <c r="B18" i="20"/>
  <c r="B19" i="20"/>
  <c r="O16" i="20"/>
  <c r="P16" i="20"/>
  <c r="Q16" i="20"/>
  <c r="R16" i="20"/>
  <c r="S16" i="20"/>
  <c r="T16" i="20"/>
  <c r="U16" i="20"/>
  <c r="V16" i="20"/>
  <c r="W16" i="20"/>
  <c r="X16" i="20"/>
  <c r="Y16" i="20"/>
  <c r="O17" i="20"/>
  <c r="P17" i="20"/>
  <c r="Q17" i="20"/>
  <c r="R17" i="20"/>
  <c r="S17" i="20"/>
  <c r="T17" i="20"/>
  <c r="U17" i="20"/>
  <c r="V17" i="20"/>
  <c r="W17" i="20"/>
  <c r="X17" i="20"/>
  <c r="Y17" i="20"/>
  <c r="Z17" i="20"/>
  <c r="AA17" i="20" s="1"/>
  <c r="AA11" i="20" s="1"/>
  <c r="A14" i="20"/>
  <c r="AG12" i="20"/>
  <c r="AG13" i="20"/>
  <c r="AD12" i="20"/>
  <c r="AD13" i="20"/>
  <c r="B12" i="20"/>
  <c r="B13" i="20"/>
  <c r="O11" i="20"/>
  <c r="P11" i="20"/>
  <c r="Q11" i="20"/>
  <c r="R11" i="20"/>
  <c r="S11" i="20"/>
  <c r="T11" i="20"/>
  <c r="U11" i="20"/>
  <c r="V11" i="20"/>
  <c r="W11" i="20"/>
  <c r="X11" i="20"/>
  <c r="Y11" i="20"/>
  <c r="Z11" i="20"/>
  <c r="O12" i="20"/>
  <c r="P12" i="20"/>
  <c r="Q12" i="20"/>
  <c r="R12" i="20"/>
  <c r="S12" i="20"/>
  <c r="T12" i="20"/>
  <c r="U12" i="20"/>
  <c r="V12" i="20"/>
  <c r="W12" i="20"/>
  <c r="X12" i="20"/>
  <c r="Y12" i="20"/>
  <c r="Z12" i="20"/>
  <c r="AA12" i="20"/>
  <c r="O13" i="20"/>
  <c r="P13" i="20"/>
  <c r="Q13" i="20"/>
  <c r="R13" i="20"/>
  <c r="S13" i="20"/>
  <c r="T13" i="20"/>
  <c r="U13" i="20"/>
  <c r="V13" i="20"/>
  <c r="W13" i="20"/>
  <c r="X13" i="20"/>
  <c r="Y13" i="20"/>
  <c r="Z13" i="20"/>
  <c r="AA13" i="20"/>
  <c r="C10" i="20"/>
  <c r="D10" i="20"/>
  <c r="Z16" i="20" s="1"/>
  <c r="C9" i="20"/>
  <c r="C1" i="20"/>
  <c r="C2" i="20"/>
  <c r="C3" i="20"/>
  <c r="C4" i="20"/>
  <c r="C5" i="20"/>
  <c r="C6" i="20"/>
  <c r="C7" i="20"/>
  <c r="C8" i="20"/>
  <c r="E6" i="20"/>
  <c r="B58" i="20" s="1"/>
  <c r="E4" i="20"/>
  <c r="F4" i="20"/>
  <c r="B3" i="20"/>
  <c r="B111" i="19"/>
  <c r="B105" i="19"/>
  <c r="B106" i="19"/>
  <c r="B107" i="19"/>
  <c r="A102" i="19"/>
  <c r="B79" i="19"/>
  <c r="B80" i="19"/>
  <c r="B74" i="19"/>
  <c r="B75" i="19"/>
  <c r="B76" i="19"/>
  <c r="A71" i="19"/>
  <c r="AG69" i="19"/>
  <c r="AD69" i="19"/>
  <c r="O69" i="19"/>
  <c r="P69" i="19"/>
  <c r="Q69" i="19"/>
  <c r="R69" i="19"/>
  <c r="S69" i="19"/>
  <c r="T69" i="19"/>
  <c r="U69" i="19"/>
  <c r="V69" i="19"/>
  <c r="W69" i="19"/>
  <c r="X69" i="19"/>
  <c r="Y69" i="19"/>
  <c r="Z69" i="19"/>
  <c r="N70" i="19"/>
  <c r="O70" i="19"/>
  <c r="V70" i="19"/>
  <c r="N66" i="19"/>
  <c r="N69" i="19" s="1"/>
  <c r="N67" i="19"/>
  <c r="AH66" i="19"/>
  <c r="AH67" i="19"/>
  <c r="AL67" i="19"/>
  <c r="AE66" i="19"/>
  <c r="AE67" i="19"/>
  <c r="I66" i="19"/>
  <c r="AA66" i="19" s="1"/>
  <c r="J66" i="19"/>
  <c r="I67" i="19"/>
  <c r="AA67" i="19" s="1"/>
  <c r="J67" i="19"/>
  <c r="N61" i="19"/>
  <c r="N62" i="19"/>
  <c r="N63" i="19"/>
  <c r="N64" i="19"/>
  <c r="I64" i="19"/>
  <c r="AA64" i="19" s="1"/>
  <c r="J64" i="19"/>
  <c r="AH62" i="19"/>
  <c r="AH63" i="19"/>
  <c r="AL63" i="19"/>
  <c r="AH64" i="19"/>
  <c r="AE62" i="19"/>
  <c r="AE63" i="19"/>
  <c r="AE64" i="19"/>
  <c r="AA63" i="19"/>
  <c r="AB63" i="19" s="1"/>
  <c r="I62" i="19"/>
  <c r="AA62" i="19" s="1"/>
  <c r="J62" i="19"/>
  <c r="L62" i="19"/>
  <c r="M62" i="19"/>
  <c r="I63" i="19"/>
  <c r="J63" i="19"/>
  <c r="K63" i="19"/>
  <c r="L63" i="19"/>
  <c r="M63" i="19"/>
  <c r="I61" i="19"/>
  <c r="J61" i="19"/>
  <c r="AH55" i="19"/>
  <c r="AK55" i="19"/>
  <c r="AH56" i="19"/>
  <c r="AH57" i="19"/>
  <c r="AL57" i="19"/>
  <c r="AH58" i="19"/>
  <c r="AH59" i="19"/>
  <c r="AK59" i="19"/>
  <c r="AL59" i="19"/>
  <c r="AE55" i="19"/>
  <c r="AE56" i="19"/>
  <c r="AE57" i="19"/>
  <c r="AE58" i="19"/>
  <c r="AE59" i="19"/>
  <c r="AA56" i="19"/>
  <c r="AF56" i="19" s="1"/>
  <c r="AA58" i="19"/>
  <c r="I55" i="19"/>
  <c r="AA55" i="19" s="1"/>
  <c r="J55" i="19"/>
  <c r="L55" i="19"/>
  <c r="M55" i="19"/>
  <c r="N55" i="19"/>
  <c r="I56" i="19"/>
  <c r="J56" i="19"/>
  <c r="K56" i="19"/>
  <c r="L56" i="19"/>
  <c r="M56" i="19"/>
  <c r="N56" i="19"/>
  <c r="I57" i="19"/>
  <c r="K57" i="19" s="1"/>
  <c r="J57" i="19"/>
  <c r="L57" i="19"/>
  <c r="M57" i="19"/>
  <c r="N57" i="19"/>
  <c r="I58" i="19"/>
  <c r="J58" i="19"/>
  <c r="K58" i="19"/>
  <c r="L58" i="19"/>
  <c r="M58" i="19"/>
  <c r="N58" i="19"/>
  <c r="I59" i="19"/>
  <c r="AA59" i="19" s="1"/>
  <c r="J59" i="19"/>
  <c r="L59" i="19"/>
  <c r="M59" i="19"/>
  <c r="N59" i="19"/>
  <c r="N53" i="19"/>
  <c r="N54" i="19"/>
  <c r="I53" i="19"/>
  <c r="J53" i="19"/>
  <c r="I54" i="19"/>
  <c r="J54" i="19"/>
  <c r="B51" i="19"/>
  <c r="B52" i="19"/>
  <c r="AD51" i="19"/>
  <c r="AK51" i="19" s="1"/>
  <c r="AG51" i="19"/>
  <c r="AG70" i="19" s="1"/>
  <c r="N51" i="19"/>
  <c r="O51" i="19"/>
  <c r="P51" i="19"/>
  <c r="P70" i="19" s="1"/>
  <c r="Q51" i="19"/>
  <c r="Q70" i="19" s="1"/>
  <c r="R51" i="19"/>
  <c r="R70" i="19" s="1"/>
  <c r="S51" i="19"/>
  <c r="S70" i="19" s="1"/>
  <c r="T51" i="19"/>
  <c r="T70" i="19" s="1"/>
  <c r="U51" i="19"/>
  <c r="U70" i="19" s="1"/>
  <c r="V51" i="19"/>
  <c r="W51" i="19"/>
  <c r="W70" i="19" s="1"/>
  <c r="X51" i="19"/>
  <c r="X70" i="19" s="1"/>
  <c r="Y51" i="19"/>
  <c r="Y70" i="19" s="1"/>
  <c r="Z51" i="19"/>
  <c r="Z70" i="19" s="1"/>
  <c r="N46" i="19"/>
  <c r="N47" i="19"/>
  <c r="N48" i="19"/>
  <c r="N49" i="19"/>
  <c r="N50" i="19"/>
  <c r="I50" i="19"/>
  <c r="J50" i="19"/>
  <c r="K50" i="19"/>
  <c r="I51" i="19"/>
  <c r="J51" i="19"/>
  <c r="B46" i="19"/>
  <c r="B47" i="19"/>
  <c r="B48" i="19"/>
  <c r="AH47" i="19"/>
  <c r="AH48" i="19"/>
  <c r="AK48" i="19"/>
  <c r="AL48" i="19"/>
  <c r="AN48" i="19"/>
  <c r="AH49" i="19"/>
  <c r="AL49" i="19"/>
  <c r="AH50" i="19"/>
  <c r="AL50" i="19"/>
  <c r="AE47" i="19"/>
  <c r="AE48" i="19"/>
  <c r="AM48" i="19" s="1"/>
  <c r="AE49" i="19"/>
  <c r="AE50" i="19"/>
  <c r="AB47" i="19"/>
  <c r="AM47" i="19" s="1"/>
  <c r="AA48" i="19"/>
  <c r="AF48" i="19" s="1"/>
  <c r="AB48" i="19"/>
  <c r="AB49" i="19"/>
  <c r="AA50" i="19"/>
  <c r="AB50" i="19"/>
  <c r="AN50" i="19" s="1"/>
  <c r="I47" i="19"/>
  <c r="AA47" i="19" s="1"/>
  <c r="J47" i="19"/>
  <c r="K47" i="19"/>
  <c r="L47" i="19"/>
  <c r="M47" i="19"/>
  <c r="I48" i="19"/>
  <c r="K48" i="19" s="1"/>
  <c r="J48" i="19"/>
  <c r="L48" i="19"/>
  <c r="M48" i="19"/>
  <c r="I49" i="19"/>
  <c r="AA49" i="19" s="1"/>
  <c r="J49" i="19"/>
  <c r="L49" i="19"/>
  <c r="M49" i="19"/>
  <c r="I46" i="19"/>
  <c r="J46" i="19"/>
  <c r="A43" i="19"/>
  <c r="AH34" i="19"/>
  <c r="AH35" i="19"/>
  <c r="AK35" i="19"/>
  <c r="AH36" i="19"/>
  <c r="AL36" i="19"/>
  <c r="AH37" i="19"/>
  <c r="AH38" i="19"/>
  <c r="AK38" i="19"/>
  <c r="AH39" i="19"/>
  <c r="AL39" i="19"/>
  <c r="AH40" i="19"/>
  <c r="AH41" i="19"/>
  <c r="AL41" i="19"/>
  <c r="AH42" i="19"/>
  <c r="AH43" i="19"/>
  <c r="AK43" i="19"/>
  <c r="AL43" i="19"/>
  <c r="AH44" i="19"/>
  <c r="AE34" i="19"/>
  <c r="AE35" i="19"/>
  <c r="AE36" i="19"/>
  <c r="AE37" i="19"/>
  <c r="AF37" i="19"/>
  <c r="AE38" i="19"/>
  <c r="AE39" i="19"/>
  <c r="AE40" i="19"/>
  <c r="AE41" i="19"/>
  <c r="AF41" i="19"/>
  <c r="AE42" i="19"/>
  <c r="AE43" i="19"/>
  <c r="AE44" i="19"/>
  <c r="AA38" i="19"/>
  <c r="AA40" i="19"/>
  <c r="AA42" i="19"/>
  <c r="AI42" i="19" s="1"/>
  <c r="AB42" i="19"/>
  <c r="AA44" i="19"/>
  <c r="I34" i="19"/>
  <c r="AA34" i="19" s="1"/>
  <c r="J34" i="19"/>
  <c r="K34" i="19"/>
  <c r="L34" i="19"/>
  <c r="M34" i="19"/>
  <c r="N34" i="19"/>
  <c r="I35" i="19"/>
  <c r="J35" i="19"/>
  <c r="L35" i="19"/>
  <c r="M35" i="19"/>
  <c r="N35" i="19"/>
  <c r="I36" i="19"/>
  <c r="J36" i="19"/>
  <c r="L36" i="19"/>
  <c r="M36" i="19"/>
  <c r="N36" i="19"/>
  <c r="I37" i="19"/>
  <c r="AA37" i="19" s="1"/>
  <c r="J37" i="19"/>
  <c r="L37" i="19"/>
  <c r="M37" i="19"/>
  <c r="N37" i="19"/>
  <c r="I38" i="19"/>
  <c r="K38" i="19" s="1"/>
  <c r="J38" i="19"/>
  <c r="L38" i="19"/>
  <c r="M38" i="19"/>
  <c r="N38" i="19"/>
  <c r="I39" i="19"/>
  <c r="J39" i="19"/>
  <c r="L39" i="19"/>
  <c r="M39" i="19"/>
  <c r="N39" i="19"/>
  <c r="I40" i="19"/>
  <c r="J40" i="19"/>
  <c r="K40" i="19"/>
  <c r="L40" i="19"/>
  <c r="M40" i="19"/>
  <c r="N40" i="19"/>
  <c r="I41" i="19"/>
  <c r="AA41" i="19" s="1"/>
  <c r="J41" i="19"/>
  <c r="L41" i="19"/>
  <c r="M41" i="19"/>
  <c r="N41" i="19"/>
  <c r="I42" i="19"/>
  <c r="J42" i="19"/>
  <c r="K42" i="19"/>
  <c r="L42" i="19"/>
  <c r="M42" i="19"/>
  <c r="N42" i="19"/>
  <c r="I43" i="19"/>
  <c r="J43" i="19"/>
  <c r="L43" i="19"/>
  <c r="M43" i="19"/>
  <c r="N43" i="19"/>
  <c r="I44" i="19"/>
  <c r="K44" i="19" s="1"/>
  <c r="J44" i="19"/>
  <c r="L44" i="19"/>
  <c r="M44" i="19"/>
  <c r="N44" i="19"/>
  <c r="N33" i="19"/>
  <c r="I33" i="19"/>
  <c r="J33" i="19"/>
  <c r="AG32" i="19"/>
  <c r="AL32" i="19" s="1"/>
  <c r="AD32" i="19"/>
  <c r="AK32" i="19" s="1"/>
  <c r="O32" i="19"/>
  <c r="P32" i="19"/>
  <c r="Q32" i="19"/>
  <c r="R32" i="19"/>
  <c r="S32" i="19"/>
  <c r="T32" i="19"/>
  <c r="U32" i="19"/>
  <c r="V32" i="19"/>
  <c r="W32" i="19"/>
  <c r="X32" i="19"/>
  <c r="Y32" i="19"/>
  <c r="Z32" i="19"/>
  <c r="AJ32" i="19" s="1"/>
  <c r="AJ31" i="19"/>
  <c r="AK31" i="19"/>
  <c r="AM31" i="19" s="1"/>
  <c r="AL31" i="19"/>
  <c r="AN31" i="19" s="1"/>
  <c r="AG31" i="19"/>
  <c r="AD31" i="19"/>
  <c r="O31" i="19"/>
  <c r="P31" i="19"/>
  <c r="Q31" i="19"/>
  <c r="R31" i="19"/>
  <c r="S31" i="19"/>
  <c r="T31" i="19"/>
  <c r="U31" i="19"/>
  <c r="V31" i="19"/>
  <c r="W31" i="19"/>
  <c r="X31" i="19"/>
  <c r="Y31" i="19"/>
  <c r="Z31" i="19"/>
  <c r="AA31" i="19"/>
  <c r="N26" i="19"/>
  <c r="N27" i="19"/>
  <c r="N28" i="19"/>
  <c r="N29" i="19"/>
  <c r="B22" i="19"/>
  <c r="B23" i="19"/>
  <c r="AG16" i="19"/>
  <c r="AG19" i="19"/>
  <c r="AG20" i="19"/>
  <c r="AL64" i="19" s="1"/>
  <c r="AD19" i="19"/>
  <c r="AD20" i="19"/>
  <c r="N19" i="19"/>
  <c r="O19" i="19"/>
  <c r="P19" i="19"/>
  <c r="Q19" i="19"/>
  <c r="R19" i="19"/>
  <c r="S19" i="19"/>
  <c r="T19" i="19"/>
  <c r="U19" i="19"/>
  <c r="V19" i="19"/>
  <c r="W19" i="19"/>
  <c r="X19" i="19"/>
  <c r="Y19" i="19"/>
  <c r="Z19" i="19"/>
  <c r="N20" i="19"/>
  <c r="O20" i="19"/>
  <c r="AA20" i="19" s="1"/>
  <c r="P20" i="19"/>
  <c r="Q20" i="19"/>
  <c r="R20" i="19"/>
  <c r="S20" i="19"/>
  <c r="T20" i="19"/>
  <c r="U20" i="19"/>
  <c r="V20" i="19"/>
  <c r="W20" i="19"/>
  <c r="X20" i="19"/>
  <c r="Y20" i="19"/>
  <c r="Z20" i="19"/>
  <c r="G19" i="19"/>
  <c r="B17" i="19"/>
  <c r="B18" i="19"/>
  <c r="B19" i="19"/>
  <c r="O16" i="19"/>
  <c r="P16" i="19"/>
  <c r="Q16" i="19"/>
  <c r="R16" i="19"/>
  <c r="S16" i="19"/>
  <c r="T16" i="19"/>
  <c r="U16" i="19"/>
  <c r="V16" i="19"/>
  <c r="W16" i="19"/>
  <c r="X16" i="19"/>
  <c r="Y16" i="19"/>
  <c r="O17" i="19"/>
  <c r="P17" i="19"/>
  <c r="Q17" i="19"/>
  <c r="R17" i="19"/>
  <c r="S17" i="19"/>
  <c r="T17" i="19"/>
  <c r="U17" i="19"/>
  <c r="V17" i="19"/>
  <c r="W17" i="19"/>
  <c r="X17" i="19"/>
  <c r="Y17" i="19"/>
  <c r="Z17" i="19"/>
  <c r="AA17" i="19" s="1"/>
  <c r="AA11" i="19" s="1"/>
  <c r="A14" i="19"/>
  <c r="AG12" i="19"/>
  <c r="AG13" i="19"/>
  <c r="AD12" i="19"/>
  <c r="AD13" i="19"/>
  <c r="B12" i="19"/>
  <c r="B13" i="19"/>
  <c r="O11" i="19"/>
  <c r="P11" i="19"/>
  <c r="Q11" i="19"/>
  <c r="R11" i="19"/>
  <c r="S11" i="19"/>
  <c r="T11" i="19"/>
  <c r="U11" i="19"/>
  <c r="V11" i="19"/>
  <c r="W11" i="19"/>
  <c r="X11" i="19"/>
  <c r="Y11" i="19"/>
  <c r="Z11" i="19"/>
  <c r="O12" i="19"/>
  <c r="P12" i="19"/>
  <c r="Q12" i="19"/>
  <c r="R12" i="19"/>
  <c r="S12" i="19"/>
  <c r="T12" i="19"/>
  <c r="U12" i="19"/>
  <c r="V12" i="19"/>
  <c r="W12" i="19"/>
  <c r="X12" i="19"/>
  <c r="Y12" i="19"/>
  <c r="Z12" i="19"/>
  <c r="AA12" i="19"/>
  <c r="O13" i="19"/>
  <c r="P13" i="19"/>
  <c r="Q13" i="19"/>
  <c r="R13" i="19"/>
  <c r="S13" i="19"/>
  <c r="T13" i="19"/>
  <c r="U13" i="19"/>
  <c r="V13" i="19"/>
  <c r="W13" i="19"/>
  <c r="X13" i="19"/>
  <c r="Y13" i="19"/>
  <c r="Z13" i="19"/>
  <c r="AA13" i="19"/>
  <c r="C10" i="19"/>
  <c r="D10" i="19"/>
  <c r="C9" i="19"/>
  <c r="C1" i="19"/>
  <c r="C2" i="19"/>
  <c r="C3" i="19"/>
  <c r="C4" i="19"/>
  <c r="C5" i="19"/>
  <c r="C6" i="19"/>
  <c r="C7" i="19"/>
  <c r="C8" i="19"/>
  <c r="E6" i="19"/>
  <c r="B58" i="19" s="1"/>
  <c r="E4" i="19"/>
  <c r="F4" i="19"/>
  <c r="B3" i="19"/>
  <c r="B112" i="18"/>
  <c r="B106" i="18"/>
  <c r="B107" i="18"/>
  <c r="B108" i="18"/>
  <c r="A103" i="18"/>
  <c r="B80" i="18"/>
  <c r="B81" i="18"/>
  <c r="B75" i="18"/>
  <c r="B76" i="18"/>
  <c r="B77" i="18"/>
  <c r="A72" i="18"/>
  <c r="AG66" i="18"/>
  <c r="AD66" i="18"/>
  <c r="O66" i="18"/>
  <c r="P66" i="18"/>
  <c r="Q66" i="18"/>
  <c r="R66" i="18"/>
  <c r="S66" i="18"/>
  <c r="T66" i="18"/>
  <c r="U66" i="18"/>
  <c r="V66" i="18"/>
  <c r="W66" i="18"/>
  <c r="X66" i="18"/>
  <c r="Y66" i="18"/>
  <c r="Z66" i="18"/>
  <c r="N67" i="18"/>
  <c r="V67" i="18"/>
  <c r="N63" i="18"/>
  <c r="N66" i="18" s="1"/>
  <c r="N64" i="18"/>
  <c r="AH63" i="18"/>
  <c r="AH64" i="18"/>
  <c r="AE63" i="18"/>
  <c r="AE64" i="18"/>
  <c r="AA63" i="18"/>
  <c r="I63" i="18"/>
  <c r="J63" i="18"/>
  <c r="I64" i="18"/>
  <c r="AA64" i="18" s="1"/>
  <c r="AF64" i="18" s="1"/>
  <c r="J64" i="18"/>
  <c r="N58" i="18"/>
  <c r="N59" i="18"/>
  <c r="N60" i="18"/>
  <c r="N61" i="18"/>
  <c r="I61" i="18"/>
  <c r="AA61" i="18" s="1"/>
  <c r="J61" i="18"/>
  <c r="AH59" i="18"/>
  <c r="AH60" i="18"/>
  <c r="AH61" i="18"/>
  <c r="AE59" i="18"/>
  <c r="AE60" i="18"/>
  <c r="AE61" i="18"/>
  <c r="AA60" i="18"/>
  <c r="AB60" i="18" s="1"/>
  <c r="I59" i="18"/>
  <c r="J59" i="18"/>
  <c r="L59" i="18"/>
  <c r="M59" i="18"/>
  <c r="I60" i="18"/>
  <c r="J60" i="18"/>
  <c r="K60" i="18" s="1"/>
  <c r="L60" i="18"/>
  <c r="M60" i="18"/>
  <c r="I58" i="18"/>
  <c r="J58" i="18"/>
  <c r="AH52" i="18"/>
  <c r="AH53" i="18"/>
  <c r="AH54" i="18"/>
  <c r="AH55" i="18"/>
  <c r="AH56" i="18"/>
  <c r="AE52" i="18"/>
  <c r="AE53" i="18"/>
  <c r="AE54" i="18"/>
  <c r="AE55" i="18"/>
  <c r="AE56" i="18"/>
  <c r="AB52" i="18"/>
  <c r="AB53" i="18"/>
  <c r="AB54" i="18"/>
  <c r="AA55" i="18"/>
  <c r="AB55" i="18"/>
  <c r="AB56" i="18"/>
  <c r="I52" i="18"/>
  <c r="J52" i="18"/>
  <c r="L52" i="18"/>
  <c r="M52" i="18"/>
  <c r="N52" i="18"/>
  <c r="I53" i="18"/>
  <c r="J53" i="18"/>
  <c r="L53" i="18"/>
  <c r="M53" i="18"/>
  <c r="N53" i="18"/>
  <c r="I54" i="18"/>
  <c r="AA54" i="18" s="1"/>
  <c r="J54" i="18"/>
  <c r="L54" i="18"/>
  <c r="M54" i="18"/>
  <c r="N54" i="18"/>
  <c r="I55" i="18"/>
  <c r="K55" i="18" s="1"/>
  <c r="J55" i="18"/>
  <c r="L55" i="18"/>
  <c r="M55" i="18"/>
  <c r="N55" i="18"/>
  <c r="I56" i="18"/>
  <c r="J56" i="18"/>
  <c r="L56" i="18"/>
  <c r="M56" i="18"/>
  <c r="N56" i="18"/>
  <c r="B51" i="18"/>
  <c r="B52" i="18"/>
  <c r="N50" i="18"/>
  <c r="N51" i="18"/>
  <c r="I50" i="18"/>
  <c r="J50" i="18"/>
  <c r="I51" i="18"/>
  <c r="J51" i="18"/>
  <c r="AD48" i="18"/>
  <c r="AD67" i="18" s="1"/>
  <c r="AG48" i="18"/>
  <c r="AH48" i="18" s="1"/>
  <c r="N48" i="18"/>
  <c r="O48" i="18"/>
  <c r="P48" i="18"/>
  <c r="P67" i="18" s="1"/>
  <c r="Q48" i="18"/>
  <c r="Q67" i="18" s="1"/>
  <c r="R48" i="18"/>
  <c r="R67" i="18" s="1"/>
  <c r="S48" i="18"/>
  <c r="S67" i="18" s="1"/>
  <c r="T48" i="18"/>
  <c r="T67" i="18" s="1"/>
  <c r="U48" i="18"/>
  <c r="U67" i="18" s="1"/>
  <c r="V48" i="18"/>
  <c r="W48" i="18"/>
  <c r="W67" i="18" s="1"/>
  <c r="X48" i="18"/>
  <c r="X67" i="18" s="1"/>
  <c r="Y48" i="18"/>
  <c r="Y67" i="18" s="1"/>
  <c r="Z48" i="18"/>
  <c r="Z67" i="18" s="1"/>
  <c r="B46" i="18"/>
  <c r="B47" i="18"/>
  <c r="B48" i="18"/>
  <c r="AB42" i="18"/>
  <c r="AB43" i="18"/>
  <c r="AB44" i="18"/>
  <c r="AB45" i="18"/>
  <c r="AB46" i="18"/>
  <c r="AB47" i="18"/>
  <c r="N41" i="18"/>
  <c r="N42" i="18"/>
  <c r="N43" i="18"/>
  <c r="N44" i="18"/>
  <c r="N45" i="18"/>
  <c r="N46" i="18"/>
  <c r="N47" i="18"/>
  <c r="I47" i="18"/>
  <c r="K47" i="18" s="1"/>
  <c r="J47" i="18"/>
  <c r="I48" i="18"/>
  <c r="J48" i="18"/>
  <c r="K48" i="18"/>
  <c r="AA42" i="18"/>
  <c r="AF42" i="18" s="1"/>
  <c r="AA46" i="18"/>
  <c r="AF46" i="18" s="1"/>
  <c r="A43" i="18"/>
  <c r="AH42" i="18"/>
  <c r="AI42" i="18"/>
  <c r="AH43" i="18"/>
  <c r="AH44" i="18"/>
  <c r="AH45" i="18"/>
  <c r="AH46" i="18"/>
  <c r="AI46" i="18"/>
  <c r="AH47" i="18"/>
  <c r="AI47" i="18"/>
  <c r="AE42" i="18"/>
  <c r="AE43" i="18"/>
  <c r="AE44" i="18"/>
  <c r="AE45" i="18"/>
  <c r="AE46" i="18"/>
  <c r="AE47" i="18"/>
  <c r="AF47" i="18"/>
  <c r="I42" i="18"/>
  <c r="J42" i="18"/>
  <c r="K42" i="18"/>
  <c r="L42" i="18"/>
  <c r="M42" i="18"/>
  <c r="I43" i="18"/>
  <c r="AA43" i="18" s="1"/>
  <c r="J43" i="18"/>
  <c r="L43" i="18"/>
  <c r="M43" i="18"/>
  <c r="I44" i="18"/>
  <c r="AA44" i="18" s="1"/>
  <c r="AI44" i="18" s="1"/>
  <c r="J44" i="18"/>
  <c r="L44" i="18"/>
  <c r="M44" i="18"/>
  <c r="I45" i="18"/>
  <c r="K45" i="18" s="1"/>
  <c r="J45" i="18"/>
  <c r="L45" i="18"/>
  <c r="M45" i="18"/>
  <c r="I46" i="18"/>
  <c r="K46" i="18" s="1"/>
  <c r="J46" i="18"/>
  <c r="L46" i="18"/>
  <c r="M46" i="18"/>
  <c r="I41" i="18"/>
  <c r="J41" i="18"/>
  <c r="AH34" i="18"/>
  <c r="AH35" i="18"/>
  <c r="AH36" i="18"/>
  <c r="AH37" i="18"/>
  <c r="AH38" i="18"/>
  <c r="AH39" i="18"/>
  <c r="AE34" i="18"/>
  <c r="AE35" i="18"/>
  <c r="AE36" i="18"/>
  <c r="AE37" i="18"/>
  <c r="AE38" i="18"/>
  <c r="AE39" i="18"/>
  <c r="I34" i="18"/>
  <c r="AA34" i="18" s="1"/>
  <c r="J34" i="18"/>
  <c r="K34" i="18"/>
  <c r="L34" i="18"/>
  <c r="M34" i="18"/>
  <c r="N34" i="18"/>
  <c r="I35" i="18"/>
  <c r="AA35" i="18" s="1"/>
  <c r="AF35" i="18" s="1"/>
  <c r="J35" i="18"/>
  <c r="L35" i="18"/>
  <c r="M35" i="18"/>
  <c r="N35" i="18"/>
  <c r="I36" i="18"/>
  <c r="J36" i="18"/>
  <c r="L36" i="18"/>
  <c r="M36" i="18"/>
  <c r="N36" i="18"/>
  <c r="I37" i="18"/>
  <c r="K37" i="18" s="1"/>
  <c r="J37" i="18"/>
  <c r="L37" i="18"/>
  <c r="M37" i="18"/>
  <c r="N37" i="18"/>
  <c r="I38" i="18"/>
  <c r="J38" i="18"/>
  <c r="L38" i="18"/>
  <c r="M38" i="18"/>
  <c r="N38" i="18"/>
  <c r="I39" i="18"/>
  <c r="AA39" i="18" s="1"/>
  <c r="AF39" i="18" s="1"/>
  <c r="J39" i="18"/>
  <c r="L39" i="18"/>
  <c r="M39" i="18"/>
  <c r="N39" i="18"/>
  <c r="N33" i="18"/>
  <c r="I33" i="18"/>
  <c r="J33" i="18"/>
  <c r="AG32" i="18"/>
  <c r="AD32" i="18"/>
  <c r="O32" i="18"/>
  <c r="P32" i="18"/>
  <c r="Q32" i="18"/>
  <c r="R32" i="18"/>
  <c r="S32" i="18"/>
  <c r="T32" i="18"/>
  <c r="U32" i="18"/>
  <c r="V32" i="18"/>
  <c r="W32" i="18"/>
  <c r="X32" i="18"/>
  <c r="Y32" i="18"/>
  <c r="Z32" i="18"/>
  <c r="AG31" i="18"/>
  <c r="AD31" i="18"/>
  <c r="O31" i="18"/>
  <c r="P31" i="18"/>
  <c r="Q31" i="18"/>
  <c r="R31" i="18"/>
  <c r="S31" i="18"/>
  <c r="T31" i="18"/>
  <c r="U31" i="18"/>
  <c r="V31" i="18"/>
  <c r="W31" i="18"/>
  <c r="X31" i="18"/>
  <c r="Y31" i="18"/>
  <c r="Z31" i="18"/>
  <c r="AA31" i="18"/>
  <c r="N26" i="18"/>
  <c r="N27" i="18"/>
  <c r="N28" i="18"/>
  <c r="N29" i="18"/>
  <c r="B22" i="18"/>
  <c r="B23" i="18"/>
  <c r="AG16" i="18"/>
  <c r="AG19" i="18"/>
  <c r="AD19" i="18"/>
  <c r="N19" i="18"/>
  <c r="O19" i="18"/>
  <c r="P19" i="18"/>
  <c r="Q19" i="18"/>
  <c r="R19" i="18"/>
  <c r="S19" i="18"/>
  <c r="T19" i="18"/>
  <c r="U19" i="18"/>
  <c r="V19" i="18"/>
  <c r="W19" i="18"/>
  <c r="X19" i="18"/>
  <c r="Y19" i="18"/>
  <c r="Z19" i="18"/>
  <c r="G19" i="18"/>
  <c r="B17" i="18"/>
  <c r="B18" i="18"/>
  <c r="B19" i="18"/>
  <c r="O16" i="18"/>
  <c r="P16" i="18"/>
  <c r="Q16" i="18"/>
  <c r="R16" i="18"/>
  <c r="S16" i="18"/>
  <c r="T16" i="18"/>
  <c r="U16" i="18"/>
  <c r="V16" i="18"/>
  <c r="W16" i="18"/>
  <c r="X16" i="18"/>
  <c r="Y16" i="18"/>
  <c r="O17" i="18"/>
  <c r="P17" i="18"/>
  <c r="Q17" i="18"/>
  <c r="R17" i="18"/>
  <c r="S17" i="18"/>
  <c r="T17" i="18"/>
  <c r="U17" i="18"/>
  <c r="V17" i="18"/>
  <c r="W17" i="18"/>
  <c r="X17" i="18"/>
  <c r="Y17" i="18"/>
  <c r="Z17" i="18"/>
  <c r="AA17" i="18" s="1"/>
  <c r="AA11" i="18" s="1"/>
  <c r="A14" i="18"/>
  <c r="AG12" i="18"/>
  <c r="AG13" i="18"/>
  <c r="AD12" i="18"/>
  <c r="AD13" i="18"/>
  <c r="B12" i="18"/>
  <c r="B13" i="18"/>
  <c r="O11" i="18"/>
  <c r="P11" i="18"/>
  <c r="Q11" i="18"/>
  <c r="R11" i="18"/>
  <c r="S11" i="18"/>
  <c r="T11" i="18"/>
  <c r="U11" i="18"/>
  <c r="V11" i="18"/>
  <c r="W11" i="18"/>
  <c r="X11" i="18"/>
  <c r="Y11" i="18"/>
  <c r="Z11" i="18"/>
  <c r="O12" i="18"/>
  <c r="P12" i="18"/>
  <c r="Q12" i="18"/>
  <c r="R12" i="18"/>
  <c r="S12" i="18"/>
  <c r="T12" i="18"/>
  <c r="U12" i="18"/>
  <c r="V12" i="18"/>
  <c r="W12" i="18"/>
  <c r="X12" i="18"/>
  <c r="Y12" i="18"/>
  <c r="Z12" i="18"/>
  <c r="AA12" i="18"/>
  <c r="O13" i="18"/>
  <c r="P13" i="18"/>
  <c r="Q13" i="18"/>
  <c r="R13" i="18"/>
  <c r="S13" i="18"/>
  <c r="T13" i="18"/>
  <c r="U13" i="18"/>
  <c r="V13" i="18"/>
  <c r="W13" i="18"/>
  <c r="X13" i="18"/>
  <c r="Y13" i="18"/>
  <c r="Z13" i="18"/>
  <c r="AA13" i="18"/>
  <c r="C10" i="18"/>
  <c r="D10" i="18"/>
  <c r="C9" i="18"/>
  <c r="C1" i="18"/>
  <c r="C2" i="18"/>
  <c r="C3" i="18"/>
  <c r="C4" i="18"/>
  <c r="C5" i="18"/>
  <c r="C6" i="18"/>
  <c r="C7" i="18"/>
  <c r="C8" i="18"/>
  <c r="E6" i="18"/>
  <c r="B29" i="18" s="1"/>
  <c r="E4" i="18"/>
  <c r="F4" i="18"/>
  <c r="B3" i="18"/>
  <c r="M62" i="24"/>
  <c r="AC60" i="24"/>
  <c r="AF60" i="24"/>
  <c r="M60" i="24"/>
  <c r="N60" i="24"/>
  <c r="O60" i="24"/>
  <c r="P60" i="24"/>
  <c r="Q60" i="24"/>
  <c r="R60" i="24"/>
  <c r="S60" i="24"/>
  <c r="T60" i="24"/>
  <c r="U60" i="24"/>
  <c r="V60" i="24"/>
  <c r="W60" i="24"/>
  <c r="X60" i="24"/>
  <c r="Y60" i="24"/>
  <c r="I60" i="24"/>
  <c r="J60" i="24"/>
  <c r="M51" i="24"/>
  <c r="M52" i="24"/>
  <c r="M53" i="24"/>
  <c r="M54" i="24"/>
  <c r="M55" i="24"/>
  <c r="M56" i="24"/>
  <c r="M57" i="24"/>
  <c r="AC52" i="24"/>
  <c r="AD52" i="24" s="1"/>
  <c r="AF52" i="24"/>
  <c r="AG52" i="24"/>
  <c r="AC53" i="24"/>
  <c r="AD53" i="24"/>
  <c r="AF53" i="24"/>
  <c r="AG53" i="24" s="1"/>
  <c r="AC54" i="24"/>
  <c r="AD54" i="24"/>
  <c r="AF54" i="24"/>
  <c r="AG54" i="24"/>
  <c r="AC55" i="24"/>
  <c r="AD55" i="24"/>
  <c r="AF55" i="24"/>
  <c r="AC56" i="24"/>
  <c r="AF56" i="24"/>
  <c r="AG56" i="24" s="1"/>
  <c r="AC57" i="24"/>
  <c r="AF57" i="24"/>
  <c r="AG57" i="24" s="1"/>
  <c r="AK57" i="24"/>
  <c r="N52" i="24"/>
  <c r="O52" i="24"/>
  <c r="P52" i="24"/>
  <c r="Q52" i="24"/>
  <c r="R52" i="24"/>
  <c r="S52" i="24"/>
  <c r="T52" i="24"/>
  <c r="U52" i="24"/>
  <c r="V52" i="24"/>
  <c r="W52" i="24"/>
  <c r="X52" i="24"/>
  <c r="Y52" i="24"/>
  <c r="N53" i="24"/>
  <c r="O53" i="24"/>
  <c r="P53" i="24"/>
  <c r="Q53" i="24"/>
  <c r="Q58" i="24" s="1"/>
  <c r="R53" i="24"/>
  <c r="S53" i="24"/>
  <c r="T53" i="24"/>
  <c r="U53" i="24"/>
  <c r="V53" i="24"/>
  <c r="W53" i="24"/>
  <c r="X53" i="24"/>
  <c r="Y53" i="24"/>
  <c r="Y58" i="24" s="1"/>
  <c r="N54" i="24"/>
  <c r="O54" i="24"/>
  <c r="P54" i="24"/>
  <c r="Q54" i="24"/>
  <c r="R54" i="24"/>
  <c r="S54" i="24"/>
  <c r="T54" i="24"/>
  <c r="U54" i="24"/>
  <c r="V54" i="24"/>
  <c r="W54" i="24"/>
  <c r="X54" i="24"/>
  <c r="Y54" i="24"/>
  <c r="N55" i="24"/>
  <c r="O55" i="24"/>
  <c r="P55" i="24"/>
  <c r="Q55" i="24"/>
  <c r="R55" i="24"/>
  <c r="S55" i="24"/>
  <c r="T55" i="24"/>
  <c r="U55" i="24"/>
  <c r="V55" i="24"/>
  <c r="W55" i="24"/>
  <c r="X55" i="24"/>
  <c r="Y55" i="24"/>
  <c r="N56" i="24"/>
  <c r="O56" i="24"/>
  <c r="P56" i="24"/>
  <c r="Q56" i="24"/>
  <c r="R56" i="24"/>
  <c r="S56" i="24"/>
  <c r="T56" i="24"/>
  <c r="U56" i="24"/>
  <c r="V56" i="24"/>
  <c r="W56" i="24"/>
  <c r="X56" i="24"/>
  <c r="Y56" i="24"/>
  <c r="N57" i="24"/>
  <c r="O57" i="24"/>
  <c r="P57" i="24"/>
  <c r="Q57" i="24"/>
  <c r="R57" i="24"/>
  <c r="S57" i="24"/>
  <c r="T57" i="24"/>
  <c r="U57" i="24"/>
  <c r="V57" i="24"/>
  <c r="W57" i="24"/>
  <c r="X57" i="24"/>
  <c r="Y57" i="24"/>
  <c r="I51" i="24"/>
  <c r="J51" i="24"/>
  <c r="I52" i="24"/>
  <c r="J52" i="24"/>
  <c r="I53" i="24"/>
  <c r="J53" i="24"/>
  <c r="I54" i="24"/>
  <c r="J54" i="24"/>
  <c r="I55" i="24"/>
  <c r="J55" i="24"/>
  <c r="I56" i="24"/>
  <c r="J56" i="24"/>
  <c r="I57" i="24"/>
  <c r="J57" i="24"/>
  <c r="AC49" i="24"/>
  <c r="AF49" i="24"/>
  <c r="AG49" i="24" s="1"/>
  <c r="N49" i="24"/>
  <c r="O49" i="24"/>
  <c r="P49" i="24"/>
  <c r="Q49" i="24"/>
  <c r="R49" i="24"/>
  <c r="S49" i="24"/>
  <c r="T49" i="24"/>
  <c r="U49" i="24"/>
  <c r="V49" i="24"/>
  <c r="W49" i="24"/>
  <c r="X49" i="24"/>
  <c r="Y49" i="24"/>
  <c r="M42" i="24"/>
  <c r="M43" i="24"/>
  <c r="M44" i="24"/>
  <c r="M45" i="24"/>
  <c r="M46" i="24"/>
  <c r="M47" i="24"/>
  <c r="M48" i="24"/>
  <c r="AG43" i="24"/>
  <c r="AG44" i="24"/>
  <c r="AK44" i="24"/>
  <c r="AG45" i="24"/>
  <c r="AK45" i="24"/>
  <c r="AG46" i="24"/>
  <c r="AG47" i="24"/>
  <c r="AG48" i="24"/>
  <c r="AD43" i="24"/>
  <c r="AD44" i="24"/>
  <c r="AD45" i="24"/>
  <c r="AD46" i="24"/>
  <c r="AD47" i="24"/>
  <c r="AD48" i="24"/>
  <c r="Z45" i="24"/>
  <c r="I42" i="24"/>
  <c r="J42" i="24"/>
  <c r="I43" i="24"/>
  <c r="Z43" i="24" s="1"/>
  <c r="J43" i="24"/>
  <c r="I44" i="24"/>
  <c r="Z44" i="24" s="1"/>
  <c r="J44" i="24"/>
  <c r="I45" i="24"/>
  <c r="J45" i="24"/>
  <c r="I46" i="24"/>
  <c r="Z46" i="24" s="1"/>
  <c r="J46" i="24"/>
  <c r="I47" i="24"/>
  <c r="Z47" i="24" s="1"/>
  <c r="J47" i="24"/>
  <c r="I48" i="24"/>
  <c r="Z48" i="24" s="1"/>
  <c r="J48" i="24"/>
  <c r="AC40" i="24"/>
  <c r="AF40" i="24"/>
  <c r="N40" i="24"/>
  <c r="O40" i="24"/>
  <c r="P40" i="24"/>
  <c r="Q40" i="24"/>
  <c r="R40" i="24"/>
  <c r="S40" i="24"/>
  <c r="T40" i="24"/>
  <c r="U40" i="24"/>
  <c r="V40" i="24"/>
  <c r="W40" i="24"/>
  <c r="X40" i="24"/>
  <c r="Y40" i="24"/>
  <c r="M33" i="24"/>
  <c r="M34" i="24"/>
  <c r="M35" i="24"/>
  <c r="M36" i="24"/>
  <c r="M37" i="24"/>
  <c r="M38" i="24"/>
  <c r="M39" i="24"/>
  <c r="AG34" i="24"/>
  <c r="AG35" i="24"/>
  <c r="AK35" i="24"/>
  <c r="AG36" i="24"/>
  <c r="AG37" i="24"/>
  <c r="AG38" i="24"/>
  <c r="AG39" i="24"/>
  <c r="AD34" i="24"/>
  <c r="AD35" i="24"/>
  <c r="AD37" i="24"/>
  <c r="AD38" i="24"/>
  <c r="Z36" i="24"/>
  <c r="AE36" i="24" s="1"/>
  <c r="Z39" i="24"/>
  <c r="AH39" i="24" s="1"/>
  <c r="I34" i="24"/>
  <c r="J34" i="24"/>
  <c r="I35" i="24"/>
  <c r="J35" i="24"/>
  <c r="I36" i="24"/>
  <c r="K36" i="24" s="1"/>
  <c r="J36" i="24"/>
  <c r="I37" i="24"/>
  <c r="Z37" i="24" s="1"/>
  <c r="J37" i="24"/>
  <c r="I38" i="24"/>
  <c r="Z38" i="24" s="1"/>
  <c r="AA38" i="24" s="1"/>
  <c r="AL38" i="24" s="1"/>
  <c r="J38" i="24"/>
  <c r="I39" i="24"/>
  <c r="K39" i="24" s="1"/>
  <c r="J39" i="24"/>
  <c r="I33" i="24"/>
  <c r="J33" i="24"/>
  <c r="AF32" i="24"/>
  <c r="AK32" i="24" s="1"/>
  <c r="AC32" i="24"/>
  <c r="AJ32" i="24" s="1"/>
  <c r="N32" i="24"/>
  <c r="O32" i="24"/>
  <c r="P32" i="24"/>
  <c r="Q32" i="24"/>
  <c r="R32" i="24"/>
  <c r="S32" i="24"/>
  <c r="T32" i="24"/>
  <c r="U32" i="24"/>
  <c r="V32" i="24"/>
  <c r="W32" i="24"/>
  <c r="X32" i="24"/>
  <c r="Y32" i="24"/>
  <c r="AI32" i="24" s="1"/>
  <c r="AI31" i="24"/>
  <c r="AJ31" i="24"/>
  <c r="AL31" i="24" s="1"/>
  <c r="AK31" i="24"/>
  <c r="AM31" i="24" s="1"/>
  <c r="AF31" i="24"/>
  <c r="AC31" i="24"/>
  <c r="N31" i="24"/>
  <c r="O31" i="24"/>
  <c r="P31" i="24"/>
  <c r="Q31" i="24"/>
  <c r="R31" i="24"/>
  <c r="S31" i="24"/>
  <c r="T31" i="24"/>
  <c r="U31" i="24"/>
  <c r="V31" i="24"/>
  <c r="W31" i="24"/>
  <c r="X31" i="24"/>
  <c r="Y31" i="24"/>
  <c r="Z31" i="24"/>
  <c r="M26" i="24"/>
  <c r="M27" i="24"/>
  <c r="M28" i="24"/>
  <c r="M29" i="24"/>
  <c r="B22" i="24"/>
  <c r="B23" i="24"/>
  <c r="AF16" i="24"/>
  <c r="AF19" i="24"/>
  <c r="AF20" i="24"/>
  <c r="AC19" i="24"/>
  <c r="AC20" i="24"/>
  <c r="M19" i="24"/>
  <c r="N19" i="24"/>
  <c r="O19" i="24"/>
  <c r="P19" i="24"/>
  <c r="Q19" i="24"/>
  <c r="R19" i="24"/>
  <c r="S19" i="24"/>
  <c r="T19" i="24"/>
  <c r="U19" i="24"/>
  <c r="V19" i="24"/>
  <c r="W19" i="24"/>
  <c r="X19" i="24"/>
  <c r="Y19" i="24"/>
  <c r="M20" i="24"/>
  <c r="N20" i="24"/>
  <c r="O20" i="24"/>
  <c r="P20" i="24"/>
  <c r="Q20" i="24"/>
  <c r="R20" i="24"/>
  <c r="S20" i="24"/>
  <c r="T20" i="24"/>
  <c r="U20" i="24"/>
  <c r="V20" i="24"/>
  <c r="W20" i="24"/>
  <c r="X20" i="24"/>
  <c r="Y20" i="24"/>
  <c r="G19" i="24"/>
  <c r="B17" i="24"/>
  <c r="B18" i="24"/>
  <c r="B19" i="24"/>
  <c r="N17" i="24"/>
  <c r="O17" i="24"/>
  <c r="P17" i="24"/>
  <c r="Q17" i="24"/>
  <c r="R17" i="24"/>
  <c r="S17" i="24"/>
  <c r="T17" i="24"/>
  <c r="U17" i="24"/>
  <c r="V17" i="24"/>
  <c r="W17" i="24"/>
  <c r="X17" i="24"/>
  <c r="Y17" i="24"/>
  <c r="N16" i="24"/>
  <c r="O16" i="24"/>
  <c r="P16" i="24"/>
  <c r="Q16" i="24"/>
  <c r="R16" i="24"/>
  <c r="S16" i="24"/>
  <c r="T16" i="24"/>
  <c r="U16" i="24"/>
  <c r="V16" i="24"/>
  <c r="W16" i="24"/>
  <c r="X16" i="24"/>
  <c r="Z16" i="24"/>
  <c r="A14" i="24"/>
  <c r="AF12" i="24"/>
  <c r="AF13" i="24"/>
  <c r="AC12" i="24"/>
  <c r="AC13" i="24"/>
  <c r="B12" i="24"/>
  <c r="B13" i="24"/>
  <c r="N12" i="24"/>
  <c r="O12" i="24"/>
  <c r="P12" i="24"/>
  <c r="Q12" i="24"/>
  <c r="R12" i="24"/>
  <c r="S12" i="24"/>
  <c r="T12" i="24"/>
  <c r="U12" i="24"/>
  <c r="V12" i="24"/>
  <c r="W12" i="24"/>
  <c r="X12" i="24"/>
  <c r="Y12" i="24"/>
  <c r="Z12" i="24"/>
  <c r="N13" i="24"/>
  <c r="O13" i="24"/>
  <c r="P13" i="24"/>
  <c r="Q13" i="24"/>
  <c r="R13" i="24"/>
  <c r="S13" i="24"/>
  <c r="T13" i="24"/>
  <c r="U13" i="24"/>
  <c r="V13" i="24"/>
  <c r="W13" i="24"/>
  <c r="X13" i="24"/>
  <c r="Y13" i="24"/>
  <c r="Z13" i="24"/>
  <c r="N11" i="24"/>
  <c r="O11" i="24"/>
  <c r="P11" i="24"/>
  <c r="Q11" i="24"/>
  <c r="R11" i="24"/>
  <c r="S11" i="24"/>
  <c r="T11" i="24"/>
  <c r="U11" i="24"/>
  <c r="V11" i="24"/>
  <c r="W11" i="24"/>
  <c r="X11" i="24"/>
  <c r="Y11" i="24"/>
  <c r="C10" i="24"/>
  <c r="D10" i="24"/>
  <c r="Y16" i="24" s="1"/>
  <c r="C9" i="24"/>
  <c r="C1" i="24"/>
  <c r="C2" i="24"/>
  <c r="C3" i="24"/>
  <c r="C4" i="24"/>
  <c r="C5" i="24"/>
  <c r="C6" i="24"/>
  <c r="C7" i="24"/>
  <c r="C8" i="24"/>
  <c r="E6" i="24"/>
  <c r="E4" i="24"/>
  <c r="F4" i="24"/>
  <c r="B3" i="24"/>
  <c r="B118" i="15"/>
  <c r="B112" i="15"/>
  <c r="B113" i="15"/>
  <c r="B114" i="15"/>
  <c r="A109" i="15"/>
  <c r="B86" i="15"/>
  <c r="B87" i="15"/>
  <c r="B81" i="15"/>
  <c r="B82" i="15"/>
  <c r="B83" i="15"/>
  <c r="A78" i="15"/>
  <c r="AG75" i="15"/>
  <c r="AD75" i="15"/>
  <c r="O75" i="15"/>
  <c r="P75" i="15"/>
  <c r="Q75" i="15"/>
  <c r="R75" i="15"/>
  <c r="S75" i="15"/>
  <c r="T75" i="15"/>
  <c r="U75" i="15"/>
  <c r="V75" i="15"/>
  <c r="W75" i="15"/>
  <c r="X75" i="15"/>
  <c r="Y75" i="15"/>
  <c r="Z75" i="15"/>
  <c r="P76" i="15"/>
  <c r="R76" i="15"/>
  <c r="X76" i="15"/>
  <c r="N72" i="15"/>
  <c r="N75" i="15" s="1"/>
  <c r="N73" i="15"/>
  <c r="N76" i="15" s="1"/>
  <c r="AI72" i="15"/>
  <c r="AA73" i="15"/>
  <c r="AF73" i="15" s="1"/>
  <c r="I72" i="15"/>
  <c r="AA72" i="15" s="1"/>
  <c r="J72" i="15"/>
  <c r="I73" i="15"/>
  <c r="J73" i="15"/>
  <c r="N67" i="15"/>
  <c r="N68" i="15"/>
  <c r="N69" i="15"/>
  <c r="N70" i="15"/>
  <c r="I70" i="15"/>
  <c r="AA70" i="15" s="1"/>
  <c r="AF70" i="15" s="1"/>
  <c r="J70" i="15"/>
  <c r="AH68" i="15"/>
  <c r="AH69" i="15"/>
  <c r="AH70" i="15"/>
  <c r="AE68" i="15"/>
  <c r="AE69" i="15"/>
  <c r="AE70" i="15"/>
  <c r="I68" i="15"/>
  <c r="J68" i="15"/>
  <c r="L68" i="15"/>
  <c r="M68" i="15"/>
  <c r="I69" i="15"/>
  <c r="J69" i="15"/>
  <c r="L69" i="15"/>
  <c r="M69" i="15"/>
  <c r="I67" i="15"/>
  <c r="J67" i="15"/>
  <c r="AH55" i="15"/>
  <c r="AH56" i="15"/>
  <c r="AH57" i="15"/>
  <c r="AI60" i="15"/>
  <c r="AH63" i="15"/>
  <c r="AE55" i="15"/>
  <c r="AE56" i="15"/>
  <c r="AE57" i="15"/>
  <c r="AF63" i="15"/>
  <c r="AA63" i="15"/>
  <c r="I55" i="15"/>
  <c r="AA55" i="15" s="1"/>
  <c r="J55" i="15"/>
  <c r="L55" i="15"/>
  <c r="M55" i="15"/>
  <c r="N55" i="15"/>
  <c r="I56" i="15"/>
  <c r="AA56" i="15" s="1"/>
  <c r="AI56" i="15" s="1"/>
  <c r="J56" i="15"/>
  <c r="L56" i="15"/>
  <c r="M56" i="15"/>
  <c r="N56" i="15"/>
  <c r="I57" i="15"/>
  <c r="AA57" i="15" s="1"/>
  <c r="AI57" i="15" s="1"/>
  <c r="J57" i="15"/>
  <c r="L57" i="15"/>
  <c r="M57" i="15"/>
  <c r="N57" i="15"/>
  <c r="I58" i="15"/>
  <c r="J58" i="15"/>
  <c r="L58" i="15"/>
  <c r="M58" i="15"/>
  <c r="N58" i="15"/>
  <c r="I59" i="15"/>
  <c r="J59" i="15"/>
  <c r="L59" i="15"/>
  <c r="M59" i="15"/>
  <c r="N59" i="15"/>
  <c r="I60" i="15"/>
  <c r="AA60" i="15" s="1"/>
  <c r="J60" i="15"/>
  <c r="L60" i="15"/>
  <c r="M60" i="15"/>
  <c r="N60" i="15"/>
  <c r="I61" i="15"/>
  <c r="AA61" i="15" s="1"/>
  <c r="J61" i="15"/>
  <c r="L61" i="15"/>
  <c r="M61" i="15"/>
  <c r="N61" i="15"/>
  <c r="I62" i="15"/>
  <c r="J62" i="15"/>
  <c r="L62" i="15"/>
  <c r="M62" i="15"/>
  <c r="N62" i="15"/>
  <c r="I63" i="15"/>
  <c r="K63" i="15" s="1"/>
  <c r="J63" i="15"/>
  <c r="L63" i="15"/>
  <c r="M63" i="15"/>
  <c r="N63" i="15"/>
  <c r="I64" i="15"/>
  <c r="AA64" i="15" s="1"/>
  <c r="J64" i="15"/>
  <c r="L64" i="15"/>
  <c r="M64" i="15"/>
  <c r="N64" i="15"/>
  <c r="I65" i="15"/>
  <c r="AA65" i="15" s="1"/>
  <c r="AI65" i="15" s="1"/>
  <c r="J65" i="15"/>
  <c r="L65" i="15"/>
  <c r="M65" i="15"/>
  <c r="N65" i="15"/>
  <c r="B54" i="15"/>
  <c r="B55" i="15"/>
  <c r="N53" i="15"/>
  <c r="N54" i="15"/>
  <c r="I53" i="15"/>
  <c r="J53" i="15"/>
  <c r="I54" i="15"/>
  <c r="J54" i="15"/>
  <c r="AD51" i="15"/>
  <c r="AG51" i="15"/>
  <c r="N51" i="15"/>
  <c r="O51" i="15"/>
  <c r="O76" i="15" s="1"/>
  <c r="P51" i="15"/>
  <c r="Q51" i="15"/>
  <c r="Q76" i="15" s="1"/>
  <c r="R51" i="15"/>
  <c r="S51" i="15"/>
  <c r="S76" i="15" s="1"/>
  <c r="T51" i="15"/>
  <c r="T76" i="15" s="1"/>
  <c r="U51" i="15"/>
  <c r="U76" i="15" s="1"/>
  <c r="V51" i="15"/>
  <c r="V76" i="15" s="1"/>
  <c r="W51" i="15"/>
  <c r="W76" i="15" s="1"/>
  <c r="X51" i="15"/>
  <c r="Y51" i="15"/>
  <c r="Y76" i="15" s="1"/>
  <c r="Z51" i="15"/>
  <c r="Z76" i="15" s="1"/>
  <c r="B49" i="15"/>
  <c r="B50" i="15"/>
  <c r="B51" i="15"/>
  <c r="AB45" i="15"/>
  <c r="AM45" i="15" s="1"/>
  <c r="AB46" i="15"/>
  <c r="AM46" i="15" s="1"/>
  <c r="AB47" i="15"/>
  <c r="AB48" i="15"/>
  <c r="AN48" i="15" s="1"/>
  <c r="AB49" i="15"/>
  <c r="AM49" i="15" s="1"/>
  <c r="AB50" i="15"/>
  <c r="N43" i="15"/>
  <c r="N44" i="15"/>
  <c r="N45" i="15"/>
  <c r="N46" i="15"/>
  <c r="N47" i="15"/>
  <c r="N48" i="15"/>
  <c r="N49" i="15"/>
  <c r="N50" i="15"/>
  <c r="I50" i="15"/>
  <c r="K50" i="15" s="1"/>
  <c r="J50" i="15"/>
  <c r="I51" i="15"/>
  <c r="K51" i="15" s="1"/>
  <c r="J51" i="15"/>
  <c r="AA45" i="15"/>
  <c r="AF45" i="15" s="1"/>
  <c r="AA47" i="15"/>
  <c r="A46" i="15"/>
  <c r="AH45" i="15"/>
  <c r="AN45" i="15" s="1"/>
  <c r="AH46" i="15"/>
  <c r="AH47" i="15"/>
  <c r="AN47" i="15" s="1"/>
  <c r="AH48" i="15"/>
  <c r="AH49" i="15"/>
  <c r="AH50" i="15"/>
  <c r="AI50" i="15"/>
  <c r="AN50" i="15"/>
  <c r="AE45" i="15"/>
  <c r="AE46" i="15"/>
  <c r="AE47" i="15"/>
  <c r="AE48" i="15"/>
  <c r="AM48" i="15" s="1"/>
  <c r="AE49" i="15"/>
  <c r="AE50" i="15"/>
  <c r="AM50" i="15" s="1"/>
  <c r="AF50" i="15"/>
  <c r="I45" i="15"/>
  <c r="K45" i="15" s="1"/>
  <c r="J45" i="15"/>
  <c r="L45" i="15"/>
  <c r="M45" i="15"/>
  <c r="I46" i="15"/>
  <c r="J46" i="15"/>
  <c r="L46" i="15"/>
  <c r="M46" i="15"/>
  <c r="I47" i="15"/>
  <c r="K47" i="15" s="1"/>
  <c r="J47" i="15"/>
  <c r="L47" i="15"/>
  <c r="M47" i="15"/>
  <c r="I48" i="15"/>
  <c r="K48" i="15" s="1"/>
  <c r="J48" i="15"/>
  <c r="L48" i="15"/>
  <c r="M48" i="15"/>
  <c r="I49" i="15"/>
  <c r="AA49" i="15" s="1"/>
  <c r="AF49" i="15" s="1"/>
  <c r="J49" i="15"/>
  <c r="L49" i="15"/>
  <c r="M49" i="15"/>
  <c r="I43" i="15"/>
  <c r="J43" i="15"/>
  <c r="I44" i="15"/>
  <c r="J44" i="15"/>
  <c r="AH40" i="15"/>
  <c r="AE36" i="15"/>
  <c r="AE37" i="15"/>
  <c r="AE38" i="15"/>
  <c r="AE39" i="15"/>
  <c r="AE40" i="15"/>
  <c r="I35" i="15"/>
  <c r="K35" i="15" s="1"/>
  <c r="J35" i="15"/>
  <c r="L35" i="15"/>
  <c r="M35" i="15"/>
  <c r="N35" i="15"/>
  <c r="I36" i="15"/>
  <c r="K36" i="15" s="1"/>
  <c r="J36" i="15"/>
  <c r="L36" i="15"/>
  <c r="M36" i="15"/>
  <c r="N36" i="15"/>
  <c r="I37" i="15"/>
  <c r="K37" i="15" s="1"/>
  <c r="J37" i="15"/>
  <c r="L37" i="15"/>
  <c r="M37" i="15"/>
  <c r="N37" i="15"/>
  <c r="I38" i="15"/>
  <c r="AA38" i="15" s="1"/>
  <c r="AF38" i="15" s="1"/>
  <c r="J38" i="15"/>
  <c r="L38" i="15"/>
  <c r="M38" i="15"/>
  <c r="N38" i="15"/>
  <c r="I39" i="15"/>
  <c r="J39" i="15"/>
  <c r="L39" i="15"/>
  <c r="M39" i="15"/>
  <c r="N39" i="15"/>
  <c r="I40" i="15"/>
  <c r="K40" i="15" s="1"/>
  <c r="J40" i="15"/>
  <c r="L40" i="15"/>
  <c r="M40" i="15"/>
  <c r="N40" i="15"/>
  <c r="I41" i="15"/>
  <c r="J41" i="15"/>
  <c r="L41" i="15"/>
  <c r="M41" i="15"/>
  <c r="N41" i="15"/>
  <c r="N33" i="15"/>
  <c r="I33" i="15"/>
  <c r="J33" i="15"/>
  <c r="AG32" i="15"/>
  <c r="AL32" i="15" s="1"/>
  <c r="AD32" i="15"/>
  <c r="AK32" i="15" s="1"/>
  <c r="O32" i="15"/>
  <c r="P32" i="15"/>
  <c r="Q32" i="15"/>
  <c r="R32" i="15"/>
  <c r="S32" i="15"/>
  <c r="T32" i="15"/>
  <c r="U32" i="15"/>
  <c r="V32" i="15"/>
  <c r="W32" i="15"/>
  <c r="X32" i="15"/>
  <c r="Y32" i="15"/>
  <c r="Z32" i="15"/>
  <c r="AJ32" i="15" s="1"/>
  <c r="AJ31" i="15"/>
  <c r="AK31" i="15"/>
  <c r="AL31" i="15"/>
  <c r="AN31" i="15" s="1"/>
  <c r="AM31" i="15"/>
  <c r="AG31" i="15"/>
  <c r="AD31" i="15"/>
  <c r="O31" i="15"/>
  <c r="P31" i="15"/>
  <c r="Q31" i="15"/>
  <c r="R31" i="15"/>
  <c r="S31" i="15"/>
  <c r="T31" i="15"/>
  <c r="U31" i="15"/>
  <c r="V31" i="15"/>
  <c r="W31" i="15"/>
  <c r="X31" i="15"/>
  <c r="Y31" i="15"/>
  <c r="Z31" i="15"/>
  <c r="AA31" i="15"/>
  <c r="N26" i="15"/>
  <c r="N27" i="15"/>
  <c r="N28" i="15"/>
  <c r="N29" i="15"/>
  <c r="B22" i="15"/>
  <c r="B23" i="15"/>
  <c r="AG16" i="15"/>
  <c r="AG19" i="15"/>
  <c r="AG20" i="15"/>
  <c r="AL37" i="15" s="1"/>
  <c r="AD19" i="15"/>
  <c r="AE35" i="15" s="1"/>
  <c r="AD20" i="15"/>
  <c r="N19" i="15"/>
  <c r="O19" i="15"/>
  <c r="P19" i="15"/>
  <c r="Q19" i="15"/>
  <c r="R19" i="15"/>
  <c r="S19" i="15"/>
  <c r="T19" i="15"/>
  <c r="U19" i="15"/>
  <c r="V19" i="15"/>
  <c r="W19" i="15"/>
  <c r="X19" i="15"/>
  <c r="Y19" i="15"/>
  <c r="Z19" i="15"/>
  <c r="N20" i="15"/>
  <c r="O20" i="15"/>
  <c r="P20" i="15"/>
  <c r="Q20" i="15"/>
  <c r="R20" i="15"/>
  <c r="S20" i="15"/>
  <c r="T20" i="15"/>
  <c r="U20" i="15"/>
  <c r="V20" i="15"/>
  <c r="W20" i="15"/>
  <c r="X20" i="15"/>
  <c r="Y20" i="15"/>
  <c r="Z20" i="15"/>
  <c r="G19" i="15"/>
  <c r="B17" i="15"/>
  <c r="B18" i="15"/>
  <c r="B19" i="15"/>
  <c r="O16" i="15"/>
  <c r="P16" i="15"/>
  <c r="Q16" i="15"/>
  <c r="R16" i="15"/>
  <c r="S16" i="15"/>
  <c r="T16" i="15"/>
  <c r="U16" i="15"/>
  <c r="V16" i="15"/>
  <c r="W16" i="15"/>
  <c r="X16" i="15"/>
  <c r="Y16" i="15"/>
  <c r="O17" i="15"/>
  <c r="P17" i="15"/>
  <c r="Q17" i="15"/>
  <c r="R17" i="15"/>
  <c r="S17" i="15"/>
  <c r="T17" i="15"/>
  <c r="U17" i="15"/>
  <c r="V17" i="15"/>
  <c r="W17" i="15"/>
  <c r="X17" i="15"/>
  <c r="Y17" i="15"/>
  <c r="Z17" i="15"/>
  <c r="AA17" i="15"/>
  <c r="AA11" i="15" s="1"/>
  <c r="A14" i="15"/>
  <c r="AG12" i="15"/>
  <c r="AG13" i="15"/>
  <c r="AD12" i="15"/>
  <c r="AD13" i="15"/>
  <c r="B12" i="15"/>
  <c r="AA16" i="15" s="1"/>
  <c r="B13" i="15"/>
  <c r="O11" i="15"/>
  <c r="P11" i="15"/>
  <c r="Q11" i="15"/>
  <c r="R11" i="15"/>
  <c r="S11" i="15"/>
  <c r="T11" i="15"/>
  <c r="U11" i="15"/>
  <c r="V11" i="15"/>
  <c r="W11" i="15"/>
  <c r="X11" i="15"/>
  <c r="Y11" i="15"/>
  <c r="Z11" i="15"/>
  <c r="O12" i="15"/>
  <c r="P12" i="15"/>
  <c r="Q12" i="15"/>
  <c r="R12" i="15"/>
  <c r="S12" i="15"/>
  <c r="T12" i="15"/>
  <c r="U12" i="15"/>
  <c r="V12" i="15"/>
  <c r="W12" i="15"/>
  <c r="X12" i="15"/>
  <c r="Y12" i="15"/>
  <c r="Z12" i="15"/>
  <c r="AA12" i="15"/>
  <c r="O13" i="15"/>
  <c r="P13" i="15"/>
  <c r="Q13" i="15"/>
  <c r="R13" i="15"/>
  <c r="S13" i="15"/>
  <c r="T13" i="15"/>
  <c r="U13" i="15"/>
  <c r="V13" i="15"/>
  <c r="W13" i="15"/>
  <c r="X13" i="15"/>
  <c r="Y13" i="15"/>
  <c r="Z13" i="15"/>
  <c r="AA13" i="15"/>
  <c r="C10" i="15"/>
  <c r="D10" i="15"/>
  <c r="C9" i="15"/>
  <c r="C1" i="15"/>
  <c r="C2" i="15"/>
  <c r="C3" i="15"/>
  <c r="C4" i="15"/>
  <c r="C5" i="15"/>
  <c r="C6" i="15"/>
  <c r="C7" i="15"/>
  <c r="C8" i="15"/>
  <c r="E6" i="15"/>
  <c r="B61" i="15" s="1"/>
  <c r="E4" i="15"/>
  <c r="F4" i="15"/>
  <c r="B3" i="15"/>
  <c r="AG116" i="70"/>
  <c r="AG117" i="70"/>
  <c r="AG118" i="70"/>
  <c r="AD116" i="70"/>
  <c r="AD117" i="70"/>
  <c r="AD118" i="70"/>
  <c r="O116" i="70"/>
  <c r="P116" i="70"/>
  <c r="Q116" i="70"/>
  <c r="R116" i="70"/>
  <c r="S116" i="70"/>
  <c r="T116" i="70"/>
  <c r="U116" i="70"/>
  <c r="V116" i="70"/>
  <c r="W116" i="70"/>
  <c r="X116" i="70"/>
  <c r="Y116" i="70"/>
  <c r="Z116" i="70"/>
  <c r="O117" i="70"/>
  <c r="P117" i="70"/>
  <c r="Q117" i="70"/>
  <c r="R117" i="70"/>
  <c r="S117" i="70"/>
  <c r="T117" i="70"/>
  <c r="U117" i="70"/>
  <c r="V117" i="70"/>
  <c r="W117" i="70"/>
  <c r="X117" i="70"/>
  <c r="Y117" i="70"/>
  <c r="Z117" i="70"/>
  <c r="O118" i="70"/>
  <c r="P118" i="70"/>
  <c r="Q118" i="70"/>
  <c r="R118" i="70"/>
  <c r="S118" i="70"/>
  <c r="T118" i="70"/>
  <c r="U118" i="70"/>
  <c r="V118" i="70"/>
  <c r="W118" i="70"/>
  <c r="X118" i="70"/>
  <c r="Y118" i="70"/>
  <c r="Z118" i="70"/>
  <c r="AG108" i="70"/>
  <c r="AG112" i="70" s="1"/>
  <c r="AG109" i="70"/>
  <c r="AH109" i="70" s="1"/>
  <c r="AG110" i="70"/>
  <c r="AG111" i="70"/>
  <c r="AH111" i="70" s="1"/>
  <c r="AD108" i="70"/>
  <c r="AD109" i="70"/>
  <c r="AE109" i="70" s="1"/>
  <c r="AD110" i="70"/>
  <c r="AD111" i="70"/>
  <c r="AH110" i="70"/>
  <c r="AE110" i="70"/>
  <c r="AE111" i="70"/>
  <c r="L108" i="70"/>
  <c r="M108" i="70"/>
  <c r="N108" i="70"/>
  <c r="O108" i="70"/>
  <c r="O112" i="70" s="1"/>
  <c r="P108" i="70"/>
  <c r="Q108" i="70"/>
  <c r="R108" i="70"/>
  <c r="S108" i="70"/>
  <c r="T108" i="70"/>
  <c r="U108" i="70"/>
  <c r="V108" i="70"/>
  <c r="W108" i="70"/>
  <c r="X108" i="70"/>
  <c r="Y108" i="70"/>
  <c r="Z108" i="70"/>
  <c r="L109" i="70"/>
  <c r="M109" i="70"/>
  <c r="N109" i="70"/>
  <c r="O109" i="70"/>
  <c r="P109" i="70"/>
  <c r="Q109" i="70"/>
  <c r="R109" i="70"/>
  <c r="S109" i="70"/>
  <c r="T109" i="70"/>
  <c r="AA109" i="70" s="1"/>
  <c r="U109" i="70"/>
  <c r="V109" i="70"/>
  <c r="W109" i="70"/>
  <c r="W112" i="70" s="1"/>
  <c r="W113" i="70" s="1"/>
  <c r="X109" i="70"/>
  <c r="Y109" i="70"/>
  <c r="Y112" i="70" s="1"/>
  <c r="Y113" i="70" s="1"/>
  <c r="Z109" i="70"/>
  <c r="L110" i="70"/>
  <c r="M110" i="70"/>
  <c r="N110" i="70"/>
  <c r="O110" i="70"/>
  <c r="AA110" i="70" s="1"/>
  <c r="AI110" i="70" s="1"/>
  <c r="P110" i="70"/>
  <c r="Q110" i="70"/>
  <c r="R110" i="70"/>
  <c r="S110" i="70"/>
  <c r="T110" i="70"/>
  <c r="U110" i="70"/>
  <c r="V110" i="70"/>
  <c r="W110" i="70"/>
  <c r="X110" i="70"/>
  <c r="Y110" i="70"/>
  <c r="Z110" i="70"/>
  <c r="L111" i="70"/>
  <c r="M111" i="70"/>
  <c r="N111" i="70"/>
  <c r="O111" i="70"/>
  <c r="P111" i="70"/>
  <c r="Q111" i="70"/>
  <c r="R111" i="70"/>
  <c r="S111" i="70"/>
  <c r="T111" i="70"/>
  <c r="U111" i="70"/>
  <c r="V111" i="70"/>
  <c r="W111" i="70"/>
  <c r="X111" i="70"/>
  <c r="Y111" i="70"/>
  <c r="Z111" i="70"/>
  <c r="L112" i="70"/>
  <c r="M112" i="70"/>
  <c r="N112" i="70"/>
  <c r="Q112" i="70"/>
  <c r="Q113" i="70" s="1"/>
  <c r="AH103" i="70"/>
  <c r="AI103" i="70"/>
  <c r="AH104" i="70"/>
  <c r="AH105" i="70"/>
  <c r="AE102" i="70"/>
  <c r="AE103" i="70"/>
  <c r="AE104" i="70"/>
  <c r="AE105" i="70"/>
  <c r="AE106" i="70"/>
  <c r="AA102" i="70"/>
  <c r="AA103" i="70"/>
  <c r="AA104" i="70"/>
  <c r="AI104" i="70" s="1"/>
  <c r="AA105" i="70"/>
  <c r="AI105" i="70" s="1"/>
  <c r="AB105" i="70"/>
  <c r="AA106" i="70"/>
  <c r="L102" i="70"/>
  <c r="M102" i="70"/>
  <c r="N102" i="70"/>
  <c r="L103" i="70"/>
  <c r="M103" i="70"/>
  <c r="N103" i="70"/>
  <c r="L104" i="70"/>
  <c r="M104" i="70"/>
  <c r="N104" i="70"/>
  <c r="L105" i="70"/>
  <c r="M105" i="70"/>
  <c r="N105" i="70"/>
  <c r="L106" i="70"/>
  <c r="M106" i="70"/>
  <c r="N106" i="70"/>
  <c r="AH96" i="70"/>
  <c r="AH97" i="70"/>
  <c r="AH98" i="70"/>
  <c r="AE95" i="70"/>
  <c r="AE96" i="70"/>
  <c r="AE97" i="70"/>
  <c r="AE98" i="70"/>
  <c r="AE99" i="70"/>
  <c r="AA95" i="70"/>
  <c r="AI95" i="70" s="1"/>
  <c r="AA96" i="70"/>
  <c r="AB96" i="70" s="1"/>
  <c r="AA97" i="70"/>
  <c r="AA98" i="70"/>
  <c r="AF98" i="70" s="1"/>
  <c r="AA99" i="70"/>
  <c r="AI99" i="70" s="1"/>
  <c r="AB99" i="70"/>
  <c r="L95" i="70"/>
  <c r="M95" i="70"/>
  <c r="N95" i="70"/>
  <c r="L96" i="70"/>
  <c r="M96" i="70"/>
  <c r="N96" i="70"/>
  <c r="L97" i="70"/>
  <c r="M97" i="70"/>
  <c r="N97" i="70"/>
  <c r="L98" i="70"/>
  <c r="M98" i="70"/>
  <c r="N98" i="70"/>
  <c r="L99" i="70"/>
  <c r="M99" i="70"/>
  <c r="N99" i="70"/>
  <c r="AH88" i="70"/>
  <c r="AH89" i="70"/>
  <c r="AH90" i="70"/>
  <c r="AH91" i="70"/>
  <c r="AH92" i="70"/>
  <c r="AE88" i="70"/>
  <c r="AF88" i="70"/>
  <c r="AE89" i="70"/>
  <c r="AF89" i="70"/>
  <c r="AE90" i="70"/>
  <c r="AE91" i="70"/>
  <c r="AE92" i="70"/>
  <c r="AA88" i="70"/>
  <c r="AI88" i="70" s="1"/>
  <c r="AB88" i="70"/>
  <c r="AA89" i="70"/>
  <c r="AI89" i="70" s="1"/>
  <c r="AA90" i="70"/>
  <c r="AI90" i="70" s="1"/>
  <c r="AA91" i="70"/>
  <c r="AA92" i="70"/>
  <c r="L88" i="70"/>
  <c r="M88" i="70"/>
  <c r="N88" i="70"/>
  <c r="L89" i="70"/>
  <c r="M89" i="70"/>
  <c r="N89" i="70"/>
  <c r="L90" i="70"/>
  <c r="M90" i="70"/>
  <c r="N90" i="70"/>
  <c r="L91" i="70"/>
  <c r="M91" i="70"/>
  <c r="N91" i="70"/>
  <c r="L92" i="70"/>
  <c r="M92" i="70"/>
  <c r="N92" i="70"/>
  <c r="AI82" i="70"/>
  <c r="AF82" i="70"/>
  <c r="AA82" i="70"/>
  <c r="AA83" i="70"/>
  <c r="AF83" i="70" s="1"/>
  <c r="AA84" i="70"/>
  <c r="N82" i="70"/>
  <c r="N116" i="70" s="1"/>
  <c r="N83" i="70"/>
  <c r="N117" i="70" s="1"/>
  <c r="N84" i="70"/>
  <c r="N118" i="70" s="1"/>
  <c r="AH83" i="70"/>
  <c r="AE82" i="70"/>
  <c r="AE83" i="70"/>
  <c r="L82" i="70"/>
  <c r="M82" i="70"/>
  <c r="L83" i="70"/>
  <c r="M83" i="70"/>
  <c r="I82" i="70"/>
  <c r="J82" i="70"/>
  <c r="I83" i="70"/>
  <c r="J83" i="70"/>
  <c r="I84" i="70"/>
  <c r="J84" i="70"/>
  <c r="AH80" i="70"/>
  <c r="AI80" i="70"/>
  <c r="AE80" i="70"/>
  <c r="AA80" i="70"/>
  <c r="AF80" i="70" s="1"/>
  <c r="L80" i="70"/>
  <c r="M80" i="70"/>
  <c r="N80" i="70"/>
  <c r="I80" i="70"/>
  <c r="J80" i="70"/>
  <c r="AG78" i="70"/>
  <c r="AH79" i="70" s="1"/>
  <c r="AD78" i="70"/>
  <c r="AE79" i="70" s="1"/>
  <c r="O78" i="70"/>
  <c r="O79" i="70" s="1"/>
  <c r="P78" i="70"/>
  <c r="P79" i="70" s="1"/>
  <c r="Q78" i="70"/>
  <c r="Q79" i="70" s="1"/>
  <c r="R78" i="70"/>
  <c r="R79" i="70" s="1"/>
  <c r="S78" i="70"/>
  <c r="S79" i="70" s="1"/>
  <c r="T78" i="70"/>
  <c r="T79" i="70" s="1"/>
  <c r="U78" i="70"/>
  <c r="U79" i="70" s="1"/>
  <c r="V78" i="70"/>
  <c r="V79" i="70" s="1"/>
  <c r="W78" i="70"/>
  <c r="W79" i="70" s="1"/>
  <c r="X78" i="70"/>
  <c r="X79" i="70" s="1"/>
  <c r="Y78" i="70"/>
  <c r="Z78" i="70"/>
  <c r="Z79" i="70" s="1"/>
  <c r="Y79" i="70"/>
  <c r="AI76" i="70"/>
  <c r="AF77" i="70"/>
  <c r="AA35" i="70"/>
  <c r="AA36" i="70"/>
  <c r="AF36" i="70" s="1"/>
  <c r="AA37" i="70"/>
  <c r="AA38" i="70"/>
  <c r="AB38" i="70" s="1"/>
  <c r="AA39" i="70"/>
  <c r="AA40" i="70"/>
  <c r="AI40" i="70" s="1"/>
  <c r="AA41" i="70"/>
  <c r="AA45" i="70"/>
  <c r="AA46" i="70"/>
  <c r="AA47" i="70"/>
  <c r="AI47" i="70" s="1"/>
  <c r="AA48" i="70"/>
  <c r="AA49" i="70"/>
  <c r="AB49" i="70" s="1"/>
  <c r="AA50" i="70"/>
  <c r="AA51" i="70"/>
  <c r="AA55" i="70"/>
  <c r="AI55" i="70" s="1"/>
  <c r="AA56" i="70"/>
  <c r="AA57" i="70"/>
  <c r="AI57" i="70" s="1"/>
  <c r="AA58" i="70"/>
  <c r="AA59" i="70"/>
  <c r="AI59" i="70" s="1"/>
  <c r="AA60" i="70"/>
  <c r="AI60" i="70" s="1"/>
  <c r="AA61" i="70"/>
  <c r="AA65" i="70"/>
  <c r="AA66" i="70"/>
  <c r="AA67" i="70"/>
  <c r="AF67" i="70" s="1"/>
  <c r="AA68" i="70"/>
  <c r="AA69" i="70"/>
  <c r="AF69" i="70" s="1"/>
  <c r="AA70" i="70"/>
  <c r="AF70" i="70" s="1"/>
  <c r="AA74" i="70"/>
  <c r="AA75" i="70"/>
  <c r="AI75" i="70" s="1"/>
  <c r="AA76" i="70"/>
  <c r="AF76" i="70" s="1"/>
  <c r="AA77" i="70"/>
  <c r="AH74" i="70"/>
  <c r="AH75" i="70"/>
  <c r="AH76" i="70"/>
  <c r="AE73" i="70"/>
  <c r="AE74" i="70"/>
  <c r="AE75" i="70"/>
  <c r="AE76" i="70"/>
  <c r="AB76" i="70"/>
  <c r="L74" i="70"/>
  <c r="M74" i="70"/>
  <c r="N74" i="70"/>
  <c r="L75" i="70"/>
  <c r="M75" i="70"/>
  <c r="N75" i="70"/>
  <c r="L76" i="70"/>
  <c r="M76" i="70"/>
  <c r="N76" i="70"/>
  <c r="L77" i="70"/>
  <c r="M77" i="70"/>
  <c r="N77" i="70"/>
  <c r="I74" i="70"/>
  <c r="J74" i="70"/>
  <c r="I75" i="70"/>
  <c r="J75" i="70"/>
  <c r="I76" i="70"/>
  <c r="J76" i="70"/>
  <c r="I77" i="70"/>
  <c r="J77" i="70"/>
  <c r="AG72" i="70"/>
  <c r="AH73" i="70" s="1"/>
  <c r="AD72" i="70"/>
  <c r="O72" i="70"/>
  <c r="O73" i="70" s="1"/>
  <c r="P72" i="70"/>
  <c r="P73" i="70" s="1"/>
  <c r="Q72" i="70"/>
  <c r="Q73" i="70" s="1"/>
  <c r="R72" i="70"/>
  <c r="R73" i="70" s="1"/>
  <c r="S72" i="70"/>
  <c r="T72" i="70"/>
  <c r="U72" i="70"/>
  <c r="V72" i="70"/>
  <c r="W72" i="70"/>
  <c r="W73" i="70" s="1"/>
  <c r="X72" i="70"/>
  <c r="X73" i="70" s="1"/>
  <c r="Y72" i="70"/>
  <c r="Y73" i="70" s="1"/>
  <c r="Z72" i="70"/>
  <c r="Z73" i="70" s="1"/>
  <c r="S73" i="70"/>
  <c r="T73" i="70"/>
  <c r="U73" i="70"/>
  <c r="V73" i="70"/>
  <c r="AI66" i="70"/>
  <c r="AI68" i="70"/>
  <c r="AI70" i="70"/>
  <c r="AF68" i="70"/>
  <c r="AH66" i="70"/>
  <c r="AH67" i="70"/>
  <c r="AH68" i="70"/>
  <c r="AH70" i="70"/>
  <c r="AE65" i="70"/>
  <c r="AE66" i="70"/>
  <c r="AE67" i="70"/>
  <c r="AE68" i="70"/>
  <c r="AE69" i="70"/>
  <c r="AE70" i="70"/>
  <c r="AB68" i="70"/>
  <c r="AB69" i="70"/>
  <c r="AB70" i="70"/>
  <c r="L65" i="70"/>
  <c r="M65" i="70"/>
  <c r="N65" i="70"/>
  <c r="L66" i="70"/>
  <c r="M66" i="70"/>
  <c r="N66" i="70"/>
  <c r="L67" i="70"/>
  <c r="M67" i="70"/>
  <c r="N67" i="70"/>
  <c r="L68" i="70"/>
  <c r="M68" i="70"/>
  <c r="N68" i="70"/>
  <c r="L69" i="70"/>
  <c r="M69" i="70"/>
  <c r="N69" i="70"/>
  <c r="L70" i="70"/>
  <c r="M70" i="70"/>
  <c r="N70" i="70"/>
  <c r="L71" i="70"/>
  <c r="M71" i="70"/>
  <c r="N71" i="70"/>
  <c r="I65" i="70"/>
  <c r="J65" i="70"/>
  <c r="I66" i="70"/>
  <c r="J66" i="70"/>
  <c r="I67" i="70"/>
  <c r="J67" i="70"/>
  <c r="I68" i="70"/>
  <c r="J68" i="70"/>
  <c r="I69" i="70"/>
  <c r="J69" i="70"/>
  <c r="I70" i="70"/>
  <c r="J70" i="70"/>
  <c r="I71" i="70"/>
  <c r="J71" i="70"/>
  <c r="AG63" i="70"/>
  <c r="AH64" i="70" s="1"/>
  <c r="AD63" i="70"/>
  <c r="AE64" i="70" s="1"/>
  <c r="O63" i="70"/>
  <c r="O64" i="70" s="1"/>
  <c r="P63" i="70"/>
  <c r="P64" i="70" s="1"/>
  <c r="Q63" i="70"/>
  <c r="Q64" i="70" s="1"/>
  <c r="R63" i="70"/>
  <c r="R64" i="70" s="1"/>
  <c r="S63" i="70"/>
  <c r="T63" i="70"/>
  <c r="U63" i="70"/>
  <c r="V63" i="70"/>
  <c r="W63" i="70"/>
  <c r="W64" i="70" s="1"/>
  <c r="X63" i="70"/>
  <c r="X64" i="70" s="1"/>
  <c r="Y63" i="70"/>
  <c r="Y64" i="70" s="1"/>
  <c r="Z63" i="70"/>
  <c r="Z64" i="70" s="1"/>
  <c r="S64" i="70"/>
  <c r="T64" i="70"/>
  <c r="U64" i="70"/>
  <c r="V64" i="70"/>
  <c r="AF55" i="70"/>
  <c r="AH61" i="70"/>
  <c r="AE61" i="70"/>
  <c r="AH55" i="70"/>
  <c r="AH56" i="70"/>
  <c r="AH57" i="70"/>
  <c r="AH58" i="70"/>
  <c r="AH59" i="70"/>
  <c r="AE54" i="70"/>
  <c r="AE55" i="70"/>
  <c r="AE56" i="70"/>
  <c r="AE57" i="70"/>
  <c r="AE58" i="70"/>
  <c r="AE59" i="70"/>
  <c r="AB55" i="70"/>
  <c r="AB59" i="70"/>
  <c r="L55" i="70"/>
  <c r="M55" i="70"/>
  <c r="N55" i="70"/>
  <c r="L56" i="70"/>
  <c r="M56" i="70"/>
  <c r="N56" i="70"/>
  <c r="L57" i="70"/>
  <c r="M57" i="70"/>
  <c r="N57" i="70"/>
  <c r="L58" i="70"/>
  <c r="M58" i="70"/>
  <c r="N58" i="70"/>
  <c r="L59" i="70"/>
  <c r="M59" i="70"/>
  <c r="N59" i="70"/>
  <c r="L60" i="70"/>
  <c r="M60" i="70"/>
  <c r="N60" i="70"/>
  <c r="L61" i="70"/>
  <c r="M61" i="70"/>
  <c r="N61" i="70"/>
  <c r="L62" i="70"/>
  <c r="M62" i="70"/>
  <c r="N62" i="70"/>
  <c r="I55" i="70"/>
  <c r="J55" i="70"/>
  <c r="I56" i="70"/>
  <c r="J56" i="70"/>
  <c r="I57" i="70"/>
  <c r="J57" i="70"/>
  <c r="I58" i="70"/>
  <c r="J58" i="70"/>
  <c r="I59" i="70"/>
  <c r="J59" i="70"/>
  <c r="I60" i="70"/>
  <c r="J60" i="70"/>
  <c r="I61" i="70"/>
  <c r="J61" i="70"/>
  <c r="I62" i="70"/>
  <c r="J62" i="70"/>
  <c r="AG53" i="70"/>
  <c r="AH54" i="70" s="1"/>
  <c r="AD53" i="70"/>
  <c r="O53" i="70"/>
  <c r="O54" i="70" s="1"/>
  <c r="P53" i="70"/>
  <c r="P54" i="70" s="1"/>
  <c r="Q53" i="70"/>
  <c r="Q54" i="70" s="1"/>
  <c r="R53" i="70"/>
  <c r="R54" i="70" s="1"/>
  <c r="S53" i="70"/>
  <c r="S54" i="70" s="1"/>
  <c r="T53" i="70"/>
  <c r="U53" i="70"/>
  <c r="V53" i="70"/>
  <c r="W53" i="70"/>
  <c r="X53" i="70"/>
  <c r="X54" i="70" s="1"/>
  <c r="Y53" i="70"/>
  <c r="Y54" i="70" s="1"/>
  <c r="Z53" i="70"/>
  <c r="Z54" i="70" s="1"/>
  <c r="T54" i="70"/>
  <c r="U54" i="70"/>
  <c r="V54" i="70"/>
  <c r="W54" i="70"/>
  <c r="AI46" i="70"/>
  <c r="AI48" i="70"/>
  <c r="AI51" i="70"/>
  <c r="AF46" i="70"/>
  <c r="AF47" i="70"/>
  <c r="AF48" i="70"/>
  <c r="AF51" i="70"/>
  <c r="AH51" i="70"/>
  <c r="AE51" i="70"/>
  <c r="AB51" i="70"/>
  <c r="AH45" i="70"/>
  <c r="AH46" i="70"/>
  <c r="AH47" i="70"/>
  <c r="AH48" i="70"/>
  <c r="AH49" i="70"/>
  <c r="AE45" i="70"/>
  <c r="AE46" i="70"/>
  <c r="AE47" i="70"/>
  <c r="AE48" i="70"/>
  <c r="AE49" i="70"/>
  <c r="AB46" i="70"/>
  <c r="AB48" i="70"/>
  <c r="L45" i="70"/>
  <c r="M45" i="70"/>
  <c r="N45" i="70"/>
  <c r="L46" i="70"/>
  <c r="M46" i="70"/>
  <c r="N46" i="70"/>
  <c r="L47" i="70"/>
  <c r="M47" i="70"/>
  <c r="N47" i="70"/>
  <c r="L48" i="70"/>
  <c r="M48" i="70"/>
  <c r="N48" i="70"/>
  <c r="L49" i="70"/>
  <c r="M49" i="70"/>
  <c r="N49" i="70"/>
  <c r="L50" i="70"/>
  <c r="M50" i="70"/>
  <c r="N50" i="70"/>
  <c r="L51" i="70"/>
  <c r="M51" i="70"/>
  <c r="N51" i="70"/>
  <c r="L52" i="70"/>
  <c r="M52" i="70"/>
  <c r="N52" i="70"/>
  <c r="I45" i="70"/>
  <c r="J45" i="70"/>
  <c r="I46" i="70"/>
  <c r="J46" i="70"/>
  <c r="I47" i="70"/>
  <c r="J47" i="70"/>
  <c r="I48" i="70"/>
  <c r="J48" i="70"/>
  <c r="I49" i="70"/>
  <c r="J49" i="70"/>
  <c r="I50" i="70"/>
  <c r="J50" i="70"/>
  <c r="I51" i="70"/>
  <c r="J51" i="70"/>
  <c r="I52" i="70"/>
  <c r="J52" i="70"/>
  <c r="AG43" i="70"/>
  <c r="AH44" i="70" s="1"/>
  <c r="AD43" i="70"/>
  <c r="AE44" i="70" s="1"/>
  <c r="O43" i="70"/>
  <c r="P43" i="70"/>
  <c r="P44" i="70" s="1"/>
  <c r="Q43" i="70"/>
  <c r="Q44" i="70" s="1"/>
  <c r="R43" i="70"/>
  <c r="R44" i="70" s="1"/>
  <c r="S43" i="70"/>
  <c r="S44" i="70" s="1"/>
  <c r="T43" i="70"/>
  <c r="T44" i="70" s="1"/>
  <c r="U43" i="70"/>
  <c r="V43" i="70"/>
  <c r="V44" i="70" s="1"/>
  <c r="W43" i="70"/>
  <c r="X43" i="70"/>
  <c r="Y43" i="70"/>
  <c r="Y44" i="70" s="1"/>
  <c r="Z43" i="70"/>
  <c r="Z44" i="70" s="1"/>
  <c r="O44" i="70"/>
  <c r="U44" i="70"/>
  <c r="W44" i="70"/>
  <c r="X44" i="70"/>
  <c r="AI35" i="70"/>
  <c r="AI37" i="70"/>
  <c r="AF35" i="70"/>
  <c r="AF37" i="70"/>
  <c r="AH41" i="70"/>
  <c r="AE41" i="70"/>
  <c r="AH35" i="70"/>
  <c r="AH36" i="70"/>
  <c r="AE35" i="70"/>
  <c r="AE36" i="70"/>
  <c r="AE37" i="70"/>
  <c r="AE38" i="70"/>
  <c r="AE39" i="70"/>
  <c r="AB35" i="70"/>
  <c r="AB37" i="70"/>
  <c r="L35" i="70"/>
  <c r="M35" i="70"/>
  <c r="N35" i="70"/>
  <c r="L36" i="70"/>
  <c r="M36" i="70"/>
  <c r="N36" i="70"/>
  <c r="L37" i="70"/>
  <c r="M37" i="70"/>
  <c r="N37" i="70"/>
  <c r="L38" i="70"/>
  <c r="M38" i="70"/>
  <c r="N38" i="70"/>
  <c r="L39" i="70"/>
  <c r="M39" i="70"/>
  <c r="N39" i="70"/>
  <c r="L40" i="70"/>
  <c r="M40" i="70"/>
  <c r="N40" i="70"/>
  <c r="L41" i="70"/>
  <c r="M41" i="70"/>
  <c r="N41" i="70"/>
  <c r="L42" i="70"/>
  <c r="M42" i="70"/>
  <c r="N42" i="70"/>
  <c r="I35" i="70"/>
  <c r="J35" i="70"/>
  <c r="I36" i="70"/>
  <c r="J36" i="70"/>
  <c r="I37" i="70"/>
  <c r="J37" i="70"/>
  <c r="I38" i="70"/>
  <c r="J38" i="70"/>
  <c r="I39" i="70"/>
  <c r="J39" i="70"/>
  <c r="I40" i="70"/>
  <c r="J40" i="70"/>
  <c r="I41" i="70"/>
  <c r="J41" i="70"/>
  <c r="I42" i="70"/>
  <c r="J42" i="70"/>
  <c r="AG32" i="70"/>
  <c r="AD32" i="70"/>
  <c r="O32" i="70"/>
  <c r="P32" i="70"/>
  <c r="Q32" i="70"/>
  <c r="R32" i="70"/>
  <c r="S32" i="70"/>
  <c r="T32" i="70"/>
  <c r="U32" i="70"/>
  <c r="V32" i="70"/>
  <c r="W32" i="70"/>
  <c r="X32" i="70"/>
  <c r="Y32" i="70"/>
  <c r="Z32" i="70"/>
  <c r="AG31" i="70"/>
  <c r="AD31" i="70"/>
  <c r="O31" i="70"/>
  <c r="P31" i="70"/>
  <c r="Q31" i="70"/>
  <c r="R31" i="70"/>
  <c r="S31" i="70"/>
  <c r="T31" i="70"/>
  <c r="U31" i="70"/>
  <c r="V31" i="70"/>
  <c r="W31" i="70"/>
  <c r="X31" i="70"/>
  <c r="Y31" i="70"/>
  <c r="Z31" i="70"/>
  <c r="AA31" i="70"/>
  <c r="N26" i="70"/>
  <c r="N27" i="70"/>
  <c r="N28" i="70"/>
  <c r="N29" i="70"/>
  <c r="B23" i="70"/>
  <c r="AG16" i="70"/>
  <c r="AG19" i="70"/>
  <c r="AH95" i="70" s="1"/>
  <c r="AG20" i="70"/>
  <c r="AD19" i="70"/>
  <c r="AD20" i="70"/>
  <c r="G19" i="70"/>
  <c r="G20" i="70"/>
  <c r="N19" i="70"/>
  <c r="O19" i="70"/>
  <c r="P19" i="70"/>
  <c r="Q19" i="70"/>
  <c r="R19" i="70"/>
  <c r="S19" i="70"/>
  <c r="T19" i="70"/>
  <c r="U19" i="70"/>
  <c r="V19" i="70"/>
  <c r="W19" i="70"/>
  <c r="X19" i="70"/>
  <c r="Y19" i="70"/>
  <c r="Z19" i="70"/>
  <c r="N20" i="70"/>
  <c r="O20" i="70"/>
  <c r="P20" i="70"/>
  <c r="Q20" i="70"/>
  <c r="R20" i="70"/>
  <c r="S20" i="70"/>
  <c r="T20" i="70"/>
  <c r="U20" i="70"/>
  <c r="V20" i="70"/>
  <c r="W20" i="70"/>
  <c r="X20" i="70"/>
  <c r="Y20" i="70"/>
  <c r="Z20" i="70"/>
  <c r="B17" i="70"/>
  <c r="B18" i="70"/>
  <c r="B19" i="70"/>
  <c r="AA17" i="70"/>
  <c r="AA11" i="70" s="1"/>
  <c r="AA18" i="70" s="1"/>
  <c r="O16" i="70"/>
  <c r="P16" i="70"/>
  <c r="Q16" i="70"/>
  <c r="R16" i="70"/>
  <c r="S16" i="70"/>
  <c r="T16" i="70"/>
  <c r="U16" i="70"/>
  <c r="V16" i="70"/>
  <c r="W16" i="70"/>
  <c r="X16" i="70"/>
  <c r="Y16" i="70"/>
  <c r="O17" i="70"/>
  <c r="P17" i="70"/>
  <c r="Q17" i="70"/>
  <c r="R17" i="70"/>
  <c r="S17" i="70"/>
  <c r="T17" i="70"/>
  <c r="U17" i="70"/>
  <c r="V17" i="70"/>
  <c r="W17" i="70"/>
  <c r="X17" i="70"/>
  <c r="Y17" i="70"/>
  <c r="Z17" i="70"/>
  <c r="A14" i="70"/>
  <c r="AG12" i="70"/>
  <c r="AG13" i="70"/>
  <c r="AD12" i="70"/>
  <c r="AD13" i="70"/>
  <c r="B12" i="70"/>
  <c r="B13" i="70"/>
  <c r="O11" i="70"/>
  <c r="P11" i="70"/>
  <c r="Q11" i="70"/>
  <c r="R11" i="70"/>
  <c r="S11" i="70"/>
  <c r="T11" i="70"/>
  <c r="U11" i="70"/>
  <c r="V11" i="70"/>
  <c r="W11" i="70"/>
  <c r="X11" i="70"/>
  <c r="Y11" i="70"/>
  <c r="Z11" i="70"/>
  <c r="O12" i="70"/>
  <c r="P12" i="70"/>
  <c r="Q12" i="70"/>
  <c r="R12" i="70"/>
  <c r="S12" i="70"/>
  <c r="T12" i="70"/>
  <c r="U12" i="70"/>
  <c r="V12" i="70"/>
  <c r="W12" i="70"/>
  <c r="X12" i="70"/>
  <c r="Y12" i="70"/>
  <c r="Z12" i="70"/>
  <c r="AA12" i="70"/>
  <c r="O13" i="70"/>
  <c r="P13" i="70"/>
  <c r="Q13" i="70"/>
  <c r="R13" i="70"/>
  <c r="S13" i="70"/>
  <c r="T13" i="70"/>
  <c r="U13" i="70"/>
  <c r="V13" i="70"/>
  <c r="W13" i="70"/>
  <c r="X13" i="70"/>
  <c r="Y13" i="70"/>
  <c r="Z13" i="70"/>
  <c r="AA13" i="70"/>
  <c r="C10" i="70"/>
  <c r="D10" i="70"/>
  <c r="C9" i="70"/>
  <c r="C1" i="70"/>
  <c r="C2" i="70"/>
  <c r="C3" i="70"/>
  <c r="C4" i="70"/>
  <c r="C5" i="70"/>
  <c r="C6" i="70"/>
  <c r="C7" i="70"/>
  <c r="C8" i="70"/>
  <c r="E6" i="70"/>
  <c r="E4" i="70"/>
  <c r="F4" i="70"/>
  <c r="B3" i="70"/>
  <c r="B120" i="69"/>
  <c r="B114" i="69"/>
  <c r="B115" i="69"/>
  <c r="B116" i="69"/>
  <c r="B88" i="69"/>
  <c r="B89" i="69"/>
  <c r="B83" i="69"/>
  <c r="B84" i="69"/>
  <c r="B85" i="69"/>
  <c r="B55" i="69"/>
  <c r="B56" i="69"/>
  <c r="B50" i="69"/>
  <c r="B51" i="69"/>
  <c r="B52" i="69"/>
  <c r="AH36" i="69"/>
  <c r="AH37" i="69"/>
  <c r="AL37" i="69"/>
  <c r="AH38" i="69"/>
  <c r="AL38" i="69"/>
  <c r="AH41" i="69"/>
  <c r="AL41" i="69"/>
  <c r="AI42" i="69"/>
  <c r="AL42" i="69"/>
  <c r="AH43" i="69"/>
  <c r="AH44" i="69"/>
  <c r="AL44" i="69"/>
  <c r="AH45" i="69"/>
  <c r="AL45" i="69"/>
  <c r="AH47" i="69"/>
  <c r="AL47" i="69"/>
  <c r="AH49" i="69"/>
  <c r="AL49" i="69"/>
  <c r="AH50" i="69"/>
  <c r="AL50" i="69"/>
  <c r="AL53" i="69"/>
  <c r="AH54" i="69"/>
  <c r="AL54" i="69"/>
  <c r="AL56" i="69"/>
  <c r="AE35" i="69"/>
  <c r="AE36" i="69"/>
  <c r="AE37" i="69"/>
  <c r="AE38" i="69"/>
  <c r="AE39" i="69"/>
  <c r="AE40" i="69"/>
  <c r="AE41" i="69"/>
  <c r="AE42" i="69"/>
  <c r="AF42" i="69"/>
  <c r="AE43" i="69"/>
  <c r="AE44" i="69"/>
  <c r="AE45" i="69"/>
  <c r="AE46" i="69"/>
  <c r="AE47" i="69"/>
  <c r="AE48" i="69"/>
  <c r="AE49" i="69"/>
  <c r="AE50" i="69"/>
  <c r="AE51" i="69"/>
  <c r="AE52" i="69"/>
  <c r="AE53" i="69"/>
  <c r="AE54" i="69"/>
  <c r="AE55" i="69"/>
  <c r="AE56" i="69"/>
  <c r="AB42" i="69"/>
  <c r="AA47" i="69"/>
  <c r="AI47" i="69" s="1"/>
  <c r="AA53" i="69"/>
  <c r="AA56" i="69"/>
  <c r="AI56" i="69" s="1"/>
  <c r="I35" i="69"/>
  <c r="J35" i="69"/>
  <c r="L35" i="69"/>
  <c r="M35" i="69"/>
  <c r="N35" i="69"/>
  <c r="I36" i="69"/>
  <c r="AA36" i="69" s="1"/>
  <c r="J36" i="69"/>
  <c r="L36" i="69"/>
  <c r="M36" i="69"/>
  <c r="N36" i="69"/>
  <c r="I37" i="69"/>
  <c r="J37" i="69"/>
  <c r="L37" i="69"/>
  <c r="M37" i="69"/>
  <c r="N37" i="69"/>
  <c r="I38" i="69"/>
  <c r="J38" i="69"/>
  <c r="L38" i="69"/>
  <c r="M38" i="69"/>
  <c r="N38" i="69"/>
  <c r="I39" i="69"/>
  <c r="J39" i="69"/>
  <c r="L39" i="69"/>
  <c r="M39" i="69"/>
  <c r="N39" i="69"/>
  <c r="I40" i="69"/>
  <c r="AA40" i="69" s="1"/>
  <c r="J40" i="69"/>
  <c r="L40" i="69"/>
  <c r="M40" i="69"/>
  <c r="N40" i="69"/>
  <c r="I41" i="69"/>
  <c r="K41" i="69" s="1"/>
  <c r="J41" i="69"/>
  <c r="L41" i="69"/>
  <c r="M41" i="69"/>
  <c r="N41" i="69"/>
  <c r="I42" i="69"/>
  <c r="AA42" i="69" s="1"/>
  <c r="J42" i="69"/>
  <c r="K42" i="69"/>
  <c r="L42" i="69"/>
  <c r="M42" i="69"/>
  <c r="N42" i="69"/>
  <c r="I43" i="69"/>
  <c r="J43" i="69"/>
  <c r="L43" i="69"/>
  <c r="M43" i="69"/>
  <c r="N43" i="69"/>
  <c r="I44" i="69"/>
  <c r="K44" i="69" s="1"/>
  <c r="J44" i="69"/>
  <c r="L44" i="69"/>
  <c r="M44" i="69"/>
  <c r="N44" i="69"/>
  <c r="I45" i="69"/>
  <c r="K45" i="69" s="1"/>
  <c r="J45" i="69"/>
  <c r="L45" i="69"/>
  <c r="M45" i="69"/>
  <c r="N45" i="69"/>
  <c r="I46" i="69"/>
  <c r="AA46" i="69" s="1"/>
  <c r="AB46" i="69" s="1"/>
  <c r="J46" i="69"/>
  <c r="L46" i="69"/>
  <c r="M46" i="69"/>
  <c r="N46" i="69"/>
  <c r="I47" i="69"/>
  <c r="K47" i="69" s="1"/>
  <c r="J47" i="69"/>
  <c r="L47" i="69"/>
  <c r="M47" i="69"/>
  <c r="N47" i="69"/>
  <c r="I48" i="69"/>
  <c r="AA48" i="69" s="1"/>
  <c r="J48" i="69"/>
  <c r="L48" i="69"/>
  <c r="M48" i="69"/>
  <c r="N48" i="69"/>
  <c r="I49" i="69"/>
  <c r="AA49" i="69" s="1"/>
  <c r="J49" i="69"/>
  <c r="L49" i="69"/>
  <c r="M49" i="69"/>
  <c r="N49" i="69"/>
  <c r="I50" i="69"/>
  <c r="AA50" i="69" s="1"/>
  <c r="J50" i="69"/>
  <c r="K50" i="69"/>
  <c r="L50" i="69"/>
  <c r="M50" i="69"/>
  <c r="N50" i="69"/>
  <c r="I51" i="69"/>
  <c r="K51" i="69" s="1"/>
  <c r="J51" i="69"/>
  <c r="L51" i="69"/>
  <c r="M51" i="69"/>
  <c r="N51" i="69"/>
  <c r="I52" i="69"/>
  <c r="K52" i="69" s="1"/>
  <c r="J52" i="69"/>
  <c r="L52" i="69"/>
  <c r="M52" i="69"/>
  <c r="N52" i="69"/>
  <c r="I53" i="69"/>
  <c r="J53" i="69"/>
  <c r="K53" i="69"/>
  <c r="L53" i="69"/>
  <c r="M53" i="69"/>
  <c r="N53" i="69"/>
  <c r="I54" i="69"/>
  <c r="AA54" i="69" s="1"/>
  <c r="AF54" i="69" s="1"/>
  <c r="J54" i="69"/>
  <c r="L54" i="69"/>
  <c r="M54" i="69"/>
  <c r="N54" i="69"/>
  <c r="I55" i="69"/>
  <c r="K55" i="69" s="1"/>
  <c r="J55" i="69"/>
  <c r="L55" i="69"/>
  <c r="M55" i="69"/>
  <c r="N55" i="69"/>
  <c r="I56" i="69"/>
  <c r="K56" i="69" s="1"/>
  <c r="J56" i="69"/>
  <c r="L56" i="69"/>
  <c r="M56" i="69"/>
  <c r="N56" i="69"/>
  <c r="N33" i="69"/>
  <c r="N34" i="69"/>
  <c r="I33" i="69"/>
  <c r="J33" i="69"/>
  <c r="I34" i="69"/>
  <c r="J34" i="69"/>
  <c r="AG32" i="69"/>
  <c r="AL32" i="69" s="1"/>
  <c r="AD32" i="69"/>
  <c r="AK32" i="69" s="1"/>
  <c r="O32" i="69"/>
  <c r="P32" i="69"/>
  <c r="Q32" i="69"/>
  <c r="R32" i="69"/>
  <c r="S32" i="69"/>
  <c r="T32" i="69"/>
  <c r="U32" i="69"/>
  <c r="V32" i="69"/>
  <c r="W32" i="69"/>
  <c r="X32" i="69"/>
  <c r="Y32" i="69"/>
  <c r="Z32" i="69"/>
  <c r="AJ32" i="69" s="1"/>
  <c r="AJ31" i="69"/>
  <c r="AK31" i="69"/>
  <c r="AM31" i="69" s="1"/>
  <c r="AL31" i="69"/>
  <c r="AN31" i="69" s="1"/>
  <c r="AG31" i="69"/>
  <c r="AD31" i="69"/>
  <c r="O31" i="69"/>
  <c r="P31" i="69"/>
  <c r="Q31" i="69"/>
  <c r="R31" i="69"/>
  <c r="S31" i="69"/>
  <c r="T31" i="69"/>
  <c r="U31" i="69"/>
  <c r="V31" i="69"/>
  <c r="W31" i="69"/>
  <c r="X31" i="69"/>
  <c r="Y31" i="69"/>
  <c r="Z31" i="69"/>
  <c r="AA31" i="69"/>
  <c r="N26" i="69"/>
  <c r="N27" i="69"/>
  <c r="N28" i="69"/>
  <c r="N29" i="69"/>
  <c r="B22" i="69"/>
  <c r="B23" i="69"/>
  <c r="AG16" i="69"/>
  <c r="AG19" i="69"/>
  <c r="AH51" i="69" s="1"/>
  <c r="AG20" i="69"/>
  <c r="AL36" i="69" s="1"/>
  <c r="AD19" i="69"/>
  <c r="AD20" i="69"/>
  <c r="G19" i="69"/>
  <c r="G20" i="69"/>
  <c r="N19" i="69"/>
  <c r="O19" i="69"/>
  <c r="P19" i="69"/>
  <c r="Q19" i="69"/>
  <c r="R19" i="69"/>
  <c r="S19" i="69"/>
  <c r="T19" i="69"/>
  <c r="U19" i="69"/>
  <c r="V19" i="69"/>
  <c r="W19" i="69"/>
  <c r="X19" i="69"/>
  <c r="Y19" i="69"/>
  <c r="Z19" i="69"/>
  <c r="N20" i="69"/>
  <c r="O20" i="69"/>
  <c r="P20" i="69"/>
  <c r="Q20" i="69"/>
  <c r="R20" i="69"/>
  <c r="S20" i="69"/>
  <c r="T20" i="69"/>
  <c r="U20" i="69"/>
  <c r="V20" i="69"/>
  <c r="W20" i="69"/>
  <c r="X20" i="69"/>
  <c r="Y20" i="69"/>
  <c r="Z20" i="69"/>
  <c r="B17" i="69"/>
  <c r="B18" i="69"/>
  <c r="B19" i="69"/>
  <c r="O16" i="69"/>
  <c r="P16" i="69"/>
  <c r="Q16" i="69"/>
  <c r="R16" i="69"/>
  <c r="S16" i="69"/>
  <c r="T16" i="69"/>
  <c r="U16" i="69"/>
  <c r="V16" i="69"/>
  <c r="W16" i="69"/>
  <c r="X16" i="69"/>
  <c r="Y16" i="69"/>
  <c r="O17" i="69"/>
  <c r="P17" i="69"/>
  <c r="Q17" i="69"/>
  <c r="R17" i="69"/>
  <c r="S17" i="69"/>
  <c r="T17" i="69"/>
  <c r="U17" i="69"/>
  <c r="V17" i="69"/>
  <c r="W17" i="69"/>
  <c r="X17" i="69"/>
  <c r="Y17" i="69"/>
  <c r="Z17" i="69"/>
  <c r="AA17" i="69" s="1"/>
  <c r="AA11" i="69" s="1"/>
  <c r="A14" i="69"/>
  <c r="AG12" i="69"/>
  <c r="AG13" i="69"/>
  <c r="AD12" i="69"/>
  <c r="AD13" i="69"/>
  <c r="B12" i="69"/>
  <c r="B13" i="69"/>
  <c r="O11" i="69"/>
  <c r="P11" i="69"/>
  <c r="Q11" i="69"/>
  <c r="R11" i="69"/>
  <c r="S11" i="69"/>
  <c r="T11" i="69"/>
  <c r="U11" i="69"/>
  <c r="V11" i="69"/>
  <c r="W11" i="69"/>
  <c r="X11" i="69"/>
  <c r="Y11" i="69"/>
  <c r="Z11" i="69"/>
  <c r="O12" i="69"/>
  <c r="P12" i="69"/>
  <c r="Q12" i="69"/>
  <c r="R12" i="69"/>
  <c r="S12" i="69"/>
  <c r="T12" i="69"/>
  <c r="U12" i="69"/>
  <c r="V12" i="69"/>
  <c r="W12" i="69"/>
  <c r="X12" i="69"/>
  <c r="Y12" i="69"/>
  <c r="Z12" i="69"/>
  <c r="AA12" i="69"/>
  <c r="O13" i="69"/>
  <c r="P13" i="69"/>
  <c r="Q13" i="69"/>
  <c r="R13" i="69"/>
  <c r="S13" i="69"/>
  <c r="T13" i="69"/>
  <c r="U13" i="69"/>
  <c r="V13" i="69"/>
  <c r="W13" i="69"/>
  <c r="X13" i="69"/>
  <c r="Y13" i="69"/>
  <c r="Z13" i="69"/>
  <c r="AA13" i="69"/>
  <c r="C10" i="69"/>
  <c r="D10" i="69"/>
  <c r="C9" i="69"/>
  <c r="C1" i="69"/>
  <c r="C2" i="69"/>
  <c r="C3" i="69"/>
  <c r="C4" i="69"/>
  <c r="C5" i="69"/>
  <c r="C6" i="69"/>
  <c r="C7" i="69"/>
  <c r="C8" i="69"/>
  <c r="E6" i="69"/>
  <c r="B29" i="69" s="1"/>
  <c r="E4" i="69"/>
  <c r="F4" i="69"/>
  <c r="B3" i="69"/>
  <c r="AG118" i="68"/>
  <c r="AG119" i="68"/>
  <c r="AG120" i="68"/>
  <c r="AD118" i="68"/>
  <c r="AD119" i="68"/>
  <c r="AD120" i="68"/>
  <c r="O118" i="68"/>
  <c r="P118" i="68"/>
  <c r="Q118" i="68"/>
  <c r="R118" i="68"/>
  <c r="S118" i="68"/>
  <c r="T118" i="68"/>
  <c r="U118" i="68"/>
  <c r="V118" i="68"/>
  <c r="W118" i="68"/>
  <c r="X118" i="68"/>
  <c r="Y118" i="68"/>
  <c r="Z118" i="68"/>
  <c r="O119" i="68"/>
  <c r="P119" i="68"/>
  <c r="Q119" i="68"/>
  <c r="R119" i="68"/>
  <c r="S119" i="68"/>
  <c r="T119" i="68"/>
  <c r="U119" i="68"/>
  <c r="V119" i="68"/>
  <c r="W119" i="68"/>
  <c r="X119" i="68"/>
  <c r="Y119" i="68"/>
  <c r="Z119" i="68"/>
  <c r="O120" i="68"/>
  <c r="P120" i="68"/>
  <c r="Q120" i="68"/>
  <c r="R120" i="68"/>
  <c r="S120" i="68"/>
  <c r="T120" i="68"/>
  <c r="U120" i="68"/>
  <c r="V120" i="68"/>
  <c r="W120" i="68"/>
  <c r="X120" i="68"/>
  <c r="Y120" i="68"/>
  <c r="Z120" i="68"/>
  <c r="AA120" i="68"/>
  <c r="AI115" i="68"/>
  <c r="AF115" i="68"/>
  <c r="L115" i="68"/>
  <c r="M115" i="68"/>
  <c r="AG108" i="68"/>
  <c r="AG109" i="68"/>
  <c r="AH109" i="68" s="1"/>
  <c r="AG110" i="68"/>
  <c r="AG111" i="68"/>
  <c r="AH111" i="68" s="1"/>
  <c r="AD108" i="68"/>
  <c r="AD112" i="68" s="1"/>
  <c r="AD109" i="68"/>
  <c r="AD110" i="68"/>
  <c r="AD111" i="68"/>
  <c r="AE111" i="68" s="1"/>
  <c r="AH110" i="68"/>
  <c r="AE109" i="68"/>
  <c r="AE110" i="68"/>
  <c r="L108" i="68"/>
  <c r="M108" i="68"/>
  <c r="N108" i="68"/>
  <c r="O108" i="68"/>
  <c r="P108" i="68"/>
  <c r="P112" i="68" s="1"/>
  <c r="P113" i="68" s="1"/>
  <c r="Q108" i="68"/>
  <c r="R108" i="68"/>
  <c r="S108" i="68"/>
  <c r="T108" i="68"/>
  <c r="U108" i="68"/>
  <c r="U112" i="68" s="1"/>
  <c r="U113" i="68" s="1"/>
  <c r="V108" i="68"/>
  <c r="W108" i="68"/>
  <c r="X108" i="68"/>
  <c r="X112" i="68" s="1"/>
  <c r="X113" i="68" s="1"/>
  <c r="Y108" i="68"/>
  <c r="Z108" i="68"/>
  <c r="L109" i="68"/>
  <c r="M109" i="68"/>
  <c r="N109" i="68"/>
  <c r="O109" i="68"/>
  <c r="P109" i="68"/>
  <c r="Q109" i="68"/>
  <c r="R109" i="68"/>
  <c r="R112" i="68" s="1"/>
  <c r="R113" i="68" s="1"/>
  <c r="S109" i="68"/>
  <c r="T109" i="68"/>
  <c r="U109" i="68"/>
  <c r="V109" i="68"/>
  <c r="W109" i="68"/>
  <c r="X109" i="68"/>
  <c r="Y109" i="68"/>
  <c r="Z109" i="68"/>
  <c r="Z112" i="68" s="1"/>
  <c r="Z113" i="68" s="1"/>
  <c r="L110" i="68"/>
  <c r="M110" i="68"/>
  <c r="N110" i="68"/>
  <c r="O110" i="68"/>
  <c r="P110" i="68"/>
  <c r="Q110" i="68"/>
  <c r="R110" i="68"/>
  <c r="S110" i="68"/>
  <c r="T110" i="68"/>
  <c r="U110" i="68"/>
  <c r="V110" i="68"/>
  <c r="V112" i="68" s="1"/>
  <c r="V113" i="68" s="1"/>
  <c r="W110" i="68"/>
  <c r="X110" i="68"/>
  <c r="Y110" i="68"/>
  <c r="Y112" i="68" s="1"/>
  <c r="Y113" i="68" s="1"/>
  <c r="Z110" i="68"/>
  <c r="L111" i="68"/>
  <c r="M111" i="68"/>
  <c r="N111" i="68"/>
  <c r="O111" i="68"/>
  <c r="O112" i="68" s="1"/>
  <c r="P111" i="68"/>
  <c r="Q111" i="68"/>
  <c r="R111" i="68"/>
  <c r="S111" i="68"/>
  <c r="T111" i="68"/>
  <c r="U111" i="68"/>
  <c r="V111" i="68"/>
  <c r="W111" i="68"/>
  <c r="X111" i="68"/>
  <c r="Y111" i="68"/>
  <c r="Z111" i="68"/>
  <c r="L112" i="68"/>
  <c r="M112" i="68"/>
  <c r="N112" i="68"/>
  <c r="T112" i="68"/>
  <c r="T113" i="68" s="1"/>
  <c r="AH102" i="68"/>
  <c r="AH103" i="68"/>
  <c r="AH104" i="68"/>
  <c r="AH105" i="68"/>
  <c r="AH106" i="68"/>
  <c r="AE102" i="68"/>
  <c r="AE103" i="68"/>
  <c r="AE104" i="68"/>
  <c r="AE105" i="68"/>
  <c r="AE106" i="68"/>
  <c r="AA102" i="68"/>
  <c r="AB102" i="68" s="1"/>
  <c r="AA103" i="68"/>
  <c r="AA104" i="68"/>
  <c r="AA105" i="68"/>
  <c r="AI105" i="68" s="1"/>
  <c r="AA106" i="68"/>
  <c r="AF106" i="68" s="1"/>
  <c r="L102" i="68"/>
  <c r="M102" i="68"/>
  <c r="N102" i="68"/>
  <c r="L103" i="68"/>
  <c r="M103" i="68"/>
  <c r="N103" i="68"/>
  <c r="L104" i="68"/>
  <c r="M104" i="68"/>
  <c r="N104" i="68"/>
  <c r="L105" i="68"/>
  <c r="M105" i="68"/>
  <c r="N105" i="68"/>
  <c r="L106" i="68"/>
  <c r="M106" i="68"/>
  <c r="N106" i="68"/>
  <c r="AH95" i="68"/>
  <c r="AH96" i="68"/>
  <c r="AH97" i="68"/>
  <c r="AH98" i="68"/>
  <c r="AH99" i="68"/>
  <c r="AE95" i="68"/>
  <c r="AE96" i="68"/>
  <c r="AF96" i="68"/>
  <c r="AE97" i="68"/>
  <c r="AE98" i="68"/>
  <c r="AE99" i="68"/>
  <c r="AA95" i="68"/>
  <c r="AI95" i="68" s="1"/>
  <c r="AB95" i="68"/>
  <c r="AA96" i="68"/>
  <c r="AA97" i="68"/>
  <c r="AF97" i="68" s="1"/>
  <c r="AA98" i="68"/>
  <c r="AI98" i="68" s="1"/>
  <c r="AA99" i="68"/>
  <c r="AI99" i="68" s="1"/>
  <c r="L95" i="68"/>
  <c r="M95" i="68"/>
  <c r="N95" i="68"/>
  <c r="L96" i="68"/>
  <c r="M96" i="68"/>
  <c r="N96" i="68"/>
  <c r="L97" i="68"/>
  <c r="M97" i="68"/>
  <c r="N97" i="68"/>
  <c r="L98" i="68"/>
  <c r="M98" i="68"/>
  <c r="N98" i="68"/>
  <c r="L99" i="68"/>
  <c r="M99" i="68"/>
  <c r="N99" i="68"/>
  <c r="AH88" i="68"/>
  <c r="AH89" i="68"/>
  <c r="AH90" i="68"/>
  <c r="AH91" i="68"/>
  <c r="AH92" i="68"/>
  <c r="AI92" i="68"/>
  <c r="AE88" i="68"/>
  <c r="AE89" i="68"/>
  <c r="AE90" i="68"/>
  <c r="AE91" i="68"/>
  <c r="AE92" i="68"/>
  <c r="AF92" i="68"/>
  <c r="AA88" i="68"/>
  <c r="AI88" i="68" s="1"/>
  <c r="AA89" i="68"/>
  <c r="AA90" i="68"/>
  <c r="AI90" i="68" s="1"/>
  <c r="AA91" i="68"/>
  <c r="AF91" i="68" s="1"/>
  <c r="AA92" i="68"/>
  <c r="L88" i="68"/>
  <c r="M88" i="68"/>
  <c r="N88" i="68"/>
  <c r="L89" i="68"/>
  <c r="M89" i="68"/>
  <c r="N89" i="68"/>
  <c r="L90" i="68"/>
  <c r="M90" i="68"/>
  <c r="N90" i="68"/>
  <c r="L91" i="68"/>
  <c r="M91" i="68"/>
  <c r="N91" i="68"/>
  <c r="L92" i="68"/>
  <c r="M92" i="68"/>
  <c r="N92" i="68"/>
  <c r="AF82" i="68"/>
  <c r="AF83" i="68"/>
  <c r="AA82" i="68"/>
  <c r="AI82" i="68" s="1"/>
  <c r="AA83" i="68"/>
  <c r="AI83" i="68" s="1"/>
  <c r="AA84" i="68"/>
  <c r="AF84" i="68" s="1"/>
  <c r="N82" i="68"/>
  <c r="N118" i="68" s="1"/>
  <c r="N83" i="68"/>
  <c r="N119" i="68" s="1"/>
  <c r="N84" i="68"/>
  <c r="N120" i="68" s="1"/>
  <c r="AE82" i="68"/>
  <c r="AE83" i="68"/>
  <c r="L82" i="68"/>
  <c r="M82" i="68"/>
  <c r="L83" i="68"/>
  <c r="M83" i="68"/>
  <c r="I82" i="68"/>
  <c r="J82" i="68"/>
  <c r="I83" i="68"/>
  <c r="J83" i="68"/>
  <c r="I84" i="68"/>
  <c r="J84" i="68"/>
  <c r="AH80" i="68"/>
  <c r="AE80" i="68"/>
  <c r="AA80" i="68"/>
  <c r="AI80" i="68" s="1"/>
  <c r="L80" i="68"/>
  <c r="M80" i="68"/>
  <c r="N80" i="68"/>
  <c r="I80" i="68"/>
  <c r="J80" i="68"/>
  <c r="AG78" i="68"/>
  <c r="AH79" i="68" s="1"/>
  <c r="AD78" i="68"/>
  <c r="AE79" i="68" s="1"/>
  <c r="O78" i="68"/>
  <c r="O79" i="68" s="1"/>
  <c r="P78" i="68"/>
  <c r="P79" i="68" s="1"/>
  <c r="Q78" i="68"/>
  <c r="Q79" i="68" s="1"/>
  <c r="R78" i="68"/>
  <c r="R79" i="68" s="1"/>
  <c r="S78" i="68"/>
  <c r="S79" i="68" s="1"/>
  <c r="T78" i="68"/>
  <c r="U78" i="68"/>
  <c r="U79" i="68" s="1"/>
  <c r="V78" i="68"/>
  <c r="V79" i="68" s="1"/>
  <c r="W78" i="68"/>
  <c r="W79" i="68" s="1"/>
  <c r="X78" i="68"/>
  <c r="X79" i="68" s="1"/>
  <c r="Y78" i="68"/>
  <c r="Z78" i="68"/>
  <c r="Z79" i="68" s="1"/>
  <c r="T79" i="68"/>
  <c r="Y79" i="68"/>
  <c r="AI76" i="68"/>
  <c r="AF75" i="68"/>
  <c r="AA35" i="68"/>
  <c r="AA36" i="68"/>
  <c r="AA37" i="68"/>
  <c r="AA38" i="68"/>
  <c r="AA39" i="68"/>
  <c r="AA40" i="68"/>
  <c r="AI40" i="68" s="1"/>
  <c r="AA41" i="68"/>
  <c r="AA45" i="68"/>
  <c r="AA46" i="68"/>
  <c r="AA47" i="68"/>
  <c r="AA48" i="68"/>
  <c r="AI48" i="68" s="1"/>
  <c r="AA49" i="68"/>
  <c r="AA53" i="68" s="1"/>
  <c r="AA50" i="68"/>
  <c r="AA51" i="68"/>
  <c r="AI51" i="68" s="1"/>
  <c r="AA55" i="68"/>
  <c r="AA56" i="68"/>
  <c r="AI56" i="68" s="1"/>
  <c r="AA57" i="68"/>
  <c r="AI57" i="68" s="1"/>
  <c r="AA58" i="68"/>
  <c r="AA59" i="68"/>
  <c r="AF59" i="68" s="1"/>
  <c r="AA60" i="68"/>
  <c r="AA61" i="68"/>
  <c r="AB61" i="68" s="1"/>
  <c r="AA65" i="68"/>
  <c r="AA66" i="68"/>
  <c r="AA67" i="68"/>
  <c r="AF67" i="68" s="1"/>
  <c r="AA68" i="68"/>
  <c r="AF68" i="68" s="1"/>
  <c r="AA69" i="68"/>
  <c r="AF69" i="68" s="1"/>
  <c r="AA70" i="68"/>
  <c r="AF70" i="68" s="1"/>
  <c r="AA74" i="68"/>
  <c r="AI74" i="68" s="1"/>
  <c r="AA75" i="68"/>
  <c r="AA76" i="68"/>
  <c r="AF76" i="68" s="1"/>
  <c r="AH76" i="68"/>
  <c r="AE73" i="68"/>
  <c r="AE74" i="68"/>
  <c r="AE75" i="68"/>
  <c r="AE76" i="68"/>
  <c r="AB76" i="68"/>
  <c r="L74" i="68"/>
  <c r="M74" i="68"/>
  <c r="N74" i="68"/>
  <c r="L75" i="68"/>
  <c r="M75" i="68"/>
  <c r="N75" i="68"/>
  <c r="L76" i="68"/>
  <c r="M76" i="68"/>
  <c r="N76" i="68"/>
  <c r="L77" i="68"/>
  <c r="M77" i="68"/>
  <c r="N77" i="68"/>
  <c r="I74" i="68"/>
  <c r="J74" i="68"/>
  <c r="I75" i="68"/>
  <c r="J75" i="68"/>
  <c r="I76" i="68"/>
  <c r="J76" i="68"/>
  <c r="I77" i="68"/>
  <c r="J77" i="68"/>
  <c r="AG72" i="68"/>
  <c r="AH73" i="68" s="1"/>
  <c r="AD72" i="68"/>
  <c r="O72" i="68"/>
  <c r="O73" i="68" s="1"/>
  <c r="P72" i="68"/>
  <c r="P73" i="68" s="1"/>
  <c r="Q72" i="68"/>
  <c r="Q73" i="68" s="1"/>
  <c r="R72" i="68"/>
  <c r="R73" i="68" s="1"/>
  <c r="S72" i="68"/>
  <c r="S73" i="68" s="1"/>
  <c r="T72" i="68"/>
  <c r="T73" i="68" s="1"/>
  <c r="U72" i="68"/>
  <c r="V72" i="68"/>
  <c r="W72" i="68"/>
  <c r="W73" i="68" s="1"/>
  <c r="X72" i="68"/>
  <c r="X73" i="68" s="1"/>
  <c r="Y72" i="68"/>
  <c r="Y73" i="68" s="1"/>
  <c r="Z72" i="68"/>
  <c r="Z73" i="68" s="1"/>
  <c r="U73" i="68"/>
  <c r="V73" i="68"/>
  <c r="AI65" i="68"/>
  <c r="AI66" i="68"/>
  <c r="AI67" i="68"/>
  <c r="AF66" i="68"/>
  <c r="AH65" i="68"/>
  <c r="AH66" i="68"/>
  <c r="AH67" i="68"/>
  <c r="AH68" i="68"/>
  <c r="AH69" i="68"/>
  <c r="AH70" i="68"/>
  <c r="AE65" i="68"/>
  <c r="AE66" i="68"/>
  <c r="AE67" i="68"/>
  <c r="AE68" i="68"/>
  <c r="AE69" i="68"/>
  <c r="AE70" i="68"/>
  <c r="L65" i="68"/>
  <c r="M65" i="68"/>
  <c r="N65" i="68"/>
  <c r="L66" i="68"/>
  <c r="M66" i="68"/>
  <c r="N66" i="68"/>
  <c r="L67" i="68"/>
  <c r="M67" i="68"/>
  <c r="N67" i="68"/>
  <c r="L68" i="68"/>
  <c r="M68" i="68"/>
  <c r="N68" i="68"/>
  <c r="L69" i="68"/>
  <c r="M69" i="68"/>
  <c r="N69" i="68"/>
  <c r="L70" i="68"/>
  <c r="M70" i="68"/>
  <c r="N70" i="68"/>
  <c r="L71" i="68"/>
  <c r="M71" i="68"/>
  <c r="N71" i="68"/>
  <c r="I65" i="68"/>
  <c r="J65" i="68"/>
  <c r="I66" i="68"/>
  <c r="J66" i="68"/>
  <c r="I67" i="68"/>
  <c r="J67" i="68"/>
  <c r="I68" i="68"/>
  <c r="J68" i="68"/>
  <c r="I69" i="68"/>
  <c r="J69" i="68"/>
  <c r="I70" i="68"/>
  <c r="J70" i="68"/>
  <c r="I71" i="68"/>
  <c r="J71" i="68"/>
  <c r="AG63" i="68"/>
  <c r="AH64" i="68" s="1"/>
  <c r="AD63" i="68"/>
  <c r="AE64" i="68" s="1"/>
  <c r="O63" i="68"/>
  <c r="O64" i="68" s="1"/>
  <c r="P63" i="68"/>
  <c r="P64" i="68" s="1"/>
  <c r="Q63" i="68"/>
  <c r="Q64" i="68" s="1"/>
  <c r="R63" i="68"/>
  <c r="R64" i="68" s="1"/>
  <c r="S63" i="68"/>
  <c r="S64" i="68" s="1"/>
  <c r="T63" i="68"/>
  <c r="T64" i="68" s="1"/>
  <c r="U63" i="68"/>
  <c r="V63" i="68"/>
  <c r="V64" i="68" s="1"/>
  <c r="W63" i="68"/>
  <c r="W64" i="68" s="1"/>
  <c r="X63" i="68"/>
  <c r="X64" i="68" s="1"/>
  <c r="Y63" i="68"/>
  <c r="Y64" i="68" s="1"/>
  <c r="Z63" i="68"/>
  <c r="Z64" i="68" s="1"/>
  <c r="U64" i="68"/>
  <c r="AI55" i="68"/>
  <c r="AI58" i="68"/>
  <c r="AI60" i="68"/>
  <c r="AF55" i="68"/>
  <c r="AF58" i="68"/>
  <c r="AF60" i="68"/>
  <c r="AH61" i="68"/>
  <c r="AE61" i="68"/>
  <c r="AH55" i="68"/>
  <c r="AH56" i="68"/>
  <c r="AH57" i="68"/>
  <c r="AH58" i="68"/>
  <c r="AH59" i="68"/>
  <c r="AE55" i="68"/>
  <c r="AE56" i="68"/>
  <c r="AE57" i="68"/>
  <c r="AE58" i="68"/>
  <c r="AE59" i="68"/>
  <c r="L55" i="68"/>
  <c r="M55" i="68"/>
  <c r="N55" i="68"/>
  <c r="L56" i="68"/>
  <c r="M56" i="68"/>
  <c r="N56" i="68"/>
  <c r="L57" i="68"/>
  <c r="M57" i="68"/>
  <c r="N57" i="68"/>
  <c r="L58" i="68"/>
  <c r="M58" i="68"/>
  <c r="N58" i="68"/>
  <c r="L59" i="68"/>
  <c r="M59" i="68"/>
  <c r="N59" i="68"/>
  <c r="L60" i="68"/>
  <c r="M60" i="68"/>
  <c r="N60" i="68"/>
  <c r="L61" i="68"/>
  <c r="M61" i="68"/>
  <c r="N61" i="68"/>
  <c r="L62" i="68"/>
  <c r="M62" i="68"/>
  <c r="N62" i="68"/>
  <c r="I55" i="68"/>
  <c r="J55" i="68"/>
  <c r="I56" i="68"/>
  <c r="J56" i="68"/>
  <c r="I57" i="68"/>
  <c r="J57" i="68"/>
  <c r="I58" i="68"/>
  <c r="J58" i="68"/>
  <c r="I59" i="68"/>
  <c r="J59" i="68"/>
  <c r="I60" i="68"/>
  <c r="J60" i="68"/>
  <c r="I61" i="68"/>
  <c r="J61" i="68"/>
  <c r="I62" i="68"/>
  <c r="J62" i="68"/>
  <c r="AG53" i="68"/>
  <c r="AH54" i="68" s="1"/>
  <c r="AD53" i="68"/>
  <c r="AE54" i="68" s="1"/>
  <c r="O53" i="68"/>
  <c r="P53" i="68"/>
  <c r="P54" i="68" s="1"/>
  <c r="Q53" i="68"/>
  <c r="R53" i="68"/>
  <c r="R54" i="68" s="1"/>
  <c r="S53" i="68"/>
  <c r="T53" i="68"/>
  <c r="T54" i="68" s="1"/>
  <c r="U53" i="68"/>
  <c r="U54" i="68" s="1"/>
  <c r="V53" i="68"/>
  <c r="V54" i="68" s="1"/>
  <c r="W53" i="68"/>
  <c r="X53" i="68"/>
  <c r="X54" i="68" s="1"/>
  <c r="Y53" i="68"/>
  <c r="Y54" i="68" s="1"/>
  <c r="Z53" i="68"/>
  <c r="Z54" i="68" s="1"/>
  <c r="O54" i="68"/>
  <c r="Q54" i="68"/>
  <c r="S54" i="68"/>
  <c r="W54" i="68"/>
  <c r="AI46" i="68"/>
  <c r="AI50" i="68"/>
  <c r="AF46" i="68"/>
  <c r="AF50" i="68"/>
  <c r="AF51" i="68"/>
  <c r="AH51" i="68"/>
  <c r="AE51" i="68"/>
  <c r="AB51" i="68"/>
  <c r="AH46" i="68"/>
  <c r="AH47" i="68"/>
  <c r="AH48" i="68"/>
  <c r="AE44" i="68"/>
  <c r="AE45" i="68"/>
  <c r="AE46" i="68"/>
  <c r="AE47" i="68"/>
  <c r="AE48" i="68"/>
  <c r="AE49" i="68"/>
  <c r="L45" i="68"/>
  <c r="M45" i="68"/>
  <c r="N45" i="68"/>
  <c r="L46" i="68"/>
  <c r="M46" i="68"/>
  <c r="N46" i="68"/>
  <c r="L47" i="68"/>
  <c r="M47" i="68"/>
  <c r="N47" i="68"/>
  <c r="L48" i="68"/>
  <c r="M48" i="68"/>
  <c r="N48" i="68"/>
  <c r="L49" i="68"/>
  <c r="M49" i="68"/>
  <c r="N49" i="68"/>
  <c r="L50" i="68"/>
  <c r="M50" i="68"/>
  <c r="N50" i="68"/>
  <c r="L51" i="68"/>
  <c r="M51" i="68"/>
  <c r="N51" i="68"/>
  <c r="L52" i="68"/>
  <c r="M52" i="68"/>
  <c r="N52" i="68"/>
  <c r="I45" i="68"/>
  <c r="J45" i="68"/>
  <c r="I46" i="68"/>
  <c r="J46" i="68"/>
  <c r="I47" i="68"/>
  <c r="J47" i="68"/>
  <c r="I48" i="68"/>
  <c r="J48" i="68"/>
  <c r="I49" i="68"/>
  <c r="J49" i="68"/>
  <c r="I50" i="68"/>
  <c r="J50" i="68"/>
  <c r="I51" i="68"/>
  <c r="J51" i="68"/>
  <c r="I52" i="68"/>
  <c r="J52" i="68"/>
  <c r="AG43" i="68"/>
  <c r="AH44" i="68" s="1"/>
  <c r="AD43" i="68"/>
  <c r="O43" i="68"/>
  <c r="P43" i="68"/>
  <c r="P44" i="68" s="1"/>
  <c r="Q43" i="68"/>
  <c r="Q44" i="68" s="1"/>
  <c r="R43" i="68"/>
  <c r="S43" i="68"/>
  <c r="S44" i="68" s="1"/>
  <c r="T43" i="68"/>
  <c r="T44" i="68" s="1"/>
  <c r="U43" i="68"/>
  <c r="U44" i="68" s="1"/>
  <c r="V43" i="68"/>
  <c r="V44" i="68" s="1"/>
  <c r="W43" i="68"/>
  <c r="X43" i="68"/>
  <c r="X44" i="68" s="1"/>
  <c r="Y43" i="68"/>
  <c r="Y44" i="68" s="1"/>
  <c r="Z43" i="68"/>
  <c r="O44" i="68"/>
  <c r="R44" i="68"/>
  <c r="W44" i="68"/>
  <c r="Z44" i="68"/>
  <c r="AI35" i="68"/>
  <c r="AI37" i="68"/>
  <c r="AI39" i="68"/>
  <c r="AI41" i="68"/>
  <c r="AF35" i="68"/>
  <c r="AF37" i="68"/>
  <c r="AF39" i="68"/>
  <c r="AH41" i="68"/>
  <c r="AE41" i="68"/>
  <c r="AH36" i="68"/>
  <c r="AH37" i="68"/>
  <c r="AH38" i="68"/>
  <c r="AE35" i="68"/>
  <c r="AE36" i="68"/>
  <c r="AE37" i="68"/>
  <c r="AE38" i="68"/>
  <c r="AE39" i="68"/>
  <c r="AB37" i="68"/>
  <c r="AB38" i="68"/>
  <c r="L35" i="68"/>
  <c r="M35" i="68"/>
  <c r="N35" i="68"/>
  <c r="L36" i="68"/>
  <c r="M36" i="68"/>
  <c r="N36" i="68"/>
  <c r="L37" i="68"/>
  <c r="M37" i="68"/>
  <c r="N37" i="68"/>
  <c r="L38" i="68"/>
  <c r="M38" i="68"/>
  <c r="N38" i="68"/>
  <c r="L39" i="68"/>
  <c r="M39" i="68"/>
  <c r="N39" i="68"/>
  <c r="L40" i="68"/>
  <c r="M40" i="68"/>
  <c r="N40" i="68"/>
  <c r="L41" i="68"/>
  <c r="M41" i="68"/>
  <c r="N41" i="68"/>
  <c r="L42" i="68"/>
  <c r="M42" i="68"/>
  <c r="N42" i="68"/>
  <c r="I35" i="68"/>
  <c r="J35" i="68"/>
  <c r="I36" i="68"/>
  <c r="J36" i="68"/>
  <c r="I37" i="68"/>
  <c r="J37" i="68"/>
  <c r="I38" i="68"/>
  <c r="J38" i="68"/>
  <c r="I39" i="68"/>
  <c r="J39" i="68"/>
  <c r="I40" i="68"/>
  <c r="J40" i="68"/>
  <c r="I41" i="68"/>
  <c r="J41" i="68"/>
  <c r="I42" i="68"/>
  <c r="J42" i="68"/>
  <c r="AG32" i="68"/>
  <c r="AD32" i="68"/>
  <c r="O32" i="68"/>
  <c r="P32" i="68"/>
  <c r="Q32" i="68"/>
  <c r="R32" i="68"/>
  <c r="S32" i="68"/>
  <c r="T32" i="68"/>
  <c r="U32" i="68"/>
  <c r="V32" i="68"/>
  <c r="W32" i="68"/>
  <c r="X32" i="68"/>
  <c r="Y32" i="68"/>
  <c r="Z32" i="68"/>
  <c r="AG31" i="68"/>
  <c r="AD31" i="68"/>
  <c r="O31" i="68"/>
  <c r="P31" i="68"/>
  <c r="Q31" i="68"/>
  <c r="R31" i="68"/>
  <c r="S31" i="68"/>
  <c r="T31" i="68"/>
  <c r="U31" i="68"/>
  <c r="V31" i="68"/>
  <c r="W31" i="68"/>
  <c r="X31" i="68"/>
  <c r="Y31" i="68"/>
  <c r="Z31" i="68"/>
  <c r="AA31" i="68"/>
  <c r="N26" i="68"/>
  <c r="N27" i="68"/>
  <c r="N28" i="68"/>
  <c r="N29" i="68"/>
  <c r="B23" i="68"/>
  <c r="AG16" i="68"/>
  <c r="AG19" i="68"/>
  <c r="AG21" i="68"/>
  <c r="AD19" i="68"/>
  <c r="AD115" i="68" s="1"/>
  <c r="AD21" i="68"/>
  <c r="G19" i="68"/>
  <c r="G20" i="68"/>
  <c r="N19" i="68"/>
  <c r="O19" i="68"/>
  <c r="P19" i="68"/>
  <c r="P115" i="68" s="1"/>
  <c r="Q19" i="68"/>
  <c r="Q115" i="68" s="1"/>
  <c r="R19" i="68"/>
  <c r="S19" i="68"/>
  <c r="T19" i="68"/>
  <c r="T115" i="68" s="1"/>
  <c r="U19" i="68"/>
  <c r="U115" i="68" s="1"/>
  <c r="V19" i="68"/>
  <c r="V115" i="68" s="1"/>
  <c r="W19" i="68"/>
  <c r="X19" i="68"/>
  <c r="X115" i="68" s="1"/>
  <c r="Y19" i="68"/>
  <c r="Y115" i="68" s="1"/>
  <c r="Z19" i="68"/>
  <c r="N20" i="68"/>
  <c r="O20" i="68"/>
  <c r="P20" i="68"/>
  <c r="Q20" i="68"/>
  <c r="R20" i="68"/>
  <c r="S20" i="68"/>
  <c r="T20" i="68"/>
  <c r="U20" i="68"/>
  <c r="V20" i="68"/>
  <c r="W20" i="68"/>
  <c r="X20" i="68"/>
  <c r="Y20" i="68"/>
  <c r="Z20" i="68"/>
  <c r="N21" i="68"/>
  <c r="O21" i="68"/>
  <c r="O115" i="68" s="1"/>
  <c r="P21" i="68"/>
  <c r="Q21" i="68"/>
  <c r="R21" i="68"/>
  <c r="R115" i="68" s="1"/>
  <c r="S21" i="68"/>
  <c r="T21" i="68"/>
  <c r="U21" i="68"/>
  <c r="V21" i="68"/>
  <c r="W21" i="68"/>
  <c r="W115" i="68" s="1"/>
  <c r="X21" i="68"/>
  <c r="Y21" i="68"/>
  <c r="Z21" i="68"/>
  <c r="Z115" i="68" s="1"/>
  <c r="AA21" i="68"/>
  <c r="B17" i="68"/>
  <c r="B18" i="68"/>
  <c r="B19" i="68"/>
  <c r="O16" i="68"/>
  <c r="P16" i="68"/>
  <c r="Q16" i="68"/>
  <c r="R16" i="68"/>
  <c r="S16" i="68"/>
  <c r="T16" i="68"/>
  <c r="U16" i="68"/>
  <c r="V16" i="68"/>
  <c r="W16" i="68"/>
  <c r="X16" i="68"/>
  <c r="Y16" i="68"/>
  <c r="O17" i="68"/>
  <c r="P17" i="68"/>
  <c r="Q17" i="68"/>
  <c r="R17" i="68"/>
  <c r="S17" i="68"/>
  <c r="T17" i="68"/>
  <c r="U17" i="68"/>
  <c r="V17" i="68"/>
  <c r="W17" i="68"/>
  <c r="X17" i="68"/>
  <c r="Y17" i="68"/>
  <c r="Z17" i="68"/>
  <c r="AA17" i="68" s="1"/>
  <c r="AA11" i="68" s="1"/>
  <c r="AA18" i="68" s="1"/>
  <c r="A14" i="68"/>
  <c r="AG12" i="68"/>
  <c r="AG13" i="68"/>
  <c r="AD12" i="68"/>
  <c r="AD13" i="68"/>
  <c r="B12" i="68"/>
  <c r="B13" i="68"/>
  <c r="O11" i="68"/>
  <c r="P11" i="68"/>
  <c r="Q11" i="68"/>
  <c r="R11" i="68"/>
  <c r="S11" i="68"/>
  <c r="T11" i="68"/>
  <c r="U11" i="68"/>
  <c r="V11" i="68"/>
  <c r="W11" i="68"/>
  <c r="X11" i="68"/>
  <c r="Y11" i="68"/>
  <c r="Z11" i="68"/>
  <c r="O12" i="68"/>
  <c r="P12" i="68"/>
  <c r="Q12" i="68"/>
  <c r="R12" i="68"/>
  <c r="S12" i="68"/>
  <c r="T12" i="68"/>
  <c r="U12" i="68"/>
  <c r="V12" i="68"/>
  <c r="W12" i="68"/>
  <c r="X12" i="68"/>
  <c r="Y12" i="68"/>
  <c r="Z12" i="68"/>
  <c r="AA12" i="68"/>
  <c r="O13" i="68"/>
  <c r="P13" i="68"/>
  <c r="Q13" i="68"/>
  <c r="R13" i="68"/>
  <c r="S13" i="68"/>
  <c r="T13" i="68"/>
  <c r="U13" i="68"/>
  <c r="V13" i="68"/>
  <c r="W13" i="68"/>
  <c r="X13" i="68"/>
  <c r="Y13" i="68"/>
  <c r="Z13" i="68"/>
  <c r="AA13" i="68"/>
  <c r="C10" i="68"/>
  <c r="D10" i="68"/>
  <c r="Z16" i="68" s="1"/>
  <c r="C9" i="68"/>
  <c r="C1" i="68"/>
  <c r="C2" i="68"/>
  <c r="C3" i="68"/>
  <c r="C4" i="68"/>
  <c r="C5" i="68"/>
  <c r="C6" i="68"/>
  <c r="C7" i="68"/>
  <c r="C8" i="68"/>
  <c r="E6" i="68"/>
  <c r="E4" i="68"/>
  <c r="F4" i="68"/>
  <c r="B3" i="68"/>
  <c r="B120" i="67"/>
  <c r="B114" i="67"/>
  <c r="B115" i="67"/>
  <c r="B116" i="67"/>
  <c r="B88" i="67"/>
  <c r="B89" i="67"/>
  <c r="B83" i="67"/>
  <c r="B84" i="67"/>
  <c r="B85" i="67"/>
  <c r="B55" i="67"/>
  <c r="B56" i="67"/>
  <c r="B50" i="67"/>
  <c r="B51" i="67"/>
  <c r="B52" i="67"/>
  <c r="AH37" i="67"/>
  <c r="AH38" i="67"/>
  <c r="AH39" i="67"/>
  <c r="AH41" i="67"/>
  <c r="AK41" i="67"/>
  <c r="AH42" i="67"/>
  <c r="AH43" i="67"/>
  <c r="AH44" i="67"/>
  <c r="AH45" i="67"/>
  <c r="AH46" i="67"/>
  <c r="AK46" i="67"/>
  <c r="AH47" i="67"/>
  <c r="AH49" i="67"/>
  <c r="AK49" i="67"/>
  <c r="AH51" i="67"/>
  <c r="AH53" i="67"/>
  <c r="AH54" i="67"/>
  <c r="AK54" i="67"/>
  <c r="AE35" i="67"/>
  <c r="AE36" i="67"/>
  <c r="AE37" i="67"/>
  <c r="AE38" i="67"/>
  <c r="AE39" i="67"/>
  <c r="AE40" i="67"/>
  <c r="AE41" i="67"/>
  <c r="AE42" i="67"/>
  <c r="AE43" i="67"/>
  <c r="AE44" i="67"/>
  <c r="AE45" i="67"/>
  <c r="AE46" i="67"/>
  <c r="AE47" i="67"/>
  <c r="AE48" i="67"/>
  <c r="AE49" i="67"/>
  <c r="AE50" i="67"/>
  <c r="AE51" i="67"/>
  <c r="AE52" i="67"/>
  <c r="AE53" i="67"/>
  <c r="AE54" i="67"/>
  <c r="AE55" i="67"/>
  <c r="AE56" i="67"/>
  <c r="I35" i="67"/>
  <c r="J35" i="67"/>
  <c r="L35" i="67"/>
  <c r="M35" i="67"/>
  <c r="N35" i="67"/>
  <c r="I36" i="67"/>
  <c r="K36" i="67" s="1"/>
  <c r="J36" i="67"/>
  <c r="L36" i="67"/>
  <c r="M36" i="67"/>
  <c r="N36" i="67"/>
  <c r="I37" i="67"/>
  <c r="AA37" i="67" s="1"/>
  <c r="J37" i="67"/>
  <c r="L37" i="67"/>
  <c r="M37" i="67"/>
  <c r="N37" i="67"/>
  <c r="I38" i="67"/>
  <c r="AA38" i="67" s="1"/>
  <c r="J38" i="67"/>
  <c r="K38" i="67"/>
  <c r="L38" i="67"/>
  <c r="M38" i="67"/>
  <c r="N38" i="67"/>
  <c r="I39" i="67"/>
  <c r="AA39" i="67" s="1"/>
  <c r="J39" i="67"/>
  <c r="L39" i="67"/>
  <c r="M39" i="67"/>
  <c r="N39" i="67"/>
  <c r="I40" i="67"/>
  <c r="K40" i="67" s="1"/>
  <c r="J40" i="67"/>
  <c r="L40" i="67"/>
  <c r="M40" i="67"/>
  <c r="N40" i="67"/>
  <c r="I41" i="67"/>
  <c r="AA41" i="67" s="1"/>
  <c r="J41" i="67"/>
  <c r="K41" i="67"/>
  <c r="L41" i="67"/>
  <c r="M41" i="67"/>
  <c r="N41" i="67"/>
  <c r="I42" i="67"/>
  <c r="J42" i="67"/>
  <c r="L42" i="67"/>
  <c r="M42" i="67"/>
  <c r="N42" i="67"/>
  <c r="I43" i="67"/>
  <c r="AA43" i="67" s="1"/>
  <c r="J43" i="67"/>
  <c r="K43" i="67"/>
  <c r="L43" i="67"/>
  <c r="M43" i="67"/>
  <c r="N43" i="67"/>
  <c r="I44" i="67"/>
  <c r="K44" i="67" s="1"/>
  <c r="J44" i="67"/>
  <c r="L44" i="67"/>
  <c r="M44" i="67"/>
  <c r="N44" i="67"/>
  <c r="I45" i="67"/>
  <c r="AA45" i="67" s="1"/>
  <c r="J45" i="67"/>
  <c r="K45" i="67"/>
  <c r="L45" i="67"/>
  <c r="M45" i="67"/>
  <c r="N45" i="67"/>
  <c r="I46" i="67"/>
  <c r="AA46" i="67" s="1"/>
  <c r="J46" i="67"/>
  <c r="L46" i="67"/>
  <c r="M46" i="67"/>
  <c r="N46" i="67"/>
  <c r="I47" i="67"/>
  <c r="J47" i="67"/>
  <c r="L47" i="67"/>
  <c r="M47" i="67"/>
  <c r="N47" i="67"/>
  <c r="I48" i="67"/>
  <c r="K48" i="67" s="1"/>
  <c r="J48" i="67"/>
  <c r="L48" i="67"/>
  <c r="M48" i="67"/>
  <c r="N48" i="67"/>
  <c r="I49" i="67"/>
  <c r="J49" i="67"/>
  <c r="L49" i="67"/>
  <c r="M49" i="67"/>
  <c r="N49" i="67"/>
  <c r="I50" i="67"/>
  <c r="AA50" i="67" s="1"/>
  <c r="J50" i="67"/>
  <c r="K50" i="67"/>
  <c r="L50" i="67"/>
  <c r="M50" i="67"/>
  <c r="N50" i="67"/>
  <c r="I51" i="67"/>
  <c r="AA51" i="67" s="1"/>
  <c r="J51" i="67"/>
  <c r="L51" i="67"/>
  <c r="M51" i="67"/>
  <c r="N51" i="67"/>
  <c r="I52" i="67"/>
  <c r="K52" i="67" s="1"/>
  <c r="J52" i="67"/>
  <c r="L52" i="67"/>
  <c r="M52" i="67"/>
  <c r="N52" i="67"/>
  <c r="I53" i="67"/>
  <c r="AA53" i="67" s="1"/>
  <c r="J53" i="67"/>
  <c r="L53" i="67"/>
  <c r="M53" i="67"/>
  <c r="N53" i="67"/>
  <c r="I54" i="67"/>
  <c r="J54" i="67"/>
  <c r="L54" i="67"/>
  <c r="M54" i="67"/>
  <c r="N54" i="67"/>
  <c r="I55" i="67"/>
  <c r="AA55" i="67" s="1"/>
  <c r="J55" i="67"/>
  <c r="L55" i="67"/>
  <c r="M55" i="67"/>
  <c r="N55" i="67"/>
  <c r="I56" i="67"/>
  <c r="K56" i="67" s="1"/>
  <c r="J56" i="67"/>
  <c r="L56" i="67"/>
  <c r="M56" i="67"/>
  <c r="N56" i="67"/>
  <c r="N33" i="67"/>
  <c r="N34" i="67"/>
  <c r="I33" i="67"/>
  <c r="J33" i="67"/>
  <c r="I34" i="67"/>
  <c r="J34" i="67"/>
  <c r="AG32" i="67"/>
  <c r="AL32" i="67" s="1"/>
  <c r="AD32" i="67"/>
  <c r="AK32" i="67" s="1"/>
  <c r="O32" i="67"/>
  <c r="P32" i="67"/>
  <c r="Q32" i="67"/>
  <c r="R32" i="67"/>
  <c r="S32" i="67"/>
  <c r="T32" i="67"/>
  <c r="U32" i="67"/>
  <c r="V32" i="67"/>
  <c r="W32" i="67"/>
  <c r="X32" i="67"/>
  <c r="Y32" i="67"/>
  <c r="Z32" i="67"/>
  <c r="AJ32" i="67" s="1"/>
  <c r="AJ31" i="67"/>
  <c r="AK31" i="67"/>
  <c r="AM31" i="67" s="1"/>
  <c r="AL31" i="67"/>
  <c r="AN31" i="67" s="1"/>
  <c r="AG31" i="67"/>
  <c r="AD31" i="67"/>
  <c r="O31" i="67"/>
  <c r="P31" i="67"/>
  <c r="Q31" i="67"/>
  <c r="R31" i="67"/>
  <c r="S31" i="67"/>
  <c r="T31" i="67"/>
  <c r="U31" i="67"/>
  <c r="V31" i="67"/>
  <c r="W31" i="67"/>
  <c r="X31" i="67"/>
  <c r="Y31" i="67"/>
  <c r="Z31" i="67"/>
  <c r="AA31" i="67"/>
  <c r="N26" i="67"/>
  <c r="N27" i="67"/>
  <c r="N28" i="67"/>
  <c r="N29" i="67"/>
  <c r="B22" i="67"/>
  <c r="B23" i="67"/>
  <c r="AG16" i="67"/>
  <c r="AG19" i="67"/>
  <c r="AH40" i="67" s="1"/>
  <c r="AG20" i="67"/>
  <c r="AD19" i="67"/>
  <c r="AD20" i="67"/>
  <c r="AK36" i="67" s="1"/>
  <c r="G19" i="67"/>
  <c r="G20" i="67"/>
  <c r="N19" i="67"/>
  <c r="O19" i="67"/>
  <c r="P19" i="67"/>
  <c r="Q19" i="67"/>
  <c r="R19" i="67"/>
  <c r="S19" i="67"/>
  <c r="T19" i="67"/>
  <c r="U19" i="67"/>
  <c r="V19" i="67"/>
  <c r="W19" i="67"/>
  <c r="X19" i="67"/>
  <c r="Y19" i="67"/>
  <c r="Z19" i="67"/>
  <c r="N20" i="67"/>
  <c r="O20" i="67"/>
  <c r="P20" i="67"/>
  <c r="Q20" i="67"/>
  <c r="R20" i="67"/>
  <c r="S20" i="67"/>
  <c r="T20" i="67"/>
  <c r="U20" i="67"/>
  <c r="V20" i="67"/>
  <c r="W20" i="67"/>
  <c r="X20" i="67"/>
  <c r="Y20" i="67"/>
  <c r="Z20" i="67"/>
  <c r="B17" i="67"/>
  <c r="B18" i="67"/>
  <c r="B19" i="67"/>
  <c r="O16" i="67"/>
  <c r="P16" i="67"/>
  <c r="Q16" i="67"/>
  <c r="R16" i="67"/>
  <c r="S16" i="67"/>
  <c r="T16" i="67"/>
  <c r="U16" i="67"/>
  <c r="V16" i="67"/>
  <c r="W16" i="67"/>
  <c r="X16" i="67"/>
  <c r="Y16" i="67"/>
  <c r="O17" i="67"/>
  <c r="P17" i="67"/>
  <c r="Q17" i="67"/>
  <c r="R17" i="67"/>
  <c r="S17" i="67"/>
  <c r="T17" i="67"/>
  <c r="U17" i="67"/>
  <c r="V17" i="67"/>
  <c r="W17" i="67"/>
  <c r="X17" i="67"/>
  <c r="Y17" i="67"/>
  <c r="Z17" i="67"/>
  <c r="AA17" i="67" s="1"/>
  <c r="A14" i="67"/>
  <c r="AG12" i="67"/>
  <c r="AG13" i="67"/>
  <c r="AD12" i="67"/>
  <c r="AD13" i="67"/>
  <c r="B12" i="67"/>
  <c r="B13" i="67"/>
  <c r="O11" i="67"/>
  <c r="P11" i="67"/>
  <c r="Q11" i="67"/>
  <c r="R11" i="67"/>
  <c r="S11" i="67"/>
  <c r="T11" i="67"/>
  <c r="U11" i="67"/>
  <c r="V11" i="67"/>
  <c r="W11" i="67"/>
  <c r="X11" i="67"/>
  <c r="Y11" i="67"/>
  <c r="Z11" i="67"/>
  <c r="AA11" i="67"/>
  <c r="O12" i="67"/>
  <c r="P12" i="67"/>
  <c r="Q12" i="67"/>
  <c r="R12" i="67"/>
  <c r="S12" i="67"/>
  <c r="T12" i="67"/>
  <c r="U12" i="67"/>
  <c r="V12" i="67"/>
  <c r="W12" i="67"/>
  <c r="X12" i="67"/>
  <c r="Y12" i="67"/>
  <c r="Z12" i="67"/>
  <c r="AA12" i="67"/>
  <c r="O13" i="67"/>
  <c r="P13" i="67"/>
  <c r="Q13" i="67"/>
  <c r="R13" i="67"/>
  <c r="S13" i="67"/>
  <c r="T13" i="67"/>
  <c r="U13" i="67"/>
  <c r="V13" i="67"/>
  <c r="W13" i="67"/>
  <c r="X13" i="67"/>
  <c r="Y13" i="67"/>
  <c r="Z13" i="67"/>
  <c r="AA13" i="67"/>
  <c r="C10" i="67"/>
  <c r="D10" i="67"/>
  <c r="C9" i="67"/>
  <c r="C1" i="67"/>
  <c r="C2" i="67"/>
  <c r="C3" i="67"/>
  <c r="C4" i="67"/>
  <c r="C5" i="67"/>
  <c r="C6" i="67"/>
  <c r="C7" i="67"/>
  <c r="C8" i="67"/>
  <c r="E6" i="67"/>
  <c r="B62" i="67" s="1"/>
  <c r="E4" i="67"/>
  <c r="F4" i="67"/>
  <c r="B3" i="67"/>
  <c r="AG139" i="66"/>
  <c r="AG140" i="66"/>
  <c r="AG141" i="66"/>
  <c r="AG142" i="66"/>
  <c r="AD139" i="66"/>
  <c r="AD140" i="66"/>
  <c r="AD141" i="66"/>
  <c r="AD142" i="66"/>
  <c r="N141" i="66"/>
  <c r="O139" i="66"/>
  <c r="P139" i="66"/>
  <c r="Q139" i="66"/>
  <c r="R139" i="66"/>
  <c r="S139" i="66"/>
  <c r="T139" i="66"/>
  <c r="U139" i="66"/>
  <c r="V139" i="66"/>
  <c r="W139" i="66"/>
  <c r="X139" i="66"/>
  <c r="Y139" i="66"/>
  <c r="Z139" i="66"/>
  <c r="O140" i="66"/>
  <c r="P140" i="66"/>
  <c r="Q140" i="66"/>
  <c r="R140" i="66"/>
  <c r="S140" i="66"/>
  <c r="T140" i="66"/>
  <c r="U140" i="66"/>
  <c r="V140" i="66"/>
  <c r="W140" i="66"/>
  <c r="X140" i="66"/>
  <c r="Y140" i="66"/>
  <c r="Z140" i="66"/>
  <c r="O141" i="66"/>
  <c r="P141" i="66"/>
  <c r="Q141" i="66"/>
  <c r="R141" i="66"/>
  <c r="S141" i="66"/>
  <c r="T141" i="66"/>
  <c r="U141" i="66"/>
  <c r="V141" i="66"/>
  <c r="W141" i="66"/>
  <c r="X141" i="66"/>
  <c r="Y141" i="66"/>
  <c r="Z141" i="66"/>
  <c r="O142" i="66"/>
  <c r="P142" i="66"/>
  <c r="Q142" i="66"/>
  <c r="R142" i="66"/>
  <c r="S142" i="66"/>
  <c r="T142" i="66"/>
  <c r="U142" i="66"/>
  <c r="V142" i="66"/>
  <c r="W142" i="66"/>
  <c r="X142" i="66"/>
  <c r="Y142" i="66"/>
  <c r="Z142" i="66"/>
  <c r="AI127" i="66"/>
  <c r="AI129" i="66"/>
  <c r="AI131" i="66"/>
  <c r="AI133" i="66"/>
  <c r="AI134" i="66"/>
  <c r="AI135" i="66"/>
  <c r="AG137" i="66"/>
  <c r="AD137" i="66"/>
  <c r="O137" i="66"/>
  <c r="P137" i="66"/>
  <c r="Q137" i="66"/>
  <c r="R137" i="66"/>
  <c r="S137" i="66"/>
  <c r="T137" i="66"/>
  <c r="U137" i="66"/>
  <c r="V137" i="66"/>
  <c r="W137" i="66"/>
  <c r="X137" i="66"/>
  <c r="Y137" i="66"/>
  <c r="Z137" i="66"/>
  <c r="AA137" i="66"/>
  <c r="AI137" i="66" s="1"/>
  <c r="AH136" i="66"/>
  <c r="AE136" i="66"/>
  <c r="AA136" i="66"/>
  <c r="AF136" i="66" s="1"/>
  <c r="AB136" i="66"/>
  <c r="AF127" i="66"/>
  <c r="AF129" i="66"/>
  <c r="AF131" i="66"/>
  <c r="AF133" i="66"/>
  <c r="AF134" i="66"/>
  <c r="AF135" i="66"/>
  <c r="AH134" i="66"/>
  <c r="AE134" i="66"/>
  <c r="AA134" i="66"/>
  <c r="AB134" i="66"/>
  <c r="AH132" i="66"/>
  <c r="AE132" i="66"/>
  <c r="AA132" i="66"/>
  <c r="AI132" i="66" s="1"/>
  <c r="AB132" i="66"/>
  <c r="AH130" i="66"/>
  <c r="AE130" i="66"/>
  <c r="AA130" i="66"/>
  <c r="AF130" i="66" s="1"/>
  <c r="AB130" i="66"/>
  <c r="AH128" i="66"/>
  <c r="AE128" i="66"/>
  <c r="AA128" i="66"/>
  <c r="AI128" i="66" s="1"/>
  <c r="AB128" i="66"/>
  <c r="AH126" i="66"/>
  <c r="AE126" i="66"/>
  <c r="AA126" i="66"/>
  <c r="AB126" i="66"/>
  <c r="L126" i="66"/>
  <c r="M126" i="66"/>
  <c r="N126" i="66"/>
  <c r="L127" i="66"/>
  <c r="M127" i="66"/>
  <c r="N127" i="66"/>
  <c r="L128" i="66"/>
  <c r="M128" i="66"/>
  <c r="N128" i="66"/>
  <c r="L129" i="66"/>
  <c r="M129" i="66"/>
  <c r="N129" i="66"/>
  <c r="L130" i="66"/>
  <c r="M130" i="66"/>
  <c r="N130" i="66"/>
  <c r="L131" i="66"/>
  <c r="M131" i="66"/>
  <c r="N131" i="66"/>
  <c r="L132" i="66"/>
  <c r="M132" i="66"/>
  <c r="N132" i="66"/>
  <c r="L133" i="66"/>
  <c r="M133" i="66"/>
  <c r="N133" i="66"/>
  <c r="L134" i="66"/>
  <c r="M134" i="66"/>
  <c r="N134" i="66"/>
  <c r="L135" i="66"/>
  <c r="M135" i="66"/>
  <c r="N135" i="66"/>
  <c r="L136" i="66"/>
  <c r="M136" i="66"/>
  <c r="N136" i="66"/>
  <c r="N125" i="66"/>
  <c r="AG118" i="66"/>
  <c r="AG122" i="66" s="1"/>
  <c r="AG119" i="66"/>
  <c r="AG120" i="66"/>
  <c r="AG121" i="66"/>
  <c r="AD118" i="66"/>
  <c r="AE118" i="66" s="1"/>
  <c r="AD119" i="66"/>
  <c r="AE119" i="66" s="1"/>
  <c r="AD120" i="66"/>
  <c r="AE120" i="66" s="1"/>
  <c r="AD121" i="66"/>
  <c r="AH121" i="66"/>
  <c r="AE121" i="66"/>
  <c r="L118" i="66"/>
  <c r="M118" i="66"/>
  <c r="N118" i="66"/>
  <c r="O118" i="66"/>
  <c r="P118" i="66"/>
  <c r="Q118" i="66"/>
  <c r="R118" i="66"/>
  <c r="S118" i="66"/>
  <c r="T118" i="66"/>
  <c r="U118" i="66"/>
  <c r="U122" i="66" s="1"/>
  <c r="U123" i="66" s="1"/>
  <c r="V118" i="66"/>
  <c r="W118" i="66"/>
  <c r="X118" i="66"/>
  <c r="Y118" i="66"/>
  <c r="Z118" i="66"/>
  <c r="L119" i="66"/>
  <c r="M119" i="66"/>
  <c r="N119" i="66"/>
  <c r="O119" i="66"/>
  <c r="P119" i="66"/>
  <c r="Q119" i="66"/>
  <c r="R119" i="66"/>
  <c r="S119" i="66"/>
  <c r="T119" i="66"/>
  <c r="U119" i="66"/>
  <c r="V119" i="66"/>
  <c r="W119" i="66"/>
  <c r="X119" i="66"/>
  <c r="Y119" i="66"/>
  <c r="Z119" i="66"/>
  <c r="L120" i="66"/>
  <c r="M120" i="66"/>
  <c r="N120" i="66"/>
  <c r="O120" i="66"/>
  <c r="P120" i="66"/>
  <c r="Q120" i="66"/>
  <c r="R120" i="66"/>
  <c r="R122" i="66" s="1"/>
  <c r="R123" i="66" s="1"/>
  <c r="S120" i="66"/>
  <c r="T120" i="66"/>
  <c r="U120" i="66"/>
  <c r="V120" i="66"/>
  <c r="W120" i="66"/>
  <c r="X120" i="66"/>
  <c r="Y120" i="66"/>
  <c r="Z120" i="66"/>
  <c r="Z122" i="66" s="1"/>
  <c r="Z123" i="66" s="1"/>
  <c r="L121" i="66"/>
  <c r="M121" i="66"/>
  <c r="N121" i="66"/>
  <c r="O121" i="66"/>
  <c r="P121" i="66"/>
  <c r="Q121" i="66"/>
  <c r="R121" i="66"/>
  <c r="S121" i="66"/>
  <c r="S122" i="66" s="1"/>
  <c r="S123" i="66" s="1"/>
  <c r="T121" i="66"/>
  <c r="U121" i="66"/>
  <c r="V121" i="66"/>
  <c r="W121" i="66"/>
  <c r="X121" i="66"/>
  <c r="Y121" i="66"/>
  <c r="Z121" i="66"/>
  <c r="L122" i="66"/>
  <c r="M122" i="66"/>
  <c r="N122" i="66"/>
  <c r="AH113" i="66"/>
  <c r="AH115" i="66"/>
  <c r="AE112" i="66"/>
  <c r="AE113" i="66"/>
  <c r="AF113" i="66"/>
  <c r="AE115" i="66"/>
  <c r="AA112" i="66"/>
  <c r="AF112" i="66" s="1"/>
  <c r="AB112" i="66"/>
  <c r="AA113" i="66"/>
  <c r="AI113" i="66" s="1"/>
  <c r="AA114" i="66"/>
  <c r="AI114" i="66" s="1"/>
  <c r="AA115" i="66"/>
  <c r="AI115" i="66" s="1"/>
  <c r="AA116" i="66"/>
  <c r="AF116" i="66" s="1"/>
  <c r="L112" i="66"/>
  <c r="M112" i="66"/>
  <c r="N112" i="66"/>
  <c r="L113" i="66"/>
  <c r="M113" i="66"/>
  <c r="N113" i="66"/>
  <c r="L114" i="66"/>
  <c r="M114" i="66"/>
  <c r="N114" i="66"/>
  <c r="L115" i="66"/>
  <c r="M115" i="66"/>
  <c r="N115" i="66"/>
  <c r="L116" i="66"/>
  <c r="M116" i="66"/>
  <c r="N116" i="66"/>
  <c r="AH105" i="66"/>
  <c r="AH108" i="66"/>
  <c r="AH109" i="66"/>
  <c r="AE105" i="66"/>
  <c r="AF105" i="66"/>
  <c r="AE106" i="66"/>
  <c r="AE108" i="66"/>
  <c r="AF109" i="66"/>
  <c r="AA105" i="66"/>
  <c r="AB105" i="66" s="1"/>
  <c r="AA106" i="66"/>
  <c r="AA107" i="66"/>
  <c r="AI107" i="66" s="1"/>
  <c r="AA108" i="66"/>
  <c r="AI108" i="66" s="1"/>
  <c r="AA109" i="66"/>
  <c r="L105" i="66"/>
  <c r="M105" i="66"/>
  <c r="N105" i="66"/>
  <c r="L106" i="66"/>
  <c r="M106" i="66"/>
  <c r="N106" i="66"/>
  <c r="L107" i="66"/>
  <c r="M107" i="66"/>
  <c r="N107" i="66"/>
  <c r="L108" i="66"/>
  <c r="M108" i="66"/>
  <c r="N108" i="66"/>
  <c r="L109" i="66"/>
  <c r="M109" i="66"/>
  <c r="N109" i="66"/>
  <c r="AH98" i="66"/>
  <c r="AH101" i="66"/>
  <c r="AE98" i="66"/>
  <c r="AE99" i="66"/>
  <c r="AE100" i="66"/>
  <c r="AE101" i="66"/>
  <c r="AA98" i="66"/>
  <c r="AA99" i="66"/>
  <c r="AI99" i="66" s="1"/>
  <c r="AA100" i="66"/>
  <c r="AI100" i="66" s="1"/>
  <c r="AA101" i="66"/>
  <c r="AF101" i="66" s="1"/>
  <c r="AA102" i="66"/>
  <c r="L98" i="66"/>
  <c r="M98" i="66"/>
  <c r="N98" i="66"/>
  <c r="L99" i="66"/>
  <c r="M99" i="66"/>
  <c r="N99" i="66"/>
  <c r="L100" i="66"/>
  <c r="M100" i="66"/>
  <c r="N100" i="66"/>
  <c r="L101" i="66"/>
  <c r="M101" i="66"/>
  <c r="N101" i="66"/>
  <c r="L102" i="66"/>
  <c r="M102" i="66"/>
  <c r="N102" i="66"/>
  <c r="AI90" i="66"/>
  <c r="AD92" i="66"/>
  <c r="AD93" i="66"/>
  <c r="AD94" i="66"/>
  <c r="AG92" i="66"/>
  <c r="AG93" i="66"/>
  <c r="AG94" i="66"/>
  <c r="O92" i="66"/>
  <c r="P92" i="66"/>
  <c r="Q92" i="66"/>
  <c r="R92" i="66"/>
  <c r="S92" i="66"/>
  <c r="T92" i="66"/>
  <c r="U92" i="66"/>
  <c r="V92" i="66"/>
  <c r="W92" i="66"/>
  <c r="X92" i="66"/>
  <c r="Y92" i="66"/>
  <c r="Z92" i="66"/>
  <c r="O93" i="66"/>
  <c r="P93" i="66"/>
  <c r="Q93" i="66"/>
  <c r="R93" i="66"/>
  <c r="S93" i="66"/>
  <c r="T93" i="66"/>
  <c r="U93" i="66"/>
  <c r="V93" i="66"/>
  <c r="W93" i="66"/>
  <c r="X93" i="66"/>
  <c r="Y93" i="66"/>
  <c r="Z93" i="66"/>
  <c r="O94" i="66"/>
  <c r="P94" i="66"/>
  <c r="Q94" i="66"/>
  <c r="R94" i="66"/>
  <c r="S94" i="66"/>
  <c r="T94" i="66"/>
  <c r="U94" i="66"/>
  <c r="V94" i="66"/>
  <c r="W94" i="66"/>
  <c r="X94" i="66"/>
  <c r="Y94" i="66"/>
  <c r="Z94" i="66"/>
  <c r="AF91" i="66"/>
  <c r="AA89" i="66"/>
  <c r="AA90" i="66"/>
  <c r="AF90" i="66" s="1"/>
  <c r="AA91" i="66"/>
  <c r="AI91" i="66" s="1"/>
  <c r="N89" i="66"/>
  <c r="N90" i="66"/>
  <c r="N91" i="66"/>
  <c r="I89" i="66"/>
  <c r="J89" i="66"/>
  <c r="I90" i="66"/>
  <c r="J90" i="66"/>
  <c r="I91" i="66"/>
  <c r="J91" i="66"/>
  <c r="AI83" i="66"/>
  <c r="AA82" i="66"/>
  <c r="AA83" i="66"/>
  <c r="AF83" i="66" s="1"/>
  <c r="AA84" i="66"/>
  <c r="N82" i="66"/>
  <c r="N139" i="66" s="1"/>
  <c r="N83" i="66"/>
  <c r="N84" i="66"/>
  <c r="N140" i="66" s="1"/>
  <c r="N85" i="66"/>
  <c r="N86" i="66"/>
  <c r="L82" i="66"/>
  <c r="M82" i="66"/>
  <c r="L83" i="66"/>
  <c r="M83" i="66"/>
  <c r="L84" i="66"/>
  <c r="M84" i="66"/>
  <c r="I82" i="66"/>
  <c r="J82" i="66"/>
  <c r="I83" i="66"/>
  <c r="J83" i="66"/>
  <c r="I84" i="66"/>
  <c r="J84" i="66"/>
  <c r="I85" i="66"/>
  <c r="J85" i="66"/>
  <c r="I86" i="66"/>
  <c r="J86" i="66"/>
  <c r="AH80" i="66"/>
  <c r="AI80" i="66"/>
  <c r="AE80" i="66"/>
  <c r="AA80" i="66"/>
  <c r="AB80" i="66" s="1"/>
  <c r="L80" i="66"/>
  <c r="M80" i="66"/>
  <c r="N80" i="66"/>
  <c r="I80" i="66"/>
  <c r="J80" i="66"/>
  <c r="AG78" i="66"/>
  <c r="AH79" i="66" s="1"/>
  <c r="AD78" i="66"/>
  <c r="AE79" i="66" s="1"/>
  <c r="O78" i="66"/>
  <c r="O79" i="66" s="1"/>
  <c r="P78" i="66"/>
  <c r="P79" i="66" s="1"/>
  <c r="Q78" i="66"/>
  <c r="Q79" i="66" s="1"/>
  <c r="R78" i="66"/>
  <c r="R79" i="66" s="1"/>
  <c r="S78" i="66"/>
  <c r="T78" i="66"/>
  <c r="T79" i="66" s="1"/>
  <c r="U78" i="66"/>
  <c r="U79" i="66" s="1"/>
  <c r="V78" i="66"/>
  <c r="V79" i="66" s="1"/>
  <c r="W78" i="66"/>
  <c r="W79" i="66" s="1"/>
  <c r="X78" i="66"/>
  <c r="X79" i="66" s="1"/>
  <c r="Y78" i="66"/>
  <c r="Y79" i="66" s="1"/>
  <c r="Z78" i="66"/>
  <c r="S79" i="66"/>
  <c r="Z79" i="66"/>
  <c r="AF76" i="66"/>
  <c r="AA35" i="66"/>
  <c r="AA36" i="66"/>
  <c r="AF36" i="66" s="1"/>
  <c r="AA37" i="66"/>
  <c r="AA38" i="66"/>
  <c r="AA39" i="66"/>
  <c r="AA40" i="66"/>
  <c r="AF40" i="66" s="1"/>
  <c r="AA41" i="66"/>
  <c r="AA42" i="66"/>
  <c r="AF42" i="66" s="1"/>
  <c r="AA43" i="66"/>
  <c r="AA45" i="66"/>
  <c r="AA46" i="66"/>
  <c r="AF46" i="66" s="1"/>
  <c r="AA47" i="66"/>
  <c r="AI47" i="66" s="1"/>
  <c r="AA48" i="66"/>
  <c r="AB48" i="66" s="1"/>
  <c r="AA49" i="66"/>
  <c r="AA53" i="66" s="1"/>
  <c r="AA50" i="66"/>
  <c r="AA51" i="66"/>
  <c r="AA55" i="66"/>
  <c r="AA56" i="66"/>
  <c r="AA57" i="66"/>
  <c r="AA58" i="66"/>
  <c r="AI58" i="66" s="1"/>
  <c r="AA59" i="66"/>
  <c r="AA60" i="66"/>
  <c r="AF60" i="66" s="1"/>
  <c r="AA61" i="66"/>
  <c r="AA65" i="66"/>
  <c r="AF65" i="66" s="1"/>
  <c r="AA66" i="66"/>
  <c r="AF66" i="66" s="1"/>
  <c r="AA67" i="66"/>
  <c r="AA68" i="66"/>
  <c r="AA69" i="66"/>
  <c r="AA70" i="66"/>
  <c r="AA71" i="66"/>
  <c r="AA74" i="66"/>
  <c r="AI74" i="66" s="1"/>
  <c r="AA75" i="66"/>
  <c r="AA76" i="66"/>
  <c r="AI76" i="66" s="1"/>
  <c r="AH76" i="66"/>
  <c r="AE73" i="66"/>
  <c r="AE74" i="66"/>
  <c r="AE75" i="66"/>
  <c r="AE76" i="66"/>
  <c r="AB76" i="66"/>
  <c r="L74" i="66"/>
  <c r="M74" i="66"/>
  <c r="N74" i="66"/>
  <c r="L75" i="66"/>
  <c r="M75" i="66"/>
  <c r="N75" i="66"/>
  <c r="L76" i="66"/>
  <c r="M76" i="66"/>
  <c r="N76" i="66"/>
  <c r="L77" i="66"/>
  <c r="M77" i="66"/>
  <c r="N77" i="66"/>
  <c r="I74" i="66"/>
  <c r="J74" i="66"/>
  <c r="I75" i="66"/>
  <c r="J75" i="66"/>
  <c r="I76" i="66"/>
  <c r="J76" i="66"/>
  <c r="I77" i="66"/>
  <c r="J77" i="66"/>
  <c r="AG72" i="66"/>
  <c r="AH73" i="66" s="1"/>
  <c r="AD72" i="66"/>
  <c r="O72" i="66"/>
  <c r="O73" i="66" s="1"/>
  <c r="P72" i="66"/>
  <c r="P73" i="66" s="1"/>
  <c r="Q72" i="66"/>
  <c r="Q73" i="66" s="1"/>
  <c r="R72" i="66"/>
  <c r="R73" i="66" s="1"/>
  <c r="S72" i="66"/>
  <c r="T72" i="66"/>
  <c r="U72" i="66"/>
  <c r="V72" i="66"/>
  <c r="W72" i="66"/>
  <c r="W73" i="66" s="1"/>
  <c r="X72" i="66"/>
  <c r="X73" i="66" s="1"/>
  <c r="Y72" i="66"/>
  <c r="Y73" i="66" s="1"/>
  <c r="Z72" i="66"/>
  <c r="Z73" i="66" s="1"/>
  <c r="S73" i="66"/>
  <c r="T73" i="66"/>
  <c r="U73" i="66"/>
  <c r="V73" i="66"/>
  <c r="AI65" i="66"/>
  <c r="AI66" i="66"/>
  <c r="AI68" i="66"/>
  <c r="AI70" i="66"/>
  <c r="AF68" i="66"/>
  <c r="AF69" i="66"/>
  <c r="AF70" i="66"/>
  <c r="AH66" i="66"/>
  <c r="AH67" i="66"/>
  <c r="AH68" i="66"/>
  <c r="AH70" i="66"/>
  <c r="AE65" i="66"/>
  <c r="AE66" i="66"/>
  <c r="AE67" i="66"/>
  <c r="AE68" i="66"/>
  <c r="AE69" i="66"/>
  <c r="AE70" i="66"/>
  <c r="L65" i="66"/>
  <c r="M65" i="66"/>
  <c r="N65" i="66"/>
  <c r="L66" i="66"/>
  <c r="M66" i="66"/>
  <c r="N66" i="66"/>
  <c r="L67" i="66"/>
  <c r="M67" i="66"/>
  <c r="N67" i="66"/>
  <c r="L68" i="66"/>
  <c r="M68" i="66"/>
  <c r="N68" i="66"/>
  <c r="L69" i="66"/>
  <c r="M69" i="66"/>
  <c r="N69" i="66"/>
  <c r="L70" i="66"/>
  <c r="M70" i="66"/>
  <c r="N70" i="66"/>
  <c r="L71" i="66"/>
  <c r="M71" i="66"/>
  <c r="N71" i="66"/>
  <c r="I65" i="66"/>
  <c r="J65" i="66"/>
  <c r="I66" i="66"/>
  <c r="J66" i="66"/>
  <c r="I67" i="66"/>
  <c r="J67" i="66"/>
  <c r="I68" i="66"/>
  <c r="J68" i="66"/>
  <c r="I69" i="66"/>
  <c r="J69" i="66"/>
  <c r="I70" i="66"/>
  <c r="J70" i="66"/>
  <c r="I71" i="66"/>
  <c r="J71" i="66"/>
  <c r="AG63" i="66"/>
  <c r="AH64" i="66" s="1"/>
  <c r="AD63" i="66"/>
  <c r="AE64" i="66" s="1"/>
  <c r="O63" i="66"/>
  <c r="O64" i="66" s="1"/>
  <c r="P63" i="66"/>
  <c r="Q63" i="66"/>
  <c r="Q64" i="66" s="1"/>
  <c r="R63" i="66"/>
  <c r="R64" i="66" s="1"/>
  <c r="S63" i="66"/>
  <c r="S64" i="66" s="1"/>
  <c r="T63" i="66"/>
  <c r="T64" i="66" s="1"/>
  <c r="U63" i="66"/>
  <c r="V63" i="66"/>
  <c r="W63" i="66"/>
  <c r="W64" i="66" s="1"/>
  <c r="X63" i="66"/>
  <c r="Y63" i="66"/>
  <c r="Y64" i="66" s="1"/>
  <c r="Z63" i="66"/>
  <c r="Z64" i="66" s="1"/>
  <c r="P64" i="66"/>
  <c r="U64" i="66"/>
  <c r="V64" i="66"/>
  <c r="X64" i="66"/>
  <c r="AI57" i="66"/>
  <c r="AI61" i="66"/>
  <c r="AF57" i="66"/>
  <c r="AF61" i="66"/>
  <c r="AH61" i="66"/>
  <c r="AE61" i="66"/>
  <c r="AH54" i="66"/>
  <c r="AH59" i="66"/>
  <c r="L55" i="66"/>
  <c r="M55" i="66"/>
  <c r="N55" i="66"/>
  <c r="L56" i="66"/>
  <c r="M56" i="66"/>
  <c r="N56" i="66"/>
  <c r="L57" i="66"/>
  <c r="M57" i="66"/>
  <c r="N57" i="66"/>
  <c r="L58" i="66"/>
  <c r="M58" i="66"/>
  <c r="N58" i="66"/>
  <c r="L59" i="66"/>
  <c r="M59" i="66"/>
  <c r="N59" i="66"/>
  <c r="L60" i="66"/>
  <c r="M60" i="66"/>
  <c r="N60" i="66"/>
  <c r="L61" i="66"/>
  <c r="M61" i="66"/>
  <c r="N61" i="66"/>
  <c r="L62" i="66"/>
  <c r="M62" i="66"/>
  <c r="N62" i="66"/>
  <c r="I55" i="66"/>
  <c r="J55" i="66"/>
  <c r="I56" i="66"/>
  <c r="J56" i="66"/>
  <c r="I57" i="66"/>
  <c r="J57" i="66"/>
  <c r="I58" i="66"/>
  <c r="J58" i="66"/>
  <c r="I59" i="66"/>
  <c r="J59" i="66"/>
  <c r="I60" i="66"/>
  <c r="J60" i="66"/>
  <c r="I61" i="66"/>
  <c r="J61" i="66"/>
  <c r="I62" i="66"/>
  <c r="J62" i="66"/>
  <c r="AG53" i="66"/>
  <c r="AD53" i="66"/>
  <c r="AE54" i="66" s="1"/>
  <c r="O53" i="66"/>
  <c r="P53" i="66"/>
  <c r="P54" i="66" s="1"/>
  <c r="Q53" i="66"/>
  <c r="R53" i="66"/>
  <c r="R54" i="66" s="1"/>
  <c r="S53" i="66"/>
  <c r="S54" i="66" s="1"/>
  <c r="T53" i="66"/>
  <c r="T54" i="66" s="1"/>
  <c r="U53" i="66"/>
  <c r="U54" i="66" s="1"/>
  <c r="V53" i="66"/>
  <c r="W53" i="66"/>
  <c r="X53" i="66"/>
  <c r="X54" i="66" s="1"/>
  <c r="Y53" i="66"/>
  <c r="Y54" i="66" s="1"/>
  <c r="Z53" i="66"/>
  <c r="Z54" i="66" s="1"/>
  <c r="O54" i="66"/>
  <c r="Q54" i="66"/>
  <c r="V54" i="66"/>
  <c r="W54" i="66"/>
  <c r="AI45" i="66"/>
  <c r="AI46" i="66"/>
  <c r="AI49" i="66"/>
  <c r="AI50" i="66"/>
  <c r="AF45" i="66"/>
  <c r="AF50" i="66"/>
  <c r="AH51" i="66"/>
  <c r="AE51" i="66"/>
  <c r="AH45" i="66"/>
  <c r="AH48" i="66"/>
  <c r="AE46" i="66"/>
  <c r="AE47" i="66"/>
  <c r="AE48" i="66"/>
  <c r="L45" i="66"/>
  <c r="M45" i="66"/>
  <c r="N45" i="66"/>
  <c r="L46" i="66"/>
  <c r="M46" i="66"/>
  <c r="N46" i="66"/>
  <c r="L47" i="66"/>
  <c r="M47" i="66"/>
  <c r="N47" i="66"/>
  <c r="L48" i="66"/>
  <c r="M48" i="66"/>
  <c r="N48" i="66"/>
  <c r="L49" i="66"/>
  <c r="M49" i="66"/>
  <c r="N49" i="66"/>
  <c r="L50" i="66"/>
  <c r="M50" i="66"/>
  <c r="N50" i="66"/>
  <c r="L51" i="66"/>
  <c r="M51" i="66"/>
  <c r="N51" i="66"/>
  <c r="L52" i="66"/>
  <c r="M52" i="66"/>
  <c r="N52" i="66"/>
  <c r="I45" i="66"/>
  <c r="J45" i="66"/>
  <c r="I46" i="66"/>
  <c r="J46" i="66"/>
  <c r="I47" i="66"/>
  <c r="J47" i="66"/>
  <c r="I48" i="66"/>
  <c r="J48" i="66"/>
  <c r="I49" i="66"/>
  <c r="J49" i="66"/>
  <c r="I50" i="66"/>
  <c r="J50" i="66"/>
  <c r="I51" i="66"/>
  <c r="J51" i="66"/>
  <c r="I52" i="66"/>
  <c r="J52" i="66"/>
  <c r="AG43" i="66"/>
  <c r="AH44" i="66" s="1"/>
  <c r="AD43" i="66"/>
  <c r="AE44" i="66" s="1"/>
  <c r="O43" i="66"/>
  <c r="P43" i="66"/>
  <c r="P44" i="66" s="1"/>
  <c r="Q43" i="66"/>
  <c r="Q44" i="66" s="1"/>
  <c r="R43" i="66"/>
  <c r="R44" i="66" s="1"/>
  <c r="S43" i="66"/>
  <c r="S44" i="66" s="1"/>
  <c r="T43" i="66"/>
  <c r="T44" i="66" s="1"/>
  <c r="U43" i="66"/>
  <c r="V43" i="66"/>
  <c r="V44" i="66" s="1"/>
  <c r="W43" i="66"/>
  <c r="X43" i="66"/>
  <c r="X44" i="66" s="1"/>
  <c r="Y43" i="66"/>
  <c r="Y44" i="66" s="1"/>
  <c r="Z43" i="66"/>
  <c r="Z44" i="66" s="1"/>
  <c r="O44" i="66"/>
  <c r="U44" i="66"/>
  <c r="W44" i="66"/>
  <c r="AI36" i="66"/>
  <c r="AI37" i="66"/>
  <c r="AI39" i="66"/>
  <c r="AI41" i="66"/>
  <c r="AF37" i="66"/>
  <c r="AF38" i="66"/>
  <c r="AF39" i="66"/>
  <c r="AF41" i="66"/>
  <c r="AH41" i="66"/>
  <c r="AE41" i="66"/>
  <c r="AB41" i="66"/>
  <c r="AH36" i="66"/>
  <c r="AH37" i="66"/>
  <c r="AE36" i="66"/>
  <c r="AE37" i="66"/>
  <c r="AE38" i="66"/>
  <c r="AB37" i="66"/>
  <c r="L35" i="66"/>
  <c r="M35" i="66"/>
  <c r="N35" i="66"/>
  <c r="L36" i="66"/>
  <c r="M36" i="66"/>
  <c r="N36" i="66"/>
  <c r="L37" i="66"/>
  <c r="M37" i="66"/>
  <c r="N37" i="66"/>
  <c r="L38" i="66"/>
  <c r="M38" i="66"/>
  <c r="N38" i="66"/>
  <c r="L39" i="66"/>
  <c r="M39" i="66"/>
  <c r="N39" i="66"/>
  <c r="L40" i="66"/>
  <c r="M40" i="66"/>
  <c r="N40" i="66"/>
  <c r="L41" i="66"/>
  <c r="M41" i="66"/>
  <c r="N41" i="66"/>
  <c r="L42" i="66"/>
  <c r="M42" i="66"/>
  <c r="N42" i="66"/>
  <c r="I35" i="66"/>
  <c r="J35" i="66"/>
  <c r="I36" i="66"/>
  <c r="J36" i="66"/>
  <c r="I37" i="66"/>
  <c r="J37" i="66"/>
  <c r="I38" i="66"/>
  <c r="J38" i="66"/>
  <c r="I39" i="66"/>
  <c r="J39" i="66"/>
  <c r="I40" i="66"/>
  <c r="J40" i="66"/>
  <c r="I41" i="66"/>
  <c r="J41" i="66"/>
  <c r="I42" i="66"/>
  <c r="J42" i="66"/>
  <c r="AG32" i="66"/>
  <c r="AD32" i="66"/>
  <c r="O32" i="66"/>
  <c r="P32" i="66"/>
  <c r="Q32" i="66"/>
  <c r="R32" i="66"/>
  <c r="S32" i="66"/>
  <c r="T32" i="66"/>
  <c r="U32" i="66"/>
  <c r="V32" i="66"/>
  <c r="W32" i="66"/>
  <c r="X32" i="66"/>
  <c r="Y32" i="66"/>
  <c r="Z32" i="66"/>
  <c r="AG31" i="66"/>
  <c r="AD31" i="66"/>
  <c r="O31" i="66"/>
  <c r="P31" i="66"/>
  <c r="Q31" i="66"/>
  <c r="R31" i="66"/>
  <c r="S31" i="66"/>
  <c r="T31" i="66"/>
  <c r="U31" i="66"/>
  <c r="V31" i="66"/>
  <c r="W31" i="66"/>
  <c r="X31" i="66"/>
  <c r="Y31" i="66"/>
  <c r="Z31" i="66"/>
  <c r="AA31" i="66"/>
  <c r="N26" i="66"/>
  <c r="N27" i="66"/>
  <c r="N28" i="66"/>
  <c r="N29" i="66"/>
  <c r="B23" i="66"/>
  <c r="AG16" i="66"/>
  <c r="AG19" i="66"/>
  <c r="AH102" i="66" s="1"/>
  <c r="AG20" i="66"/>
  <c r="AH84" i="66" s="1"/>
  <c r="AD19" i="66"/>
  <c r="AE116" i="66" s="1"/>
  <c r="AD20" i="66"/>
  <c r="AE84" i="66" s="1"/>
  <c r="G19" i="66"/>
  <c r="G20" i="66"/>
  <c r="N19" i="66"/>
  <c r="O19" i="66"/>
  <c r="P19" i="66"/>
  <c r="Q19" i="66"/>
  <c r="R19" i="66"/>
  <c r="S19" i="66"/>
  <c r="T19" i="66"/>
  <c r="U19" i="66"/>
  <c r="V19" i="66"/>
  <c r="W19" i="66"/>
  <c r="X19" i="66"/>
  <c r="Y19" i="66"/>
  <c r="Z19" i="66"/>
  <c r="AA19" i="66"/>
  <c r="AB69" i="66" s="1"/>
  <c r="N20" i="66"/>
  <c r="O20" i="66"/>
  <c r="P20" i="66"/>
  <c r="Q20" i="66"/>
  <c r="R20" i="66"/>
  <c r="S20" i="66"/>
  <c r="T20" i="66"/>
  <c r="U20" i="66"/>
  <c r="V20" i="66"/>
  <c r="W20" i="66"/>
  <c r="X20" i="66"/>
  <c r="Y20" i="66"/>
  <c r="Z20" i="66"/>
  <c r="B17" i="66"/>
  <c r="B18" i="66"/>
  <c r="B19" i="66"/>
  <c r="O16" i="66"/>
  <c r="P16" i="66"/>
  <c r="Q16" i="66"/>
  <c r="R16" i="66"/>
  <c r="S16" i="66"/>
  <c r="T16" i="66"/>
  <c r="U16" i="66"/>
  <c r="V16" i="66"/>
  <c r="W16" i="66"/>
  <c r="X16" i="66"/>
  <c r="Y16" i="66"/>
  <c r="O17" i="66"/>
  <c r="P17" i="66"/>
  <c r="Q17" i="66"/>
  <c r="R17" i="66"/>
  <c r="S17" i="66"/>
  <c r="T17" i="66"/>
  <c r="U17" i="66"/>
  <c r="V17" i="66"/>
  <c r="W17" i="66"/>
  <c r="X17" i="66"/>
  <c r="Y17" i="66"/>
  <c r="Z17" i="66"/>
  <c r="AA17" i="66" s="1"/>
  <c r="AA11" i="66" s="1"/>
  <c r="AA18" i="66" s="1"/>
  <c r="A14" i="66"/>
  <c r="AG12" i="66"/>
  <c r="AG13" i="66"/>
  <c r="AD12" i="66"/>
  <c r="AD13" i="66"/>
  <c r="B12" i="66"/>
  <c r="B13" i="66"/>
  <c r="O11" i="66"/>
  <c r="P11" i="66"/>
  <c r="Q11" i="66"/>
  <c r="R11" i="66"/>
  <c r="S11" i="66"/>
  <c r="T11" i="66"/>
  <c r="U11" i="66"/>
  <c r="V11" i="66"/>
  <c r="W11" i="66"/>
  <c r="X11" i="66"/>
  <c r="Y11" i="66"/>
  <c r="Z11" i="66"/>
  <c r="O12" i="66"/>
  <c r="P12" i="66"/>
  <c r="Q12" i="66"/>
  <c r="R12" i="66"/>
  <c r="S12" i="66"/>
  <c r="T12" i="66"/>
  <c r="U12" i="66"/>
  <c r="V12" i="66"/>
  <c r="W12" i="66"/>
  <c r="X12" i="66"/>
  <c r="Y12" i="66"/>
  <c r="Z12" i="66"/>
  <c r="AA12" i="66"/>
  <c r="O13" i="66"/>
  <c r="P13" i="66"/>
  <c r="Q13" i="66"/>
  <c r="R13" i="66"/>
  <c r="S13" i="66"/>
  <c r="T13" i="66"/>
  <c r="U13" i="66"/>
  <c r="V13" i="66"/>
  <c r="W13" i="66"/>
  <c r="X13" i="66"/>
  <c r="Y13" i="66"/>
  <c r="Z13" i="66"/>
  <c r="AA13" i="66"/>
  <c r="C10" i="66"/>
  <c r="D10" i="66"/>
  <c r="Z16" i="66" s="1"/>
  <c r="C9" i="66"/>
  <c r="C1" i="66"/>
  <c r="C2" i="66"/>
  <c r="C3" i="66"/>
  <c r="C4" i="66"/>
  <c r="C5" i="66"/>
  <c r="C6" i="66"/>
  <c r="C7" i="66"/>
  <c r="C8" i="66"/>
  <c r="E6" i="66"/>
  <c r="E4" i="66"/>
  <c r="F4" i="66"/>
  <c r="B3" i="66"/>
  <c r="AG116" i="65"/>
  <c r="AG117" i="65"/>
  <c r="AG118" i="65"/>
  <c r="AG119" i="65"/>
  <c r="AG120" i="65"/>
  <c r="AG121" i="65"/>
  <c r="AG122" i="65"/>
  <c r="AG123" i="65"/>
  <c r="AG124" i="65"/>
  <c r="AD116" i="65"/>
  <c r="AD117" i="65"/>
  <c r="AD118" i="65"/>
  <c r="AD119" i="65"/>
  <c r="AD120" i="65"/>
  <c r="AD121" i="65"/>
  <c r="AD122" i="65"/>
  <c r="AD123" i="65"/>
  <c r="AD124" i="65"/>
  <c r="N122" i="65"/>
  <c r="B120" i="65"/>
  <c r="N119" i="65"/>
  <c r="O116" i="65"/>
  <c r="P116" i="65"/>
  <c r="Q116" i="65"/>
  <c r="R116" i="65"/>
  <c r="S116" i="65"/>
  <c r="T116" i="65"/>
  <c r="U116" i="65"/>
  <c r="V116" i="65"/>
  <c r="W116" i="65"/>
  <c r="X116" i="65"/>
  <c r="Y116" i="65"/>
  <c r="Z116" i="65"/>
  <c r="AA116" i="65"/>
  <c r="O117" i="65"/>
  <c r="P117" i="65"/>
  <c r="Q117" i="65"/>
  <c r="R117" i="65"/>
  <c r="S117" i="65"/>
  <c r="T117" i="65"/>
  <c r="U117" i="65"/>
  <c r="V117" i="65"/>
  <c r="W117" i="65"/>
  <c r="X117" i="65"/>
  <c r="Y117" i="65"/>
  <c r="Z117" i="65"/>
  <c r="AA117" i="65"/>
  <c r="O118" i="65"/>
  <c r="P118" i="65"/>
  <c r="Q118" i="65"/>
  <c r="R118" i="65"/>
  <c r="S118" i="65"/>
  <c r="T118" i="65"/>
  <c r="U118" i="65"/>
  <c r="V118" i="65"/>
  <c r="W118" i="65"/>
  <c r="X118" i="65"/>
  <c r="Y118" i="65"/>
  <c r="Z118" i="65"/>
  <c r="AA118" i="65"/>
  <c r="O119" i="65"/>
  <c r="P119" i="65"/>
  <c r="Q119" i="65"/>
  <c r="R119" i="65"/>
  <c r="S119" i="65"/>
  <c r="T119" i="65"/>
  <c r="U119" i="65"/>
  <c r="V119" i="65"/>
  <c r="W119" i="65"/>
  <c r="X119" i="65"/>
  <c r="Y119" i="65"/>
  <c r="Z119" i="65"/>
  <c r="AA119" i="65"/>
  <c r="O120" i="65"/>
  <c r="P120" i="65"/>
  <c r="Q120" i="65"/>
  <c r="R120" i="65"/>
  <c r="S120" i="65"/>
  <c r="T120" i="65"/>
  <c r="U120" i="65"/>
  <c r="V120" i="65"/>
  <c r="W120" i="65"/>
  <c r="X120" i="65"/>
  <c r="Y120" i="65"/>
  <c r="Z120" i="65"/>
  <c r="AA120" i="65"/>
  <c r="O121" i="65"/>
  <c r="P121" i="65"/>
  <c r="Q121" i="65"/>
  <c r="R121" i="65"/>
  <c r="S121" i="65"/>
  <c r="T121" i="65"/>
  <c r="U121" i="65"/>
  <c r="V121" i="65"/>
  <c r="W121" i="65"/>
  <c r="X121" i="65"/>
  <c r="Y121" i="65"/>
  <c r="Z121" i="65"/>
  <c r="AA121" i="65"/>
  <c r="O122" i="65"/>
  <c r="P122" i="65"/>
  <c r="Q122" i="65"/>
  <c r="R122" i="65"/>
  <c r="S122" i="65"/>
  <c r="T122" i="65"/>
  <c r="U122" i="65"/>
  <c r="V122" i="65"/>
  <c r="W122" i="65"/>
  <c r="X122" i="65"/>
  <c r="Y122" i="65"/>
  <c r="Z122" i="65"/>
  <c r="AA122" i="65"/>
  <c r="O123" i="65"/>
  <c r="P123" i="65"/>
  <c r="Q123" i="65"/>
  <c r="R123" i="65"/>
  <c r="S123" i="65"/>
  <c r="T123" i="65"/>
  <c r="U123" i="65"/>
  <c r="V123" i="65"/>
  <c r="W123" i="65"/>
  <c r="X123" i="65"/>
  <c r="Y123" i="65"/>
  <c r="Z123" i="65"/>
  <c r="AA123" i="65"/>
  <c r="O124" i="65"/>
  <c r="P124" i="65"/>
  <c r="Q124" i="65"/>
  <c r="R124" i="65"/>
  <c r="S124" i="65"/>
  <c r="T124" i="65"/>
  <c r="U124" i="65"/>
  <c r="V124" i="65"/>
  <c r="W124" i="65"/>
  <c r="X124" i="65"/>
  <c r="Y124" i="65"/>
  <c r="Z124" i="65"/>
  <c r="AA124" i="65"/>
  <c r="N116" i="65"/>
  <c r="I116" i="65"/>
  <c r="J116" i="65"/>
  <c r="I117" i="65"/>
  <c r="J117" i="65"/>
  <c r="I118" i="65"/>
  <c r="J118" i="65"/>
  <c r="I119" i="65"/>
  <c r="J119" i="65"/>
  <c r="I120" i="65"/>
  <c r="J120" i="65"/>
  <c r="I121" i="65"/>
  <c r="J121" i="65"/>
  <c r="I122" i="65"/>
  <c r="J122" i="65"/>
  <c r="I123" i="65"/>
  <c r="J123" i="65"/>
  <c r="I124" i="65"/>
  <c r="J124" i="65"/>
  <c r="B114" i="65"/>
  <c r="B115" i="65"/>
  <c r="B116" i="65"/>
  <c r="AG111" i="65"/>
  <c r="AD111" i="65"/>
  <c r="O111" i="65"/>
  <c r="P111" i="65"/>
  <c r="Q111" i="65"/>
  <c r="R111" i="65"/>
  <c r="S111" i="65"/>
  <c r="T111" i="65"/>
  <c r="U111" i="65"/>
  <c r="V111" i="65"/>
  <c r="W111" i="65"/>
  <c r="X111" i="65"/>
  <c r="Y111" i="65"/>
  <c r="Z111" i="65"/>
  <c r="A111" i="65"/>
  <c r="N108" i="65"/>
  <c r="N111" i="65" s="1"/>
  <c r="N109" i="65"/>
  <c r="N112" i="65" s="1"/>
  <c r="AA109" i="65"/>
  <c r="I108" i="65"/>
  <c r="AA108" i="65" s="1"/>
  <c r="J108" i="65"/>
  <c r="I109" i="65"/>
  <c r="J109" i="65"/>
  <c r="N90" i="65"/>
  <c r="N91" i="65"/>
  <c r="N92" i="65"/>
  <c r="N93" i="65"/>
  <c r="N94" i="65"/>
  <c r="N95" i="65"/>
  <c r="N96" i="65"/>
  <c r="N97" i="65"/>
  <c r="N98" i="65"/>
  <c r="N99" i="65"/>
  <c r="N100" i="65"/>
  <c r="N101" i="65"/>
  <c r="N102" i="65"/>
  <c r="N103" i="65"/>
  <c r="N104" i="65"/>
  <c r="N105" i="65"/>
  <c r="N106" i="65"/>
  <c r="I106" i="65"/>
  <c r="AA106" i="65" s="1"/>
  <c r="J106" i="65"/>
  <c r="AH92" i="65"/>
  <c r="AH95" i="65"/>
  <c r="AH98" i="65"/>
  <c r="AH99" i="65"/>
  <c r="AH101" i="65"/>
  <c r="AH102" i="65"/>
  <c r="AH103" i="65"/>
  <c r="AE105" i="65"/>
  <c r="AA95" i="65"/>
  <c r="AI95" i="65" s="1"/>
  <c r="AA98" i="65"/>
  <c r="AB98" i="65" s="1"/>
  <c r="AN98" i="65" s="1"/>
  <c r="AA100" i="65"/>
  <c r="AI100" i="65" s="1"/>
  <c r="I91" i="65"/>
  <c r="J91" i="65"/>
  <c r="L91" i="65"/>
  <c r="M91" i="65"/>
  <c r="I92" i="65"/>
  <c r="AA92" i="65" s="1"/>
  <c r="J92" i="65"/>
  <c r="L92" i="65"/>
  <c r="M92" i="65"/>
  <c r="I93" i="65"/>
  <c r="J93" i="65"/>
  <c r="L93" i="65"/>
  <c r="M93" i="65"/>
  <c r="I94" i="65"/>
  <c r="AA94" i="65" s="1"/>
  <c r="AI94" i="65" s="1"/>
  <c r="J94" i="65"/>
  <c r="L94" i="65"/>
  <c r="M94" i="65"/>
  <c r="I95" i="65"/>
  <c r="K95" i="65" s="1"/>
  <c r="J95" i="65"/>
  <c r="L95" i="65"/>
  <c r="M95" i="65"/>
  <c r="I96" i="65"/>
  <c r="AA96" i="65" s="1"/>
  <c r="J96" i="65"/>
  <c r="L96" i="65"/>
  <c r="M96" i="65"/>
  <c r="I97" i="65"/>
  <c r="J97" i="65"/>
  <c r="L97" i="65"/>
  <c r="M97" i="65"/>
  <c r="I98" i="65"/>
  <c r="K98" i="65" s="1"/>
  <c r="J98" i="65"/>
  <c r="L98" i="65"/>
  <c r="M98" i="65"/>
  <c r="I99" i="65"/>
  <c r="AA99" i="65" s="1"/>
  <c r="J99" i="65"/>
  <c r="L99" i="65"/>
  <c r="M99" i="65"/>
  <c r="I100" i="65"/>
  <c r="J100" i="65"/>
  <c r="K100" i="65" s="1"/>
  <c r="L100" i="65"/>
  <c r="M100" i="65"/>
  <c r="I101" i="65"/>
  <c r="J101" i="65"/>
  <c r="L101" i="65"/>
  <c r="M101" i="65"/>
  <c r="I102" i="65"/>
  <c r="AA102" i="65" s="1"/>
  <c r="J102" i="65"/>
  <c r="L102" i="65"/>
  <c r="M102" i="65"/>
  <c r="I103" i="65"/>
  <c r="AA103" i="65" s="1"/>
  <c r="AI103" i="65" s="1"/>
  <c r="J103" i="65"/>
  <c r="L103" i="65"/>
  <c r="M103" i="65"/>
  <c r="I104" i="65"/>
  <c r="AA104" i="65" s="1"/>
  <c r="J104" i="65"/>
  <c r="L104" i="65"/>
  <c r="M104" i="65"/>
  <c r="I105" i="65"/>
  <c r="AA105" i="65" s="1"/>
  <c r="AF105" i="65" s="1"/>
  <c r="J105" i="65"/>
  <c r="L105" i="65"/>
  <c r="M105" i="65"/>
  <c r="I90" i="65"/>
  <c r="J90" i="65"/>
  <c r="B88" i="65"/>
  <c r="B89" i="65"/>
  <c r="B83" i="65"/>
  <c r="B84" i="65"/>
  <c r="B85" i="65"/>
  <c r="A80" i="65"/>
  <c r="AH74" i="65"/>
  <c r="AH75" i="65"/>
  <c r="AH76" i="65"/>
  <c r="AH78" i="65"/>
  <c r="AI79" i="65"/>
  <c r="AH80" i="65"/>
  <c r="AH82" i="65"/>
  <c r="AH85" i="65"/>
  <c r="AH87" i="65"/>
  <c r="AE74" i="65"/>
  <c r="AE75" i="65"/>
  <c r="AE76" i="65"/>
  <c r="AE79" i="65"/>
  <c r="AE82" i="65"/>
  <c r="AA81" i="65"/>
  <c r="AF81" i="65" s="1"/>
  <c r="I74" i="65"/>
  <c r="AA74" i="65" s="1"/>
  <c r="J74" i="65"/>
  <c r="L74" i="65"/>
  <c r="M74" i="65"/>
  <c r="N74" i="65"/>
  <c r="I75" i="65"/>
  <c r="AA75" i="65" s="1"/>
  <c r="AB75" i="65" s="1"/>
  <c r="J75" i="65"/>
  <c r="L75" i="65"/>
  <c r="M75" i="65"/>
  <c r="N75" i="65"/>
  <c r="I76" i="65"/>
  <c r="AA76" i="65" s="1"/>
  <c r="J76" i="65"/>
  <c r="K76" i="65"/>
  <c r="L76" i="65"/>
  <c r="M76" i="65"/>
  <c r="N76" i="65"/>
  <c r="I77" i="65"/>
  <c r="K77" i="65" s="1"/>
  <c r="J77" i="65"/>
  <c r="L77" i="65"/>
  <c r="M77" i="65"/>
  <c r="N77" i="65"/>
  <c r="I78" i="65"/>
  <c r="AA78" i="65" s="1"/>
  <c r="J78" i="65"/>
  <c r="L78" i="65"/>
  <c r="M78" i="65"/>
  <c r="N78" i="65"/>
  <c r="I79" i="65"/>
  <c r="AA79" i="65" s="1"/>
  <c r="J79" i="65"/>
  <c r="L79" i="65"/>
  <c r="M79" i="65"/>
  <c r="N79" i="65"/>
  <c r="I80" i="65"/>
  <c r="AA80" i="65" s="1"/>
  <c r="AF80" i="65" s="1"/>
  <c r="J80" i="65"/>
  <c r="K80" i="65"/>
  <c r="L80" i="65"/>
  <c r="M80" i="65"/>
  <c r="N80" i="65"/>
  <c r="I81" i="65"/>
  <c r="K81" i="65" s="1"/>
  <c r="J81" i="65"/>
  <c r="L81" i="65"/>
  <c r="M81" i="65"/>
  <c r="N81" i="65"/>
  <c r="I82" i="65"/>
  <c r="AA82" i="65" s="1"/>
  <c r="J82" i="65"/>
  <c r="K82" i="65"/>
  <c r="L82" i="65"/>
  <c r="M82" i="65"/>
  <c r="N82" i="65"/>
  <c r="I83" i="65"/>
  <c r="AA83" i="65" s="1"/>
  <c r="J83" i="65"/>
  <c r="L83" i="65"/>
  <c r="M83" i="65"/>
  <c r="N83" i="65"/>
  <c r="I84" i="65"/>
  <c r="K84" i="65" s="1"/>
  <c r="J84" i="65"/>
  <c r="L84" i="65"/>
  <c r="M84" i="65"/>
  <c r="N84" i="65"/>
  <c r="I85" i="65"/>
  <c r="K85" i="65" s="1"/>
  <c r="J85" i="65"/>
  <c r="L85" i="65"/>
  <c r="M85" i="65"/>
  <c r="N85" i="65"/>
  <c r="I86" i="65"/>
  <c r="K86" i="65" s="1"/>
  <c r="J86" i="65"/>
  <c r="L86" i="65"/>
  <c r="M86" i="65"/>
  <c r="N86" i="65"/>
  <c r="I87" i="65"/>
  <c r="AA87" i="65" s="1"/>
  <c r="AI87" i="65" s="1"/>
  <c r="J87" i="65"/>
  <c r="L87" i="65"/>
  <c r="M87" i="65"/>
  <c r="N87" i="65"/>
  <c r="I88" i="65"/>
  <c r="AA88" i="65" s="1"/>
  <c r="AI88" i="65" s="1"/>
  <c r="J88" i="65"/>
  <c r="L88" i="65"/>
  <c r="M88" i="65"/>
  <c r="N88" i="65"/>
  <c r="N72" i="65"/>
  <c r="N73" i="65"/>
  <c r="I72" i="65"/>
  <c r="J72" i="65"/>
  <c r="I73" i="65"/>
  <c r="J73" i="65"/>
  <c r="AD70" i="65"/>
  <c r="AD112" i="65" s="1"/>
  <c r="AG70" i="65"/>
  <c r="N70" i="65"/>
  <c r="O70" i="65"/>
  <c r="O112" i="65" s="1"/>
  <c r="P70" i="65"/>
  <c r="P112" i="65" s="1"/>
  <c r="Q70" i="65"/>
  <c r="Q112" i="65" s="1"/>
  <c r="R70" i="65"/>
  <c r="R112" i="65" s="1"/>
  <c r="S70" i="65"/>
  <c r="S112" i="65" s="1"/>
  <c r="T70" i="65"/>
  <c r="T112" i="65" s="1"/>
  <c r="U70" i="65"/>
  <c r="U112" i="65" s="1"/>
  <c r="V70" i="65"/>
  <c r="V112" i="65" s="1"/>
  <c r="W70" i="65"/>
  <c r="W112" i="65" s="1"/>
  <c r="X70" i="65"/>
  <c r="X112" i="65" s="1"/>
  <c r="Y70" i="65"/>
  <c r="Y112" i="65" s="1"/>
  <c r="Z70" i="65"/>
  <c r="Z112" i="65" s="1"/>
  <c r="AB60" i="65"/>
  <c r="AB61" i="65"/>
  <c r="AM61" i="65" s="1"/>
  <c r="AB62" i="65"/>
  <c r="AM62" i="65" s="1"/>
  <c r="AB63" i="65"/>
  <c r="AB64" i="65"/>
  <c r="AB65" i="65"/>
  <c r="AN65" i="65" s="1"/>
  <c r="AB66" i="65"/>
  <c r="AB67" i="65"/>
  <c r="AN67" i="65" s="1"/>
  <c r="AB68" i="65"/>
  <c r="AB69" i="65"/>
  <c r="AM69" i="65" s="1"/>
  <c r="N58" i="65"/>
  <c r="N59" i="65"/>
  <c r="N60" i="65"/>
  <c r="N61" i="65"/>
  <c r="N62" i="65"/>
  <c r="N63" i="65"/>
  <c r="N64" i="65"/>
  <c r="N65" i="65"/>
  <c r="N66" i="65"/>
  <c r="N67" i="65"/>
  <c r="N68" i="65"/>
  <c r="N69" i="65"/>
  <c r="I69" i="65"/>
  <c r="K69" i="65" s="1"/>
  <c r="J69" i="65"/>
  <c r="I70" i="65"/>
  <c r="J70" i="65"/>
  <c r="K70" i="65"/>
  <c r="AA60" i="65"/>
  <c r="AA68" i="65"/>
  <c r="AH60" i="65"/>
  <c r="AN60" i="65"/>
  <c r="AH61" i="65"/>
  <c r="AN61" i="65"/>
  <c r="AH62" i="65"/>
  <c r="AN62" i="65" s="1"/>
  <c r="AH63" i="65"/>
  <c r="AH64" i="65"/>
  <c r="AH65" i="65"/>
  <c r="AH66" i="65"/>
  <c r="AK66" i="65"/>
  <c r="AN66" i="65"/>
  <c r="AH67" i="65"/>
  <c r="AH68" i="65"/>
  <c r="AN68" i="65"/>
  <c r="AH69" i="65"/>
  <c r="AI69" i="65"/>
  <c r="AN69" i="65"/>
  <c r="AE60" i="65"/>
  <c r="AM60" i="65" s="1"/>
  <c r="AE61" i="65"/>
  <c r="AE62" i="65"/>
  <c r="AE63" i="65"/>
  <c r="AE64" i="65"/>
  <c r="AE65" i="65"/>
  <c r="AE66" i="65"/>
  <c r="AE67" i="65"/>
  <c r="AE68" i="65"/>
  <c r="AM68" i="65" s="1"/>
  <c r="AE69" i="65"/>
  <c r="AF69" i="65"/>
  <c r="I60" i="65"/>
  <c r="K60" i="65" s="1"/>
  <c r="J60" i="65"/>
  <c r="L60" i="65"/>
  <c r="M60" i="65"/>
  <c r="I61" i="65"/>
  <c r="AA61" i="65" s="1"/>
  <c r="J61" i="65"/>
  <c r="L61" i="65"/>
  <c r="M61" i="65"/>
  <c r="I62" i="65"/>
  <c r="AA62" i="65" s="1"/>
  <c r="AF62" i="65" s="1"/>
  <c r="J62" i="65"/>
  <c r="K62" i="65"/>
  <c r="L62" i="65"/>
  <c r="M62" i="65"/>
  <c r="I63" i="65"/>
  <c r="K63" i="65" s="1"/>
  <c r="J63" i="65"/>
  <c r="L63" i="65"/>
  <c r="M63" i="65"/>
  <c r="I64" i="65"/>
  <c r="J64" i="65"/>
  <c r="L64" i="65"/>
  <c r="M64" i="65"/>
  <c r="I65" i="65"/>
  <c r="AA65" i="65" s="1"/>
  <c r="J65" i="65"/>
  <c r="K65" i="65"/>
  <c r="L65" i="65"/>
  <c r="M65" i="65"/>
  <c r="I66" i="65"/>
  <c r="AA66" i="65" s="1"/>
  <c r="J66" i="65"/>
  <c r="L66" i="65"/>
  <c r="M66" i="65"/>
  <c r="I67" i="65"/>
  <c r="AA67" i="65" s="1"/>
  <c r="J67" i="65"/>
  <c r="L67" i="65"/>
  <c r="M67" i="65"/>
  <c r="I68" i="65"/>
  <c r="K68" i="65" s="1"/>
  <c r="J68" i="65"/>
  <c r="L68" i="65"/>
  <c r="M68" i="65"/>
  <c r="I58" i="65"/>
  <c r="J58" i="65"/>
  <c r="I59" i="65"/>
  <c r="J59" i="65"/>
  <c r="B55" i="65"/>
  <c r="B56" i="65"/>
  <c r="B50" i="65"/>
  <c r="B51" i="65"/>
  <c r="B52" i="65"/>
  <c r="A47" i="65"/>
  <c r="AH35" i="65"/>
  <c r="AH36" i="65"/>
  <c r="AH39" i="65"/>
  <c r="AK40" i="65"/>
  <c r="AH41" i="65"/>
  <c r="AH43" i="65"/>
  <c r="AH44" i="65"/>
  <c r="AH45" i="65"/>
  <c r="AH46" i="65"/>
  <c r="AH47" i="65"/>
  <c r="AH49" i="65"/>
  <c r="AH51" i="65"/>
  <c r="AH52" i="65"/>
  <c r="AH54" i="65"/>
  <c r="AK54" i="65"/>
  <c r="AH55" i="65"/>
  <c r="AE38" i="65"/>
  <c r="AE39" i="65"/>
  <c r="AE41" i="65"/>
  <c r="AE42" i="65"/>
  <c r="AE43" i="65"/>
  <c r="AE45" i="65"/>
  <c r="AE47" i="65"/>
  <c r="AE49" i="65"/>
  <c r="AE54" i="65"/>
  <c r="I35" i="65"/>
  <c r="AA35" i="65" s="1"/>
  <c r="J35" i="65"/>
  <c r="K35" i="65"/>
  <c r="L35" i="65"/>
  <c r="M35" i="65"/>
  <c r="N35" i="65"/>
  <c r="I36" i="65"/>
  <c r="K36" i="65" s="1"/>
  <c r="J36" i="65"/>
  <c r="L36" i="65"/>
  <c r="M36" i="65"/>
  <c r="N36" i="65"/>
  <c r="I37" i="65"/>
  <c r="AA37" i="65" s="1"/>
  <c r="J37" i="65"/>
  <c r="L37" i="65"/>
  <c r="M37" i="65"/>
  <c r="N37" i="65"/>
  <c r="I38" i="65"/>
  <c r="AA38" i="65" s="1"/>
  <c r="J38" i="65"/>
  <c r="L38" i="65"/>
  <c r="M38" i="65"/>
  <c r="N38" i="65"/>
  <c r="I39" i="65"/>
  <c r="AA39" i="65" s="1"/>
  <c r="J39" i="65"/>
  <c r="K39" i="65"/>
  <c r="L39" i="65"/>
  <c r="M39" i="65"/>
  <c r="N39" i="65"/>
  <c r="I40" i="65"/>
  <c r="K40" i="65" s="1"/>
  <c r="J40" i="65"/>
  <c r="L40" i="65"/>
  <c r="M40" i="65"/>
  <c r="N40" i="65"/>
  <c r="I41" i="65"/>
  <c r="AA41" i="65" s="1"/>
  <c r="J41" i="65"/>
  <c r="K41" i="65"/>
  <c r="L41" i="65"/>
  <c r="M41" i="65"/>
  <c r="N41" i="65"/>
  <c r="I42" i="65"/>
  <c r="AA42" i="65" s="1"/>
  <c r="J42" i="65"/>
  <c r="L42" i="65"/>
  <c r="M42" i="65"/>
  <c r="N42" i="65"/>
  <c r="I43" i="65"/>
  <c r="AA43" i="65" s="1"/>
  <c r="J43" i="65"/>
  <c r="L43" i="65"/>
  <c r="M43" i="65"/>
  <c r="N43" i="65"/>
  <c r="I44" i="65"/>
  <c r="K44" i="65" s="1"/>
  <c r="J44" i="65"/>
  <c r="L44" i="65"/>
  <c r="M44" i="65"/>
  <c r="N44" i="65"/>
  <c r="I45" i="65"/>
  <c r="AA45" i="65" s="1"/>
  <c r="J45" i="65"/>
  <c r="L45" i="65"/>
  <c r="M45" i="65"/>
  <c r="N45" i="65"/>
  <c r="I46" i="65"/>
  <c r="AA46" i="65" s="1"/>
  <c r="J46" i="65"/>
  <c r="L46" i="65"/>
  <c r="M46" i="65"/>
  <c r="N46" i="65"/>
  <c r="I47" i="65"/>
  <c r="AA47" i="65" s="1"/>
  <c r="AI47" i="65" s="1"/>
  <c r="J47" i="65"/>
  <c r="L47" i="65"/>
  <c r="M47" i="65"/>
  <c r="N47" i="65"/>
  <c r="I48" i="65"/>
  <c r="K48" i="65" s="1"/>
  <c r="J48" i="65"/>
  <c r="L48" i="65"/>
  <c r="M48" i="65"/>
  <c r="N48" i="65"/>
  <c r="I49" i="65"/>
  <c r="AA49" i="65" s="1"/>
  <c r="J49" i="65"/>
  <c r="K49" i="65"/>
  <c r="L49" i="65"/>
  <c r="M49" i="65"/>
  <c r="N49" i="65"/>
  <c r="I50" i="65"/>
  <c r="AA50" i="65" s="1"/>
  <c r="J50" i="65"/>
  <c r="L50" i="65"/>
  <c r="M50" i="65"/>
  <c r="N50" i="65"/>
  <c r="I51" i="65"/>
  <c r="AA51" i="65" s="1"/>
  <c r="J51" i="65"/>
  <c r="K51" i="65"/>
  <c r="L51" i="65"/>
  <c r="M51" i="65"/>
  <c r="N51" i="65"/>
  <c r="I52" i="65"/>
  <c r="K52" i="65" s="1"/>
  <c r="J52" i="65"/>
  <c r="L52" i="65"/>
  <c r="M52" i="65"/>
  <c r="N52" i="65"/>
  <c r="I53" i="65"/>
  <c r="AA53" i="65" s="1"/>
  <c r="J53" i="65"/>
  <c r="L53" i="65"/>
  <c r="M53" i="65"/>
  <c r="N53" i="65"/>
  <c r="I54" i="65"/>
  <c r="AA54" i="65" s="1"/>
  <c r="J54" i="65"/>
  <c r="L54" i="65"/>
  <c r="M54" i="65"/>
  <c r="N54" i="65"/>
  <c r="I55" i="65"/>
  <c r="AA55" i="65" s="1"/>
  <c r="AI55" i="65" s="1"/>
  <c r="J55" i="65"/>
  <c r="K55" i="65"/>
  <c r="L55" i="65"/>
  <c r="M55" i="65"/>
  <c r="N55" i="65"/>
  <c r="I56" i="65"/>
  <c r="K56" i="65" s="1"/>
  <c r="J56" i="65"/>
  <c r="L56" i="65"/>
  <c r="M56" i="65"/>
  <c r="N56" i="65"/>
  <c r="N33" i="65"/>
  <c r="N34" i="65"/>
  <c r="I33" i="65"/>
  <c r="J33" i="65"/>
  <c r="I34" i="65"/>
  <c r="J34" i="65"/>
  <c r="AK32" i="65"/>
  <c r="AG32" i="65"/>
  <c r="AL32" i="65" s="1"/>
  <c r="AD32" i="65"/>
  <c r="O32" i="65"/>
  <c r="P32" i="65"/>
  <c r="Q32" i="65"/>
  <c r="R32" i="65"/>
  <c r="S32" i="65"/>
  <c r="T32" i="65"/>
  <c r="U32" i="65"/>
  <c r="V32" i="65"/>
  <c r="W32" i="65"/>
  <c r="X32" i="65"/>
  <c r="Y32" i="65"/>
  <c r="Z32" i="65"/>
  <c r="AJ32" i="65" s="1"/>
  <c r="AJ31" i="65"/>
  <c r="AK31" i="65"/>
  <c r="AM31" i="65" s="1"/>
  <c r="AL31" i="65"/>
  <c r="AN31" i="65" s="1"/>
  <c r="AG31" i="65"/>
  <c r="AD31" i="65"/>
  <c r="O31" i="65"/>
  <c r="P31" i="65"/>
  <c r="Q31" i="65"/>
  <c r="R31" i="65"/>
  <c r="S31" i="65"/>
  <c r="T31" i="65"/>
  <c r="U31" i="65"/>
  <c r="V31" i="65"/>
  <c r="W31" i="65"/>
  <c r="X31" i="65"/>
  <c r="Y31" i="65"/>
  <c r="Z31" i="65"/>
  <c r="AA31" i="65"/>
  <c r="N26" i="65"/>
  <c r="N27" i="65"/>
  <c r="N28" i="65"/>
  <c r="N29" i="65"/>
  <c r="B22" i="65"/>
  <c r="B23" i="65"/>
  <c r="AG16" i="65"/>
  <c r="AG19" i="65"/>
  <c r="AH77" i="65" s="1"/>
  <c r="AG20" i="65"/>
  <c r="AL82" i="65" s="1"/>
  <c r="AD19" i="65"/>
  <c r="AE99" i="65" s="1"/>
  <c r="AD20" i="65"/>
  <c r="AK103" i="65" s="1"/>
  <c r="G19" i="65"/>
  <c r="G20" i="65"/>
  <c r="N19" i="65"/>
  <c r="O19" i="65"/>
  <c r="P19" i="65"/>
  <c r="Q19" i="65"/>
  <c r="R19" i="65"/>
  <c r="S19" i="65"/>
  <c r="T19" i="65"/>
  <c r="U19" i="65"/>
  <c r="V19" i="65"/>
  <c r="W19" i="65"/>
  <c r="X19" i="65"/>
  <c r="Y19" i="65"/>
  <c r="Z19" i="65"/>
  <c r="N20" i="65"/>
  <c r="O20" i="65"/>
  <c r="P20" i="65"/>
  <c r="Q20" i="65"/>
  <c r="R20" i="65"/>
  <c r="S20" i="65"/>
  <c r="T20" i="65"/>
  <c r="U20" i="65"/>
  <c r="V20" i="65"/>
  <c r="W20" i="65"/>
  <c r="X20" i="65"/>
  <c r="Y20" i="65"/>
  <c r="Z20" i="65"/>
  <c r="B17" i="65"/>
  <c r="B18" i="65"/>
  <c r="B19" i="65"/>
  <c r="O16" i="65"/>
  <c r="P16" i="65"/>
  <c r="Q16" i="65"/>
  <c r="R16" i="65"/>
  <c r="S16" i="65"/>
  <c r="T16" i="65"/>
  <c r="U16" i="65"/>
  <c r="V16" i="65"/>
  <c r="W16" i="65"/>
  <c r="X16" i="65"/>
  <c r="Y16" i="65"/>
  <c r="O17" i="65"/>
  <c r="P17" i="65"/>
  <c r="Q17" i="65"/>
  <c r="R17" i="65"/>
  <c r="S17" i="65"/>
  <c r="T17" i="65"/>
  <c r="U17" i="65"/>
  <c r="V17" i="65"/>
  <c r="W17" i="65"/>
  <c r="X17" i="65"/>
  <c r="Y17" i="65"/>
  <c r="Z17" i="65"/>
  <c r="AA17" i="65"/>
  <c r="AA11" i="65" s="1"/>
  <c r="A14" i="65"/>
  <c r="AG12" i="65"/>
  <c r="AG13" i="65"/>
  <c r="AD12" i="65"/>
  <c r="AD13" i="65"/>
  <c r="B12" i="65"/>
  <c r="B13" i="65"/>
  <c r="O11" i="65"/>
  <c r="P11" i="65"/>
  <c r="Q11" i="65"/>
  <c r="R11" i="65"/>
  <c r="S11" i="65"/>
  <c r="T11" i="65"/>
  <c r="U11" i="65"/>
  <c r="V11" i="65"/>
  <c r="W11" i="65"/>
  <c r="X11" i="65"/>
  <c r="Y11" i="65"/>
  <c r="Z11" i="65"/>
  <c r="O12" i="65"/>
  <c r="P12" i="65"/>
  <c r="Q12" i="65"/>
  <c r="R12" i="65"/>
  <c r="S12" i="65"/>
  <c r="T12" i="65"/>
  <c r="U12" i="65"/>
  <c r="V12" i="65"/>
  <c r="W12" i="65"/>
  <c r="X12" i="65"/>
  <c r="Y12" i="65"/>
  <c r="Z12" i="65"/>
  <c r="AA12" i="65"/>
  <c r="O13" i="65"/>
  <c r="P13" i="65"/>
  <c r="Q13" i="65"/>
  <c r="R13" i="65"/>
  <c r="S13" i="65"/>
  <c r="T13" i="65"/>
  <c r="U13" i="65"/>
  <c r="V13" i="65"/>
  <c r="W13" i="65"/>
  <c r="X13" i="65"/>
  <c r="Y13" i="65"/>
  <c r="Z13" i="65"/>
  <c r="AA13" i="65"/>
  <c r="C10" i="65"/>
  <c r="D10" i="65"/>
  <c r="AA16" i="65" s="1"/>
  <c r="C9" i="65"/>
  <c r="C1" i="65"/>
  <c r="C2" i="65"/>
  <c r="C3" i="65"/>
  <c r="C4" i="65"/>
  <c r="C5" i="65"/>
  <c r="C6" i="65"/>
  <c r="C7" i="65"/>
  <c r="C8" i="65"/>
  <c r="E6" i="65"/>
  <c r="B62" i="65" s="1"/>
  <c r="E4" i="65"/>
  <c r="F4" i="65"/>
  <c r="B3" i="65"/>
  <c r="AG143" i="59"/>
  <c r="AG144" i="59"/>
  <c r="AG145" i="59"/>
  <c r="AG146" i="59"/>
  <c r="AD143" i="59"/>
  <c r="AD144" i="59"/>
  <c r="AD145" i="59"/>
  <c r="AD146" i="59"/>
  <c r="N145" i="59"/>
  <c r="O143" i="59"/>
  <c r="P143" i="59"/>
  <c r="Q143" i="59"/>
  <c r="R143" i="59"/>
  <c r="S143" i="59"/>
  <c r="T143" i="59"/>
  <c r="U143" i="59"/>
  <c r="V143" i="59"/>
  <c r="W143" i="59"/>
  <c r="X143" i="59"/>
  <c r="Y143" i="59"/>
  <c r="Z143" i="59"/>
  <c r="O144" i="59"/>
  <c r="P144" i="59"/>
  <c r="Q144" i="59"/>
  <c r="R144" i="59"/>
  <c r="S144" i="59"/>
  <c r="T144" i="59"/>
  <c r="U144" i="59"/>
  <c r="V144" i="59"/>
  <c r="W144" i="59"/>
  <c r="X144" i="59"/>
  <c r="Y144" i="59"/>
  <c r="Z144" i="59"/>
  <c r="O145" i="59"/>
  <c r="P145" i="59"/>
  <c r="Q145" i="59"/>
  <c r="R145" i="59"/>
  <c r="S145" i="59"/>
  <c r="T145" i="59"/>
  <c r="U145" i="59"/>
  <c r="V145" i="59"/>
  <c r="W145" i="59"/>
  <c r="X145" i="59"/>
  <c r="Y145" i="59"/>
  <c r="Z145" i="59"/>
  <c r="O146" i="59"/>
  <c r="P146" i="59"/>
  <c r="Q146" i="59"/>
  <c r="R146" i="59"/>
  <c r="S146" i="59"/>
  <c r="T146" i="59"/>
  <c r="U146" i="59"/>
  <c r="V146" i="59"/>
  <c r="W146" i="59"/>
  <c r="X146" i="59"/>
  <c r="Y146" i="59"/>
  <c r="Z146" i="59"/>
  <c r="AI130" i="59"/>
  <c r="AI131" i="59"/>
  <c r="AI133" i="59"/>
  <c r="AI135" i="59"/>
  <c r="AI137" i="59"/>
  <c r="AI139" i="59"/>
  <c r="AG141" i="59"/>
  <c r="AD141" i="59"/>
  <c r="O141" i="59"/>
  <c r="P141" i="59"/>
  <c r="Q141" i="59"/>
  <c r="R141" i="59"/>
  <c r="S141" i="59"/>
  <c r="T141" i="59"/>
  <c r="U141" i="59"/>
  <c r="V141" i="59"/>
  <c r="W141" i="59"/>
  <c r="X141" i="59"/>
  <c r="Y141" i="59"/>
  <c r="Z141" i="59"/>
  <c r="AH140" i="59"/>
  <c r="AE140" i="59"/>
  <c r="AA140" i="59"/>
  <c r="AF140" i="59" s="1"/>
  <c r="AB140" i="59"/>
  <c r="AF131" i="59"/>
  <c r="AF133" i="59"/>
  <c r="AF135" i="59"/>
  <c r="AF136" i="59"/>
  <c r="AF137" i="59"/>
  <c r="AF139" i="59"/>
  <c r="AH138" i="59"/>
  <c r="AE138" i="59"/>
  <c r="AA138" i="59"/>
  <c r="AF138" i="59" s="1"/>
  <c r="AB138" i="59"/>
  <c r="AH136" i="59"/>
  <c r="AE136" i="59"/>
  <c r="AA136" i="59"/>
  <c r="AI136" i="59" s="1"/>
  <c r="AB136" i="59"/>
  <c r="AH134" i="59"/>
  <c r="AE134" i="59"/>
  <c r="AA134" i="59"/>
  <c r="AF134" i="59" s="1"/>
  <c r="AB134" i="59"/>
  <c r="AH132" i="59"/>
  <c r="AE132" i="59"/>
  <c r="AA132" i="59"/>
  <c r="AI132" i="59" s="1"/>
  <c r="AB132" i="59"/>
  <c r="AH130" i="59"/>
  <c r="AE130" i="59"/>
  <c r="AA130" i="59"/>
  <c r="AF130" i="59" s="1"/>
  <c r="AB130" i="59"/>
  <c r="L130" i="59"/>
  <c r="M130" i="59"/>
  <c r="N130" i="59"/>
  <c r="L131" i="59"/>
  <c r="M131" i="59"/>
  <c r="N131" i="59"/>
  <c r="L132" i="59"/>
  <c r="M132" i="59"/>
  <c r="N132" i="59"/>
  <c r="L133" i="59"/>
  <c r="M133" i="59"/>
  <c r="N133" i="59"/>
  <c r="L134" i="59"/>
  <c r="M134" i="59"/>
  <c r="N134" i="59"/>
  <c r="L135" i="59"/>
  <c r="M135" i="59"/>
  <c r="N135" i="59"/>
  <c r="L136" i="59"/>
  <c r="M136" i="59"/>
  <c r="N136" i="59"/>
  <c r="L137" i="59"/>
  <c r="M137" i="59"/>
  <c r="N137" i="59"/>
  <c r="L138" i="59"/>
  <c r="M138" i="59"/>
  <c r="N138" i="59"/>
  <c r="L139" i="59"/>
  <c r="M139" i="59"/>
  <c r="N139" i="59"/>
  <c r="L140" i="59"/>
  <c r="M140" i="59"/>
  <c r="N140" i="59"/>
  <c r="N129" i="59"/>
  <c r="AG121" i="59"/>
  <c r="AG122" i="59"/>
  <c r="AH122" i="59" s="1"/>
  <c r="AG123" i="59"/>
  <c r="AG124" i="59"/>
  <c r="AG125" i="59"/>
  <c r="AH125" i="59" s="1"/>
  <c r="AD121" i="59"/>
  <c r="AE121" i="59" s="1"/>
  <c r="AD122" i="59"/>
  <c r="AD123" i="59"/>
  <c r="AE123" i="59" s="1"/>
  <c r="AD124" i="59"/>
  <c r="AE124" i="59" s="1"/>
  <c r="AD125" i="59"/>
  <c r="AE125" i="59" s="1"/>
  <c r="AH124" i="59"/>
  <c r="L121" i="59"/>
  <c r="M121" i="59"/>
  <c r="N121" i="59"/>
  <c r="O121" i="59"/>
  <c r="P121" i="59"/>
  <c r="Q121" i="59"/>
  <c r="R121" i="59"/>
  <c r="S121" i="59"/>
  <c r="S126" i="59" s="1"/>
  <c r="S127" i="59" s="1"/>
  <c r="T121" i="59"/>
  <c r="U121" i="59"/>
  <c r="V121" i="59"/>
  <c r="W121" i="59"/>
  <c r="X121" i="59"/>
  <c r="Y121" i="59"/>
  <c r="Z121" i="59"/>
  <c r="L122" i="59"/>
  <c r="M122" i="59"/>
  <c r="N122" i="59"/>
  <c r="O122" i="59"/>
  <c r="P122" i="59"/>
  <c r="Q122" i="59"/>
  <c r="R122" i="59"/>
  <c r="S122" i="59"/>
  <c r="T122" i="59"/>
  <c r="U122" i="59"/>
  <c r="V122" i="59"/>
  <c r="V126" i="59" s="1"/>
  <c r="V127" i="59" s="1"/>
  <c r="W122" i="59"/>
  <c r="X122" i="59"/>
  <c r="Y122" i="59"/>
  <c r="Z122" i="59"/>
  <c r="L123" i="59"/>
  <c r="M123" i="59"/>
  <c r="N123" i="59"/>
  <c r="O123" i="59"/>
  <c r="P123" i="59"/>
  <c r="Q123" i="59"/>
  <c r="R123" i="59"/>
  <c r="S123" i="59"/>
  <c r="T123" i="59"/>
  <c r="U123" i="59"/>
  <c r="V123" i="59"/>
  <c r="W123" i="59"/>
  <c r="X123" i="59"/>
  <c r="Y123" i="59"/>
  <c r="Z123" i="59"/>
  <c r="L124" i="59"/>
  <c r="M124" i="59"/>
  <c r="N124" i="59"/>
  <c r="O124" i="59"/>
  <c r="P124" i="59"/>
  <c r="Q124" i="59"/>
  <c r="R124" i="59"/>
  <c r="S124" i="59"/>
  <c r="T124" i="59"/>
  <c r="U124" i="59"/>
  <c r="V124" i="59"/>
  <c r="W124" i="59"/>
  <c r="X124" i="59"/>
  <c r="Y124" i="59"/>
  <c r="Z124" i="59"/>
  <c r="L125" i="59"/>
  <c r="M125" i="59"/>
  <c r="N125" i="59"/>
  <c r="O125" i="59"/>
  <c r="P125" i="59"/>
  <c r="Q125" i="59"/>
  <c r="R125" i="59"/>
  <c r="S125" i="59"/>
  <c r="T125" i="59"/>
  <c r="U125" i="59"/>
  <c r="V125" i="59"/>
  <c r="W125" i="59"/>
  <c r="X125" i="59"/>
  <c r="Y125" i="59"/>
  <c r="Z125" i="59"/>
  <c r="L126" i="59"/>
  <c r="M126" i="59"/>
  <c r="N126" i="59"/>
  <c r="AH117" i="59"/>
  <c r="AH118" i="59"/>
  <c r="AI118" i="59"/>
  <c r="AF114" i="59"/>
  <c r="AE117" i="59"/>
  <c r="AE118" i="59"/>
  <c r="AF118" i="59"/>
  <c r="AF119" i="59"/>
  <c r="AA114" i="59"/>
  <c r="AI114" i="59" s="1"/>
  <c r="AA115" i="59"/>
  <c r="AI115" i="59" s="1"/>
  <c r="AA116" i="59"/>
  <c r="AI116" i="59" s="1"/>
  <c r="AA117" i="59"/>
  <c r="AA118" i="59"/>
  <c r="AB118" i="59"/>
  <c r="AA119" i="59"/>
  <c r="AI119" i="59" s="1"/>
  <c r="L114" i="59"/>
  <c r="M114" i="59"/>
  <c r="N114" i="59"/>
  <c r="L115" i="59"/>
  <c r="M115" i="59"/>
  <c r="N115" i="59"/>
  <c r="L116" i="59"/>
  <c r="M116" i="59"/>
  <c r="N116" i="59"/>
  <c r="L117" i="59"/>
  <c r="M117" i="59"/>
  <c r="N117" i="59"/>
  <c r="L118" i="59"/>
  <c r="M118" i="59"/>
  <c r="N118" i="59"/>
  <c r="L119" i="59"/>
  <c r="M119" i="59"/>
  <c r="N119" i="59"/>
  <c r="AH106" i="59"/>
  <c r="AH107" i="59"/>
  <c r="AI107" i="59"/>
  <c r="AH109" i="59"/>
  <c r="AI109" i="59"/>
  <c r="AH110" i="59"/>
  <c r="AI111" i="59"/>
  <c r="AE109" i="59"/>
  <c r="AF109" i="59"/>
  <c r="AE110" i="59"/>
  <c r="AA106" i="59"/>
  <c r="AA107" i="59"/>
  <c r="AF107" i="59" s="1"/>
  <c r="AA108" i="59"/>
  <c r="AI108" i="59" s="1"/>
  <c r="AA109" i="59"/>
  <c r="AB109" i="59"/>
  <c r="AA110" i="59"/>
  <c r="AA111" i="59"/>
  <c r="AF111" i="59" s="1"/>
  <c r="L106" i="59"/>
  <c r="M106" i="59"/>
  <c r="N106" i="59"/>
  <c r="L107" i="59"/>
  <c r="M107" i="59"/>
  <c r="N107" i="59"/>
  <c r="L108" i="59"/>
  <c r="M108" i="59"/>
  <c r="N108" i="59"/>
  <c r="L109" i="59"/>
  <c r="M109" i="59"/>
  <c r="N109" i="59"/>
  <c r="L110" i="59"/>
  <c r="M110" i="59"/>
  <c r="N110" i="59"/>
  <c r="L111" i="59"/>
  <c r="M111" i="59"/>
  <c r="N111" i="59"/>
  <c r="AH99" i="59"/>
  <c r="AI100" i="59"/>
  <c r="AH101" i="59"/>
  <c r="AI101" i="59"/>
  <c r="AH102" i="59"/>
  <c r="AI102" i="59"/>
  <c r="AH103" i="59"/>
  <c r="AF100" i="59"/>
  <c r="AE101" i="59"/>
  <c r="AF101" i="59"/>
  <c r="AE102" i="59"/>
  <c r="AF102" i="59"/>
  <c r="AA98" i="59"/>
  <c r="AI98" i="59" s="1"/>
  <c r="AA99" i="59"/>
  <c r="AA100" i="59"/>
  <c r="AA101" i="59"/>
  <c r="AB101" i="59" s="1"/>
  <c r="AA102" i="59"/>
  <c r="AB102" i="59" s="1"/>
  <c r="AA103" i="59"/>
  <c r="L98" i="59"/>
  <c r="M98" i="59"/>
  <c r="N98" i="59"/>
  <c r="L99" i="59"/>
  <c r="M99" i="59"/>
  <c r="N99" i="59"/>
  <c r="L100" i="59"/>
  <c r="M100" i="59"/>
  <c r="N100" i="59"/>
  <c r="L101" i="59"/>
  <c r="M101" i="59"/>
  <c r="N101" i="59"/>
  <c r="L102" i="59"/>
  <c r="M102" i="59"/>
  <c r="N102" i="59"/>
  <c r="L103" i="59"/>
  <c r="M103" i="59"/>
  <c r="N103" i="59"/>
  <c r="AD93" i="59"/>
  <c r="AD94" i="59"/>
  <c r="AG93" i="59"/>
  <c r="AG94" i="59"/>
  <c r="O93" i="59"/>
  <c r="P93" i="59"/>
  <c r="Q93" i="59"/>
  <c r="R93" i="59"/>
  <c r="S93" i="59"/>
  <c r="T93" i="59"/>
  <c r="U93" i="59"/>
  <c r="V93" i="59"/>
  <c r="W93" i="59"/>
  <c r="X93" i="59"/>
  <c r="Y93" i="59"/>
  <c r="Z93" i="59"/>
  <c r="O94" i="59"/>
  <c r="P94" i="59"/>
  <c r="Q94" i="59"/>
  <c r="R94" i="59"/>
  <c r="S94" i="59"/>
  <c r="T94" i="59"/>
  <c r="U94" i="59"/>
  <c r="V94" i="59"/>
  <c r="W94" i="59"/>
  <c r="X94" i="59"/>
  <c r="Y94" i="59"/>
  <c r="Z94" i="59"/>
  <c r="AA91" i="59"/>
  <c r="AA93" i="59" s="1"/>
  <c r="AA92" i="59"/>
  <c r="N91" i="59"/>
  <c r="N92" i="59"/>
  <c r="I91" i="59"/>
  <c r="J91" i="59"/>
  <c r="I92" i="59"/>
  <c r="J92" i="59"/>
  <c r="AI85" i="59"/>
  <c r="AI86" i="59"/>
  <c r="AF86" i="59"/>
  <c r="AA35" i="59"/>
  <c r="AI35" i="59" s="1"/>
  <c r="AA36" i="59"/>
  <c r="AA37" i="59"/>
  <c r="AI37" i="59" s="1"/>
  <c r="AA38" i="59"/>
  <c r="AA39" i="59"/>
  <c r="AI39" i="59" s="1"/>
  <c r="AA40" i="59"/>
  <c r="AI40" i="59" s="1"/>
  <c r="AA41" i="59"/>
  <c r="AI41" i="59" s="1"/>
  <c r="AA45" i="59"/>
  <c r="AA46" i="59"/>
  <c r="AI46" i="59" s="1"/>
  <c r="AA47" i="59"/>
  <c r="AA48" i="59"/>
  <c r="AI48" i="59" s="1"/>
  <c r="AA49" i="59"/>
  <c r="AA50" i="59"/>
  <c r="AF50" i="59" s="1"/>
  <c r="AA51" i="59"/>
  <c r="AI51" i="59" s="1"/>
  <c r="AA52" i="59"/>
  <c r="AA55" i="59"/>
  <c r="AA56" i="59"/>
  <c r="AI56" i="59" s="1"/>
  <c r="AA57" i="59"/>
  <c r="AA58" i="59"/>
  <c r="AF58" i="59" s="1"/>
  <c r="AA59" i="59"/>
  <c r="AA60" i="59"/>
  <c r="AA61" i="59"/>
  <c r="AF61" i="59" s="1"/>
  <c r="AA65" i="59"/>
  <c r="AB65" i="59" s="1"/>
  <c r="AA66" i="59"/>
  <c r="AA67" i="59"/>
  <c r="AB67" i="59" s="1"/>
  <c r="AA68" i="59"/>
  <c r="AB68" i="59" s="1"/>
  <c r="AA69" i="59"/>
  <c r="AA72" i="59" s="1"/>
  <c r="AA70" i="59"/>
  <c r="AA71" i="59"/>
  <c r="AA73" i="59" s="1"/>
  <c r="AA75" i="59"/>
  <c r="AB75" i="59" s="1"/>
  <c r="AA76" i="59"/>
  <c r="AA77" i="59"/>
  <c r="AA78" i="59"/>
  <c r="AF78" i="59" s="1"/>
  <c r="AA79" i="59"/>
  <c r="AA80" i="59"/>
  <c r="AI80" i="59" s="1"/>
  <c r="AA83" i="59"/>
  <c r="AI83" i="59" s="1"/>
  <c r="AA85" i="59"/>
  <c r="AF85" i="59" s="1"/>
  <c r="AA86" i="59"/>
  <c r="AA87" i="59"/>
  <c r="AI87" i="59" s="1"/>
  <c r="AA88" i="59"/>
  <c r="AI88" i="59" s="1"/>
  <c r="L85" i="59"/>
  <c r="L86" i="59"/>
  <c r="L87" i="59"/>
  <c r="AH83" i="59"/>
  <c r="AH84" i="59"/>
  <c r="AE83" i="59"/>
  <c r="M85" i="59"/>
  <c r="N85" i="59"/>
  <c r="N143" i="59" s="1"/>
  <c r="M86" i="59"/>
  <c r="N86" i="59"/>
  <c r="M87" i="59"/>
  <c r="N87" i="59"/>
  <c r="N144" i="59" s="1"/>
  <c r="M88" i="59"/>
  <c r="N88" i="59"/>
  <c r="I85" i="59"/>
  <c r="J85" i="59"/>
  <c r="I86" i="59"/>
  <c r="J86" i="59"/>
  <c r="I87" i="59"/>
  <c r="J87" i="59"/>
  <c r="I88" i="59"/>
  <c r="J88" i="59"/>
  <c r="L83" i="59"/>
  <c r="M83" i="59"/>
  <c r="N83" i="59"/>
  <c r="I83" i="59"/>
  <c r="J83" i="59"/>
  <c r="AG82" i="59"/>
  <c r="AD82" i="59"/>
  <c r="AE84" i="59" s="1"/>
  <c r="O82" i="59"/>
  <c r="O84" i="59" s="1"/>
  <c r="P82" i="59"/>
  <c r="P84" i="59" s="1"/>
  <c r="Q82" i="59"/>
  <c r="Q84" i="59" s="1"/>
  <c r="R82" i="59"/>
  <c r="R84" i="59" s="1"/>
  <c r="S82" i="59"/>
  <c r="S84" i="59" s="1"/>
  <c r="T82" i="59"/>
  <c r="T84" i="59" s="1"/>
  <c r="U82" i="59"/>
  <c r="U84" i="59" s="1"/>
  <c r="V82" i="59"/>
  <c r="V84" i="59" s="1"/>
  <c r="W82" i="59"/>
  <c r="W84" i="59" s="1"/>
  <c r="X82" i="59"/>
  <c r="X84" i="59" s="1"/>
  <c r="Y82" i="59"/>
  <c r="Y84" i="59" s="1"/>
  <c r="Z82" i="59"/>
  <c r="Z84" i="59" s="1"/>
  <c r="AI75" i="59"/>
  <c r="AI77" i="59"/>
  <c r="AI79" i="59"/>
  <c r="AF75" i="59"/>
  <c r="AF77" i="59"/>
  <c r="AF79" i="59"/>
  <c r="AH75" i="59"/>
  <c r="AH76" i="59"/>
  <c r="AH77" i="59"/>
  <c r="AH78" i="59"/>
  <c r="AH79" i="59"/>
  <c r="AH80" i="59"/>
  <c r="AE74" i="59"/>
  <c r="AE75" i="59"/>
  <c r="AE76" i="59"/>
  <c r="AE77" i="59"/>
  <c r="AE78" i="59"/>
  <c r="AE79" i="59"/>
  <c r="AE80" i="59"/>
  <c r="AB77" i="59"/>
  <c r="AB79" i="59"/>
  <c r="L75" i="59"/>
  <c r="M75" i="59"/>
  <c r="N75" i="59"/>
  <c r="L76" i="59"/>
  <c r="M76" i="59"/>
  <c r="N76" i="59"/>
  <c r="L77" i="59"/>
  <c r="M77" i="59"/>
  <c r="N77" i="59"/>
  <c r="L78" i="59"/>
  <c r="M78" i="59"/>
  <c r="N78" i="59"/>
  <c r="L79" i="59"/>
  <c r="M79" i="59"/>
  <c r="N79" i="59"/>
  <c r="L80" i="59"/>
  <c r="M80" i="59"/>
  <c r="N80" i="59"/>
  <c r="L81" i="59"/>
  <c r="M81" i="59"/>
  <c r="N81" i="59"/>
  <c r="I75" i="59"/>
  <c r="J75" i="59"/>
  <c r="I76" i="59"/>
  <c r="J76" i="59"/>
  <c r="I77" i="59"/>
  <c r="J77" i="59"/>
  <c r="I78" i="59"/>
  <c r="J78" i="59"/>
  <c r="I79" i="59"/>
  <c r="J79" i="59"/>
  <c r="I80" i="59"/>
  <c r="J80" i="59"/>
  <c r="I81" i="59"/>
  <c r="J81" i="59"/>
  <c r="AG73" i="59"/>
  <c r="AH74" i="59" s="1"/>
  <c r="AD73" i="59"/>
  <c r="O73" i="59"/>
  <c r="O74" i="59" s="1"/>
  <c r="P73" i="59"/>
  <c r="P74" i="59" s="1"/>
  <c r="Q73" i="59"/>
  <c r="Q74" i="59" s="1"/>
  <c r="R73" i="59"/>
  <c r="R74" i="59" s="1"/>
  <c r="S73" i="59"/>
  <c r="S74" i="59" s="1"/>
  <c r="T73" i="59"/>
  <c r="U73" i="59"/>
  <c r="V73" i="59"/>
  <c r="W73" i="59"/>
  <c r="X73" i="59"/>
  <c r="X74" i="59" s="1"/>
  <c r="Y73" i="59"/>
  <c r="Y74" i="59" s="1"/>
  <c r="Z73" i="59"/>
  <c r="Z74" i="59" s="1"/>
  <c r="T74" i="59"/>
  <c r="U74" i="59"/>
  <c r="V74" i="59"/>
  <c r="W74" i="59"/>
  <c r="AI66" i="59"/>
  <c r="AI68" i="59"/>
  <c r="AI70" i="59"/>
  <c r="AF66" i="59"/>
  <c r="AF68" i="59"/>
  <c r="AF70" i="59"/>
  <c r="AH71" i="59"/>
  <c r="AE71" i="59"/>
  <c r="AH65" i="59"/>
  <c r="AH66" i="59"/>
  <c r="AH67" i="59"/>
  <c r="AH68" i="59"/>
  <c r="AH69" i="59"/>
  <c r="AE65" i="59"/>
  <c r="AE66" i="59"/>
  <c r="AE67" i="59"/>
  <c r="AE68" i="59"/>
  <c r="AE69" i="59"/>
  <c r="AB66" i="59"/>
  <c r="AB69" i="59"/>
  <c r="L65" i="59"/>
  <c r="M65" i="59"/>
  <c r="N65" i="59"/>
  <c r="L66" i="59"/>
  <c r="M66" i="59"/>
  <c r="N66" i="59"/>
  <c r="L67" i="59"/>
  <c r="M67" i="59"/>
  <c r="N67" i="59"/>
  <c r="L68" i="59"/>
  <c r="M68" i="59"/>
  <c r="N68" i="59"/>
  <c r="L69" i="59"/>
  <c r="M69" i="59"/>
  <c r="N69" i="59"/>
  <c r="L70" i="59"/>
  <c r="M70" i="59"/>
  <c r="N70" i="59"/>
  <c r="L71" i="59"/>
  <c r="M71" i="59"/>
  <c r="N71" i="59"/>
  <c r="L72" i="59"/>
  <c r="M72" i="59"/>
  <c r="N72" i="59"/>
  <c r="I65" i="59"/>
  <c r="J65" i="59"/>
  <c r="I66" i="59"/>
  <c r="J66" i="59"/>
  <c r="I67" i="59"/>
  <c r="J67" i="59"/>
  <c r="I68" i="59"/>
  <c r="J68" i="59"/>
  <c r="I69" i="59"/>
  <c r="J69" i="59"/>
  <c r="I70" i="59"/>
  <c r="J70" i="59"/>
  <c r="I71" i="59"/>
  <c r="J71" i="59"/>
  <c r="I72" i="59"/>
  <c r="J72" i="59"/>
  <c r="AG63" i="59"/>
  <c r="AH64" i="59" s="1"/>
  <c r="AD63" i="59"/>
  <c r="AE64" i="59" s="1"/>
  <c r="O63" i="59"/>
  <c r="P63" i="59"/>
  <c r="Q63" i="59"/>
  <c r="Q64" i="59" s="1"/>
  <c r="R63" i="59"/>
  <c r="R64" i="59" s="1"/>
  <c r="S63" i="59"/>
  <c r="S64" i="59" s="1"/>
  <c r="T63" i="59"/>
  <c r="T64" i="59" s="1"/>
  <c r="U63" i="59"/>
  <c r="V63" i="59"/>
  <c r="V64" i="59" s="1"/>
  <c r="W63" i="59"/>
  <c r="X63" i="59"/>
  <c r="Y63" i="59"/>
  <c r="Y64" i="59" s="1"/>
  <c r="Z63" i="59"/>
  <c r="Z64" i="59" s="1"/>
  <c r="O64" i="59"/>
  <c r="P64" i="59"/>
  <c r="U64" i="59"/>
  <c r="W64" i="59"/>
  <c r="X64" i="59"/>
  <c r="AI55" i="59"/>
  <c r="AI58" i="59"/>
  <c r="AI59" i="59"/>
  <c r="AI61" i="59"/>
  <c r="AF55" i="59"/>
  <c r="AF56" i="59"/>
  <c r="AF59" i="59"/>
  <c r="AH61" i="59"/>
  <c r="AE61" i="59"/>
  <c r="AB61" i="59"/>
  <c r="L55" i="59"/>
  <c r="M55" i="59"/>
  <c r="N55" i="59"/>
  <c r="L56" i="59"/>
  <c r="M56" i="59"/>
  <c r="N56" i="59"/>
  <c r="L57" i="59"/>
  <c r="M57" i="59"/>
  <c r="N57" i="59"/>
  <c r="L58" i="59"/>
  <c r="M58" i="59"/>
  <c r="N58" i="59"/>
  <c r="L59" i="59"/>
  <c r="M59" i="59"/>
  <c r="N59" i="59"/>
  <c r="L60" i="59"/>
  <c r="M60" i="59"/>
  <c r="N60" i="59"/>
  <c r="L61" i="59"/>
  <c r="M61" i="59"/>
  <c r="N61" i="59"/>
  <c r="L62" i="59"/>
  <c r="M62" i="59"/>
  <c r="N62" i="59"/>
  <c r="I55" i="59"/>
  <c r="J55" i="59"/>
  <c r="I56" i="59"/>
  <c r="J56" i="59"/>
  <c r="I57" i="59"/>
  <c r="J57" i="59"/>
  <c r="I58" i="59"/>
  <c r="J58" i="59"/>
  <c r="I59" i="59"/>
  <c r="J59" i="59"/>
  <c r="I60" i="59"/>
  <c r="J60" i="59"/>
  <c r="I61" i="59"/>
  <c r="J61" i="59"/>
  <c r="I62" i="59"/>
  <c r="J62" i="59"/>
  <c r="AG53" i="59"/>
  <c r="AH54" i="59" s="1"/>
  <c r="AD53" i="59"/>
  <c r="AE54" i="59" s="1"/>
  <c r="O53" i="59"/>
  <c r="O54" i="59" s="1"/>
  <c r="P53" i="59"/>
  <c r="Q53" i="59"/>
  <c r="Q54" i="59" s="1"/>
  <c r="R53" i="59"/>
  <c r="R54" i="59" s="1"/>
  <c r="S53" i="59"/>
  <c r="T53" i="59"/>
  <c r="T54" i="59" s="1"/>
  <c r="U53" i="59"/>
  <c r="U54" i="59" s="1"/>
  <c r="V53" i="59"/>
  <c r="W53" i="59"/>
  <c r="W54" i="59" s="1"/>
  <c r="X53" i="59"/>
  <c r="Y53" i="59"/>
  <c r="Y54" i="59" s="1"/>
  <c r="Z53" i="59"/>
  <c r="Z54" i="59" s="1"/>
  <c r="P54" i="59"/>
  <c r="S54" i="59"/>
  <c r="V54" i="59"/>
  <c r="X54" i="59"/>
  <c r="AI45" i="59"/>
  <c r="AI47" i="59"/>
  <c r="AF45" i="59"/>
  <c r="AF46" i="59"/>
  <c r="AF47" i="59"/>
  <c r="AH51" i="59"/>
  <c r="AE51" i="59"/>
  <c r="AB51" i="59"/>
  <c r="AH46" i="59"/>
  <c r="AE47" i="59"/>
  <c r="L45" i="59"/>
  <c r="M45" i="59"/>
  <c r="N45" i="59"/>
  <c r="L46" i="59"/>
  <c r="M46" i="59"/>
  <c r="N46" i="59"/>
  <c r="L47" i="59"/>
  <c r="M47" i="59"/>
  <c r="N47" i="59"/>
  <c r="L48" i="59"/>
  <c r="M48" i="59"/>
  <c r="N48" i="59"/>
  <c r="L49" i="59"/>
  <c r="M49" i="59"/>
  <c r="N49" i="59"/>
  <c r="L50" i="59"/>
  <c r="M50" i="59"/>
  <c r="N50" i="59"/>
  <c r="L51" i="59"/>
  <c r="M51" i="59"/>
  <c r="N51" i="59"/>
  <c r="L52" i="59"/>
  <c r="M52" i="59"/>
  <c r="N52" i="59"/>
  <c r="I45" i="59"/>
  <c r="J45" i="59"/>
  <c r="I46" i="59"/>
  <c r="J46" i="59"/>
  <c r="I47" i="59"/>
  <c r="J47" i="59"/>
  <c r="I48" i="59"/>
  <c r="J48" i="59"/>
  <c r="I49" i="59"/>
  <c r="J49" i="59"/>
  <c r="I50" i="59"/>
  <c r="J50" i="59"/>
  <c r="I51" i="59"/>
  <c r="J51" i="59"/>
  <c r="I52" i="59"/>
  <c r="J52" i="59"/>
  <c r="AG43" i="59"/>
  <c r="AH44" i="59" s="1"/>
  <c r="AD43" i="59"/>
  <c r="AE44" i="59" s="1"/>
  <c r="O43" i="59"/>
  <c r="P43" i="59"/>
  <c r="P44" i="59" s="1"/>
  <c r="Q43" i="59"/>
  <c r="Q44" i="59" s="1"/>
  <c r="R43" i="59"/>
  <c r="R44" i="59" s="1"/>
  <c r="S43" i="59"/>
  <c r="S44" i="59" s="1"/>
  <c r="T43" i="59"/>
  <c r="U43" i="59"/>
  <c r="U44" i="59" s="1"/>
  <c r="V43" i="59"/>
  <c r="V44" i="59" s="1"/>
  <c r="W43" i="59"/>
  <c r="X43" i="59"/>
  <c r="X44" i="59" s="1"/>
  <c r="Y43" i="59"/>
  <c r="Y44" i="59" s="1"/>
  <c r="Z43" i="59"/>
  <c r="O44" i="59"/>
  <c r="T44" i="59"/>
  <c r="W44" i="59"/>
  <c r="Z44" i="59"/>
  <c r="AI38" i="59"/>
  <c r="AF38" i="59"/>
  <c r="AF40" i="59"/>
  <c r="AH41" i="59"/>
  <c r="AE41" i="59"/>
  <c r="AH37" i="59"/>
  <c r="AB37" i="59"/>
  <c r="L35" i="59"/>
  <c r="M35" i="59"/>
  <c r="N35" i="59"/>
  <c r="L36" i="59"/>
  <c r="M36" i="59"/>
  <c r="N36" i="59"/>
  <c r="L37" i="59"/>
  <c r="M37" i="59"/>
  <c r="N37" i="59"/>
  <c r="L38" i="59"/>
  <c r="M38" i="59"/>
  <c r="N38" i="59"/>
  <c r="L39" i="59"/>
  <c r="M39" i="59"/>
  <c r="N39" i="59"/>
  <c r="L40" i="59"/>
  <c r="M40" i="59"/>
  <c r="N40" i="59"/>
  <c r="L41" i="59"/>
  <c r="M41" i="59"/>
  <c r="N41" i="59"/>
  <c r="L42" i="59"/>
  <c r="M42" i="59"/>
  <c r="N42" i="59"/>
  <c r="I35" i="59"/>
  <c r="J35" i="59"/>
  <c r="I36" i="59"/>
  <c r="J36" i="59"/>
  <c r="I37" i="59"/>
  <c r="J37" i="59"/>
  <c r="I38" i="59"/>
  <c r="J38" i="59"/>
  <c r="I39" i="59"/>
  <c r="J39" i="59"/>
  <c r="I40" i="59"/>
  <c r="J40" i="59"/>
  <c r="I41" i="59"/>
  <c r="J41" i="59"/>
  <c r="I42" i="59"/>
  <c r="J42" i="59"/>
  <c r="AG32" i="59"/>
  <c r="AD32" i="59"/>
  <c r="O32" i="59"/>
  <c r="P32" i="59"/>
  <c r="Q32" i="59"/>
  <c r="R32" i="59"/>
  <c r="S32" i="59"/>
  <c r="T32" i="59"/>
  <c r="U32" i="59"/>
  <c r="V32" i="59"/>
  <c r="W32" i="59"/>
  <c r="X32" i="59"/>
  <c r="Y32" i="59"/>
  <c r="Z32" i="59"/>
  <c r="AG31" i="59"/>
  <c r="AD31" i="59"/>
  <c r="O31" i="59"/>
  <c r="P31" i="59"/>
  <c r="Q31" i="59"/>
  <c r="R31" i="59"/>
  <c r="S31" i="59"/>
  <c r="T31" i="59"/>
  <c r="U31" i="59"/>
  <c r="V31" i="59"/>
  <c r="W31" i="59"/>
  <c r="X31" i="59"/>
  <c r="Y31" i="59"/>
  <c r="Z31" i="59"/>
  <c r="AA31" i="59"/>
  <c r="N26" i="59"/>
  <c r="N27" i="59"/>
  <c r="N28" i="59"/>
  <c r="N29" i="59"/>
  <c r="B23" i="59"/>
  <c r="AG16" i="59"/>
  <c r="AG19" i="59"/>
  <c r="AH57" i="59" s="1"/>
  <c r="AG20" i="59"/>
  <c r="AH87" i="59" s="1"/>
  <c r="AD19" i="59"/>
  <c r="AE59" i="59" s="1"/>
  <c r="AD20" i="59"/>
  <c r="AE87" i="59" s="1"/>
  <c r="G19" i="59"/>
  <c r="G20" i="59"/>
  <c r="N19" i="59"/>
  <c r="O19" i="59"/>
  <c r="P19" i="59"/>
  <c r="Q19" i="59"/>
  <c r="R19" i="59"/>
  <c r="S19" i="59"/>
  <c r="T19" i="59"/>
  <c r="U19" i="59"/>
  <c r="V19" i="59"/>
  <c r="W19" i="59"/>
  <c r="X19" i="59"/>
  <c r="Y19" i="59"/>
  <c r="Z19" i="59"/>
  <c r="N20" i="59"/>
  <c r="O20" i="59"/>
  <c r="P20" i="59"/>
  <c r="Q20" i="59"/>
  <c r="R20" i="59"/>
  <c r="S20" i="59"/>
  <c r="T20" i="59"/>
  <c r="U20" i="59"/>
  <c r="V20" i="59"/>
  <c r="W20" i="59"/>
  <c r="X20" i="59"/>
  <c r="Y20" i="59"/>
  <c r="Z20" i="59"/>
  <c r="B17" i="59"/>
  <c r="B18" i="59"/>
  <c r="B19" i="59"/>
  <c r="O16" i="59"/>
  <c r="P16" i="59"/>
  <c r="Q16" i="59"/>
  <c r="R16" i="59"/>
  <c r="S16" i="59"/>
  <c r="T16" i="59"/>
  <c r="U16" i="59"/>
  <c r="V16" i="59"/>
  <c r="W16" i="59"/>
  <c r="X16" i="59"/>
  <c r="Y16" i="59"/>
  <c r="O17" i="59"/>
  <c r="P17" i="59"/>
  <c r="Q17" i="59"/>
  <c r="R17" i="59"/>
  <c r="S17" i="59"/>
  <c r="T17" i="59"/>
  <c r="U17" i="59"/>
  <c r="V17" i="59"/>
  <c r="W17" i="59"/>
  <c r="X17" i="59"/>
  <c r="Y17" i="59"/>
  <c r="Z17" i="59"/>
  <c r="AA17" i="59" s="1"/>
  <c r="AA11" i="59" s="1"/>
  <c r="AA18" i="59" s="1"/>
  <c r="A14" i="59"/>
  <c r="AG12" i="59"/>
  <c r="AG13" i="59"/>
  <c r="AD12" i="59"/>
  <c r="AD13" i="59"/>
  <c r="B12" i="59"/>
  <c r="B13" i="59"/>
  <c r="O11" i="59"/>
  <c r="P11" i="59"/>
  <c r="Q11" i="59"/>
  <c r="R11" i="59"/>
  <c r="S11" i="59"/>
  <c r="T11" i="59"/>
  <c r="U11" i="59"/>
  <c r="V11" i="59"/>
  <c r="W11" i="59"/>
  <c r="X11" i="59"/>
  <c r="Y11" i="59"/>
  <c r="Z11" i="59"/>
  <c r="O12" i="59"/>
  <c r="P12" i="59"/>
  <c r="Q12" i="59"/>
  <c r="R12" i="59"/>
  <c r="S12" i="59"/>
  <c r="T12" i="59"/>
  <c r="U12" i="59"/>
  <c r="V12" i="59"/>
  <c r="W12" i="59"/>
  <c r="X12" i="59"/>
  <c r="Y12" i="59"/>
  <c r="Z12" i="59"/>
  <c r="AA12" i="59"/>
  <c r="O13" i="59"/>
  <c r="P13" i="59"/>
  <c r="Q13" i="59"/>
  <c r="R13" i="59"/>
  <c r="S13" i="59"/>
  <c r="T13" i="59"/>
  <c r="U13" i="59"/>
  <c r="V13" i="59"/>
  <c r="W13" i="59"/>
  <c r="X13" i="59"/>
  <c r="Y13" i="59"/>
  <c r="Z13" i="59"/>
  <c r="AA13" i="59"/>
  <c r="C10" i="59"/>
  <c r="D10" i="59"/>
  <c r="C9" i="59"/>
  <c r="C1" i="59"/>
  <c r="C2" i="59"/>
  <c r="C3" i="59"/>
  <c r="C4" i="59"/>
  <c r="C5" i="59"/>
  <c r="C6" i="59"/>
  <c r="C7" i="59"/>
  <c r="C8" i="59"/>
  <c r="E6" i="59"/>
  <c r="E4" i="59"/>
  <c r="F4" i="59"/>
  <c r="B3" i="59"/>
  <c r="B120" i="11"/>
  <c r="B114" i="11"/>
  <c r="B115" i="11"/>
  <c r="B116" i="11"/>
  <c r="A111" i="11"/>
  <c r="AG94" i="11"/>
  <c r="AD94" i="11"/>
  <c r="O94" i="11"/>
  <c r="P94" i="11"/>
  <c r="Q94" i="11"/>
  <c r="R94" i="11"/>
  <c r="S94" i="11"/>
  <c r="T94" i="11"/>
  <c r="U94" i="11"/>
  <c r="V94" i="11"/>
  <c r="W94" i="11"/>
  <c r="X94" i="11"/>
  <c r="Y94" i="11"/>
  <c r="Z94" i="11"/>
  <c r="R95" i="11"/>
  <c r="Z95" i="11"/>
  <c r="N91" i="11"/>
  <c r="N94" i="11" s="1"/>
  <c r="N92" i="11"/>
  <c r="N95" i="11" s="1"/>
  <c r="I91" i="11"/>
  <c r="AA91" i="11" s="1"/>
  <c r="J91" i="11"/>
  <c r="I92" i="11"/>
  <c r="AA92" i="11" s="1"/>
  <c r="J92" i="11"/>
  <c r="N80" i="11"/>
  <c r="N81" i="11"/>
  <c r="N82" i="11"/>
  <c r="N83" i="11"/>
  <c r="N84" i="11"/>
  <c r="N85" i="11"/>
  <c r="N86" i="11"/>
  <c r="N87" i="11"/>
  <c r="N88" i="11"/>
  <c r="N89" i="11"/>
  <c r="I89" i="11"/>
  <c r="AA89" i="11" s="1"/>
  <c r="J89" i="11"/>
  <c r="B88" i="11"/>
  <c r="B89" i="11"/>
  <c r="B83" i="11"/>
  <c r="B84" i="11"/>
  <c r="B85" i="11"/>
  <c r="AH81" i="11"/>
  <c r="AH83" i="11"/>
  <c r="AH84" i="11"/>
  <c r="AH85" i="11"/>
  <c r="AH86" i="11"/>
  <c r="AH87" i="11"/>
  <c r="AH88" i="11"/>
  <c r="AF88" i="11"/>
  <c r="AA81" i="11"/>
  <c r="AF81" i="11" s="1"/>
  <c r="AA85" i="11"/>
  <c r="AI85" i="11" s="1"/>
  <c r="AB88" i="11"/>
  <c r="I81" i="11"/>
  <c r="K81" i="11" s="1"/>
  <c r="J81" i="11"/>
  <c r="L81" i="11"/>
  <c r="M81" i="11"/>
  <c r="I82" i="11"/>
  <c r="K82" i="11" s="1"/>
  <c r="J82" i="11"/>
  <c r="L82" i="11"/>
  <c r="M82" i="11"/>
  <c r="I83" i="11"/>
  <c r="J83" i="11"/>
  <c r="L83" i="11"/>
  <c r="M83" i="11"/>
  <c r="I84" i="11"/>
  <c r="K84" i="11" s="1"/>
  <c r="J84" i="11"/>
  <c r="L84" i="11"/>
  <c r="M84" i="11"/>
  <c r="I85" i="11"/>
  <c r="J85" i="11"/>
  <c r="L85" i="11"/>
  <c r="M85" i="11"/>
  <c r="I86" i="11"/>
  <c r="AA86" i="11" s="1"/>
  <c r="J86" i="11"/>
  <c r="L86" i="11"/>
  <c r="M86" i="11"/>
  <c r="I87" i="11"/>
  <c r="AA87" i="11" s="1"/>
  <c r="J87" i="11"/>
  <c r="K87" i="11"/>
  <c r="L87" i="11"/>
  <c r="M87" i="11"/>
  <c r="I88" i="11"/>
  <c r="AA88" i="11" s="1"/>
  <c r="AI88" i="11" s="1"/>
  <c r="J88" i="11"/>
  <c r="K88" i="11" s="1"/>
  <c r="L88" i="11"/>
  <c r="M88" i="11"/>
  <c r="I80" i="11"/>
  <c r="J80" i="11"/>
  <c r="A80" i="11"/>
  <c r="AH67" i="11"/>
  <c r="AH68" i="11"/>
  <c r="AH69" i="11"/>
  <c r="AH75" i="11"/>
  <c r="AH76" i="11"/>
  <c r="AI77" i="11"/>
  <c r="AH78" i="11"/>
  <c r="AE67" i="11"/>
  <c r="AE68" i="11"/>
  <c r="AE69" i="11"/>
  <c r="AA70" i="11"/>
  <c r="AI70" i="11" s="1"/>
  <c r="AA77" i="11"/>
  <c r="I67" i="11"/>
  <c r="K67" i="11" s="1"/>
  <c r="J67" i="11"/>
  <c r="L67" i="11"/>
  <c r="M67" i="11"/>
  <c r="N67" i="11"/>
  <c r="I68" i="11"/>
  <c r="J68" i="11"/>
  <c r="L68" i="11"/>
  <c r="M68" i="11"/>
  <c r="N68" i="11"/>
  <c r="I69" i="11"/>
  <c r="AA69" i="11" s="1"/>
  <c r="AI69" i="11" s="1"/>
  <c r="J69" i="11"/>
  <c r="L69" i="11"/>
  <c r="M69" i="11"/>
  <c r="N69" i="11"/>
  <c r="I70" i="11"/>
  <c r="J70" i="11"/>
  <c r="K70" i="11"/>
  <c r="L70" i="11"/>
  <c r="M70" i="11"/>
  <c r="N70" i="11"/>
  <c r="I71" i="11"/>
  <c r="K71" i="11" s="1"/>
  <c r="J71" i="11"/>
  <c r="L71" i="11"/>
  <c r="M71" i="11"/>
  <c r="N71" i="11"/>
  <c r="I72" i="11"/>
  <c r="J72" i="11"/>
  <c r="L72" i="11"/>
  <c r="M72" i="11"/>
  <c r="N72" i="11"/>
  <c r="I73" i="11"/>
  <c r="K73" i="11" s="1"/>
  <c r="J73" i="11"/>
  <c r="L73" i="11"/>
  <c r="M73" i="11"/>
  <c r="N73" i="11"/>
  <c r="I74" i="11"/>
  <c r="AA74" i="11" s="1"/>
  <c r="J74" i="11"/>
  <c r="K74" i="11"/>
  <c r="L74" i="11"/>
  <c r="M74" i="11"/>
  <c r="N74" i="11"/>
  <c r="I75" i="11"/>
  <c r="K75" i="11" s="1"/>
  <c r="J75" i="11"/>
  <c r="L75" i="11"/>
  <c r="M75" i="11"/>
  <c r="N75" i="11"/>
  <c r="I76" i="11"/>
  <c r="J76" i="11"/>
  <c r="L76" i="11"/>
  <c r="M76" i="11"/>
  <c r="N76" i="11"/>
  <c r="I77" i="11"/>
  <c r="J77" i="11"/>
  <c r="K77" i="11"/>
  <c r="L77" i="11"/>
  <c r="M77" i="11"/>
  <c r="N77" i="11"/>
  <c r="I78" i="11"/>
  <c r="K78" i="11" s="1"/>
  <c r="J78" i="11"/>
  <c r="L78" i="11"/>
  <c r="M78" i="11"/>
  <c r="N78" i="11"/>
  <c r="N65" i="11"/>
  <c r="N66" i="11"/>
  <c r="I65" i="11"/>
  <c r="J65" i="11"/>
  <c r="I66" i="11"/>
  <c r="J66" i="11"/>
  <c r="AD63" i="11"/>
  <c r="AG63" i="11"/>
  <c r="N63" i="11"/>
  <c r="O63" i="11"/>
  <c r="O95" i="11" s="1"/>
  <c r="P63" i="11"/>
  <c r="P95" i="11" s="1"/>
  <c r="Q63" i="11"/>
  <c r="Q95" i="11" s="1"/>
  <c r="R63" i="11"/>
  <c r="S63" i="11"/>
  <c r="S95" i="11" s="1"/>
  <c r="T63" i="11"/>
  <c r="T95" i="11" s="1"/>
  <c r="U63" i="11"/>
  <c r="U95" i="11" s="1"/>
  <c r="V63" i="11"/>
  <c r="V95" i="11" s="1"/>
  <c r="W63" i="11"/>
  <c r="W95" i="11" s="1"/>
  <c r="X63" i="11"/>
  <c r="X95" i="11" s="1"/>
  <c r="Y63" i="11"/>
  <c r="Y95" i="11" s="1"/>
  <c r="Z63" i="11"/>
  <c r="AB55" i="11"/>
  <c r="AN55" i="11" s="1"/>
  <c r="AB56" i="11"/>
  <c r="AM56" i="11" s="1"/>
  <c r="AB57" i="11"/>
  <c r="AB58" i="11"/>
  <c r="AB59" i="11"/>
  <c r="AM59" i="11" s="1"/>
  <c r="AB60" i="11"/>
  <c r="AB61" i="11"/>
  <c r="AB62" i="11"/>
  <c r="AM62" i="11" s="1"/>
  <c r="N53" i="11"/>
  <c r="N54" i="11"/>
  <c r="N55" i="11"/>
  <c r="N56" i="11"/>
  <c r="N57" i="11"/>
  <c r="N58" i="11"/>
  <c r="N59" i="11"/>
  <c r="N60" i="11"/>
  <c r="N61" i="11"/>
  <c r="N62" i="11"/>
  <c r="I62" i="11"/>
  <c r="J62" i="11"/>
  <c r="K62" i="11"/>
  <c r="I63" i="11"/>
  <c r="J63" i="11"/>
  <c r="AA60" i="11"/>
  <c r="AF60" i="11" s="1"/>
  <c r="B55" i="11"/>
  <c r="B56" i="11"/>
  <c r="AH55" i="11"/>
  <c r="AI55" i="11"/>
  <c r="AH56" i="11"/>
  <c r="AH57" i="11"/>
  <c r="AN57" i="11" s="1"/>
  <c r="AH58" i="11"/>
  <c r="AH59" i="11"/>
  <c r="AN59" i="11"/>
  <c r="AH60" i="11"/>
  <c r="AL60" i="11"/>
  <c r="AH61" i="11"/>
  <c r="AH62" i="11"/>
  <c r="AN62" i="11" s="1"/>
  <c r="AI62" i="11"/>
  <c r="AE55" i="11"/>
  <c r="AE56" i="11"/>
  <c r="AE57" i="11"/>
  <c r="AM57" i="11" s="1"/>
  <c r="AE58" i="11"/>
  <c r="AE59" i="11"/>
  <c r="AE60" i="11"/>
  <c r="AM60" i="11" s="1"/>
  <c r="AE61" i="11"/>
  <c r="AE62" i="11"/>
  <c r="AF62" i="11"/>
  <c r="I55" i="11"/>
  <c r="AA55" i="11" s="1"/>
  <c r="AF55" i="11" s="1"/>
  <c r="J55" i="11"/>
  <c r="L55" i="11"/>
  <c r="M55" i="11"/>
  <c r="I56" i="11"/>
  <c r="J56" i="11"/>
  <c r="L56" i="11"/>
  <c r="M56" i="11"/>
  <c r="I57" i="11"/>
  <c r="K57" i="11" s="1"/>
  <c r="J57" i="11"/>
  <c r="L57" i="11"/>
  <c r="M57" i="11"/>
  <c r="I58" i="11"/>
  <c r="AA58" i="11" s="1"/>
  <c r="J58" i="11"/>
  <c r="L58" i="11"/>
  <c r="M58" i="11"/>
  <c r="I59" i="11"/>
  <c r="AA59" i="11" s="1"/>
  <c r="AI59" i="11" s="1"/>
  <c r="J59" i="11"/>
  <c r="K59" i="11"/>
  <c r="L59" i="11"/>
  <c r="M59" i="11"/>
  <c r="I60" i="11"/>
  <c r="J60" i="11"/>
  <c r="K60" i="11"/>
  <c r="L60" i="11"/>
  <c r="M60" i="11"/>
  <c r="I61" i="11"/>
  <c r="AA61" i="11" s="1"/>
  <c r="J61" i="11"/>
  <c r="L61" i="11"/>
  <c r="M61" i="11"/>
  <c r="I53" i="11"/>
  <c r="J53" i="11"/>
  <c r="I54" i="11"/>
  <c r="J54" i="11"/>
  <c r="B50" i="11"/>
  <c r="B51" i="11"/>
  <c r="B52" i="11"/>
  <c r="A47" i="11"/>
  <c r="AH36" i="11"/>
  <c r="AH39" i="11"/>
  <c r="AL43" i="11"/>
  <c r="AH44" i="11"/>
  <c r="AH46" i="11"/>
  <c r="AH48" i="11"/>
  <c r="AH49" i="11"/>
  <c r="AH51" i="11"/>
  <c r="AL51" i="11"/>
  <c r="AE39" i="11"/>
  <c r="AE44" i="11"/>
  <c r="AE46" i="11"/>
  <c r="AE48" i="11"/>
  <c r="AE49" i="11"/>
  <c r="AA38" i="11"/>
  <c r="AI38" i="11" s="1"/>
  <c r="AA42" i="11"/>
  <c r="AI42" i="11" s="1"/>
  <c r="AA46" i="11"/>
  <c r="AI46" i="11" s="1"/>
  <c r="AA48" i="11"/>
  <c r="AF48" i="11" s="1"/>
  <c r="AB48" i="11"/>
  <c r="AN48" i="11" s="1"/>
  <c r="I35" i="11"/>
  <c r="AA35" i="11" s="1"/>
  <c r="J35" i="11"/>
  <c r="K35" i="11"/>
  <c r="L35" i="11"/>
  <c r="M35" i="11"/>
  <c r="N35" i="11"/>
  <c r="I36" i="11"/>
  <c r="J36" i="11"/>
  <c r="L36" i="11"/>
  <c r="M36" i="11"/>
  <c r="N36" i="11"/>
  <c r="I37" i="11"/>
  <c r="K37" i="11" s="1"/>
  <c r="J37" i="11"/>
  <c r="L37" i="11"/>
  <c r="M37" i="11"/>
  <c r="N37" i="11"/>
  <c r="I38" i="11"/>
  <c r="K38" i="11" s="1"/>
  <c r="J38" i="11"/>
  <c r="L38" i="11"/>
  <c r="M38" i="11"/>
  <c r="N38" i="11"/>
  <c r="I39" i="11"/>
  <c r="AA39" i="11" s="1"/>
  <c r="J39" i="11"/>
  <c r="K39" i="11"/>
  <c r="L39" i="11"/>
  <c r="M39" i="11"/>
  <c r="N39" i="11"/>
  <c r="I40" i="11"/>
  <c r="K40" i="11" s="1"/>
  <c r="J40" i="11"/>
  <c r="L40" i="11"/>
  <c r="M40" i="11"/>
  <c r="N40" i="11"/>
  <c r="I41" i="11"/>
  <c r="K41" i="11" s="1"/>
  <c r="J41" i="11"/>
  <c r="L41" i="11"/>
  <c r="M41" i="11"/>
  <c r="N41" i="11"/>
  <c r="I42" i="11"/>
  <c r="J42" i="11"/>
  <c r="K42" i="11"/>
  <c r="L42" i="11"/>
  <c r="M42" i="11"/>
  <c r="N42" i="11"/>
  <c r="I43" i="11"/>
  <c r="J43" i="11"/>
  <c r="L43" i="11"/>
  <c r="M43" i="11"/>
  <c r="N43" i="11"/>
  <c r="I44" i="11"/>
  <c r="AA44" i="11" s="1"/>
  <c r="J44" i="11"/>
  <c r="L44" i="11"/>
  <c r="M44" i="11"/>
  <c r="N44" i="11"/>
  <c r="I45" i="11"/>
  <c r="K45" i="11" s="1"/>
  <c r="J45" i="11"/>
  <c r="L45" i="11"/>
  <c r="M45" i="11"/>
  <c r="N45" i="11"/>
  <c r="I46" i="11"/>
  <c r="J46" i="11"/>
  <c r="K46" i="11"/>
  <c r="L46" i="11"/>
  <c r="M46" i="11"/>
  <c r="N46" i="11"/>
  <c r="I47" i="11"/>
  <c r="AA47" i="11" s="1"/>
  <c r="J47" i="11"/>
  <c r="L47" i="11"/>
  <c r="M47" i="11"/>
  <c r="N47" i="11"/>
  <c r="I48" i="11"/>
  <c r="J48" i="11"/>
  <c r="K48" i="11"/>
  <c r="L48" i="11"/>
  <c r="M48" i="11"/>
  <c r="N48" i="11"/>
  <c r="I49" i="11"/>
  <c r="K49" i="11" s="1"/>
  <c r="J49" i="11"/>
  <c r="L49" i="11"/>
  <c r="M49" i="11"/>
  <c r="N49" i="11"/>
  <c r="I50" i="11"/>
  <c r="J50" i="11"/>
  <c r="L50" i="11"/>
  <c r="M50" i="11"/>
  <c r="N50" i="11"/>
  <c r="I51" i="11"/>
  <c r="AA51" i="11" s="1"/>
  <c r="J51" i="11"/>
  <c r="K51" i="11"/>
  <c r="L51" i="11"/>
  <c r="M51" i="11"/>
  <c r="N51" i="11"/>
  <c r="N33" i="11"/>
  <c r="N34" i="11"/>
  <c r="I33" i="11"/>
  <c r="J33" i="11"/>
  <c r="I34" i="11"/>
  <c r="J34" i="11"/>
  <c r="AL32" i="11"/>
  <c r="AG32" i="11"/>
  <c r="AD32" i="11"/>
  <c r="AK32" i="11" s="1"/>
  <c r="O32" i="11"/>
  <c r="P32" i="11"/>
  <c r="Q32" i="11"/>
  <c r="R32" i="11"/>
  <c r="S32" i="11"/>
  <c r="T32" i="11"/>
  <c r="U32" i="11"/>
  <c r="V32" i="11"/>
  <c r="W32" i="11"/>
  <c r="X32" i="11"/>
  <c r="Y32" i="11"/>
  <c r="Z32" i="11"/>
  <c r="AJ32" i="11" s="1"/>
  <c r="AJ31" i="11"/>
  <c r="AK31" i="11"/>
  <c r="AL31" i="11"/>
  <c r="AN31" i="11" s="1"/>
  <c r="AM31" i="11"/>
  <c r="AG31" i="11"/>
  <c r="AD31" i="11"/>
  <c r="O31" i="11"/>
  <c r="P31" i="11"/>
  <c r="Q31" i="11"/>
  <c r="R31" i="11"/>
  <c r="S31" i="11"/>
  <c r="T31" i="11"/>
  <c r="U31" i="11"/>
  <c r="V31" i="11"/>
  <c r="W31" i="11"/>
  <c r="X31" i="11"/>
  <c r="Y31" i="11"/>
  <c r="Z31" i="11"/>
  <c r="AA31" i="11"/>
  <c r="N26" i="11"/>
  <c r="N27" i="11"/>
  <c r="N28" i="11"/>
  <c r="N29" i="11"/>
  <c r="B22" i="11"/>
  <c r="B23" i="11"/>
  <c r="AG16" i="11"/>
  <c r="AG19" i="11"/>
  <c r="AH91" i="11" s="1"/>
  <c r="AG20" i="11"/>
  <c r="AL56" i="11" s="1"/>
  <c r="AD19" i="11"/>
  <c r="AD20" i="11"/>
  <c r="AK83" i="11" s="1"/>
  <c r="G19" i="11"/>
  <c r="G20" i="11"/>
  <c r="N19" i="11"/>
  <c r="O19" i="11"/>
  <c r="P19" i="11"/>
  <c r="Q19" i="11"/>
  <c r="R19" i="11"/>
  <c r="S19" i="11"/>
  <c r="T19" i="11"/>
  <c r="U19" i="11"/>
  <c r="V19" i="11"/>
  <c r="W19" i="11"/>
  <c r="X19" i="11"/>
  <c r="Y19" i="11"/>
  <c r="Z19" i="11"/>
  <c r="N20" i="11"/>
  <c r="O20" i="11"/>
  <c r="P20" i="11"/>
  <c r="Q20" i="11"/>
  <c r="R20" i="11"/>
  <c r="S20" i="11"/>
  <c r="T20" i="11"/>
  <c r="U20" i="11"/>
  <c r="V20" i="11"/>
  <c r="W20" i="11"/>
  <c r="X20" i="11"/>
  <c r="Y20" i="11"/>
  <c r="Z20" i="11"/>
  <c r="B17" i="11"/>
  <c r="B18" i="11"/>
  <c r="B19" i="11"/>
  <c r="O16" i="11"/>
  <c r="P16" i="11"/>
  <c r="Q16" i="11"/>
  <c r="R16" i="11"/>
  <c r="S16" i="11"/>
  <c r="T16" i="11"/>
  <c r="U16" i="11"/>
  <c r="V16" i="11"/>
  <c r="W16" i="11"/>
  <c r="X16" i="11"/>
  <c r="Y16" i="11"/>
  <c r="O17" i="11"/>
  <c r="P17" i="11"/>
  <c r="Q17" i="11"/>
  <c r="R17" i="11"/>
  <c r="S17" i="11"/>
  <c r="T17" i="11"/>
  <c r="U17" i="11"/>
  <c r="V17" i="11"/>
  <c r="W17" i="11"/>
  <c r="X17" i="11"/>
  <c r="Y17" i="11"/>
  <c r="Z17" i="11"/>
  <c r="AA17" i="11" s="1"/>
  <c r="AA11" i="11" s="1"/>
  <c r="A14" i="11"/>
  <c r="AG12" i="11"/>
  <c r="AG13" i="11"/>
  <c r="AD12" i="11"/>
  <c r="AD13" i="11"/>
  <c r="B12" i="11"/>
  <c r="B13" i="11"/>
  <c r="O11" i="11"/>
  <c r="P11" i="11"/>
  <c r="Q11" i="11"/>
  <c r="R11" i="11"/>
  <c r="S11" i="11"/>
  <c r="T11" i="11"/>
  <c r="U11" i="11"/>
  <c r="V11" i="11"/>
  <c r="W11" i="11"/>
  <c r="X11" i="11"/>
  <c r="Y11" i="11"/>
  <c r="Z11" i="11"/>
  <c r="O12" i="11"/>
  <c r="P12" i="11"/>
  <c r="Q12" i="11"/>
  <c r="R12" i="11"/>
  <c r="S12" i="11"/>
  <c r="T12" i="11"/>
  <c r="U12" i="11"/>
  <c r="V12" i="11"/>
  <c r="W12" i="11"/>
  <c r="X12" i="11"/>
  <c r="Y12" i="11"/>
  <c r="Z12" i="11"/>
  <c r="AA12" i="11"/>
  <c r="O13" i="11"/>
  <c r="P13" i="11"/>
  <c r="Q13" i="11"/>
  <c r="R13" i="11"/>
  <c r="S13" i="11"/>
  <c r="T13" i="11"/>
  <c r="U13" i="11"/>
  <c r="V13" i="11"/>
  <c r="W13" i="11"/>
  <c r="X13" i="11"/>
  <c r="Y13" i="11"/>
  <c r="Z13" i="11"/>
  <c r="AA13" i="11"/>
  <c r="C10" i="11"/>
  <c r="D10" i="11"/>
  <c r="Z16" i="11" s="1"/>
  <c r="C9" i="11"/>
  <c r="C1" i="11"/>
  <c r="C2" i="11"/>
  <c r="C3" i="11"/>
  <c r="C4" i="11"/>
  <c r="C5" i="11"/>
  <c r="C6" i="11"/>
  <c r="C7" i="11"/>
  <c r="C8" i="11"/>
  <c r="E6" i="11"/>
  <c r="B62" i="11" s="1"/>
  <c r="E4" i="11"/>
  <c r="F4" i="11"/>
  <c r="B3" i="11"/>
  <c r="AG143" i="58"/>
  <c r="AG144" i="58"/>
  <c r="AG145" i="58"/>
  <c r="AG146" i="58"/>
  <c r="AD143" i="58"/>
  <c r="AD144" i="58"/>
  <c r="AD145" i="58"/>
  <c r="AD146" i="58"/>
  <c r="O143" i="58"/>
  <c r="P143" i="58"/>
  <c r="Q143" i="58"/>
  <c r="R143" i="58"/>
  <c r="S143" i="58"/>
  <c r="T143" i="58"/>
  <c r="U143" i="58"/>
  <c r="V143" i="58"/>
  <c r="W143" i="58"/>
  <c r="X143" i="58"/>
  <c r="Y143" i="58"/>
  <c r="Z143" i="58"/>
  <c r="O144" i="58"/>
  <c r="P144" i="58"/>
  <c r="Q144" i="58"/>
  <c r="R144" i="58"/>
  <c r="S144" i="58"/>
  <c r="T144" i="58"/>
  <c r="U144" i="58"/>
  <c r="V144" i="58"/>
  <c r="W144" i="58"/>
  <c r="X144" i="58"/>
  <c r="Y144" i="58"/>
  <c r="Z144" i="58"/>
  <c r="O145" i="58"/>
  <c r="P145" i="58"/>
  <c r="Q145" i="58"/>
  <c r="R145" i="58"/>
  <c r="S145" i="58"/>
  <c r="T145" i="58"/>
  <c r="U145" i="58"/>
  <c r="V145" i="58"/>
  <c r="W145" i="58"/>
  <c r="X145" i="58"/>
  <c r="Y145" i="58"/>
  <c r="Z145" i="58"/>
  <c r="O146" i="58"/>
  <c r="P146" i="58"/>
  <c r="Q146" i="58"/>
  <c r="R146" i="58"/>
  <c r="S146" i="58"/>
  <c r="T146" i="58"/>
  <c r="U146" i="58"/>
  <c r="V146" i="58"/>
  <c r="W146" i="58"/>
  <c r="X146" i="58"/>
  <c r="Y146" i="58"/>
  <c r="Z146" i="58"/>
  <c r="AI131" i="58"/>
  <c r="AI133" i="58"/>
  <c r="AI134" i="58"/>
  <c r="AI135" i="58"/>
  <c r="AI137" i="58"/>
  <c r="AI139" i="58"/>
  <c r="AG141" i="58"/>
  <c r="AD141" i="58"/>
  <c r="O141" i="58"/>
  <c r="P141" i="58"/>
  <c r="Q141" i="58"/>
  <c r="R141" i="58"/>
  <c r="S141" i="58"/>
  <c r="T141" i="58"/>
  <c r="U141" i="58"/>
  <c r="V141" i="58"/>
  <c r="W141" i="58"/>
  <c r="X141" i="58"/>
  <c r="Y141" i="58"/>
  <c r="Z141" i="58"/>
  <c r="AH140" i="58"/>
  <c r="AE140" i="58"/>
  <c r="AA140" i="58"/>
  <c r="AI140" i="58" s="1"/>
  <c r="AB140" i="58"/>
  <c r="AF131" i="58"/>
  <c r="AF133" i="58"/>
  <c r="AF135" i="58"/>
  <c r="AF136" i="58"/>
  <c r="AF137" i="58"/>
  <c r="AF139" i="58"/>
  <c r="AH138" i="58"/>
  <c r="AE138" i="58"/>
  <c r="AA138" i="58"/>
  <c r="AF138" i="58" s="1"/>
  <c r="AB138" i="58"/>
  <c r="AH136" i="58"/>
  <c r="AE136" i="58"/>
  <c r="AA136" i="58"/>
  <c r="AI136" i="58" s="1"/>
  <c r="AB136" i="58"/>
  <c r="AH134" i="58"/>
  <c r="AE134" i="58"/>
  <c r="AA134" i="58"/>
  <c r="AF134" i="58" s="1"/>
  <c r="AB134" i="58"/>
  <c r="AH132" i="58"/>
  <c r="AE132" i="58"/>
  <c r="AA132" i="58"/>
  <c r="AI132" i="58" s="1"/>
  <c r="AB132" i="58"/>
  <c r="AH130" i="58"/>
  <c r="AE130" i="58"/>
  <c r="AA130" i="58"/>
  <c r="AF130" i="58" s="1"/>
  <c r="AB130" i="58"/>
  <c r="L130" i="58"/>
  <c r="M130" i="58"/>
  <c r="N130" i="58"/>
  <c r="L131" i="58"/>
  <c r="M131" i="58"/>
  <c r="N131" i="58"/>
  <c r="L132" i="58"/>
  <c r="M132" i="58"/>
  <c r="N132" i="58"/>
  <c r="L133" i="58"/>
  <c r="M133" i="58"/>
  <c r="N133" i="58"/>
  <c r="L134" i="58"/>
  <c r="M134" i="58"/>
  <c r="N134" i="58"/>
  <c r="L135" i="58"/>
  <c r="M135" i="58"/>
  <c r="N135" i="58"/>
  <c r="L136" i="58"/>
  <c r="M136" i="58"/>
  <c r="N136" i="58"/>
  <c r="L137" i="58"/>
  <c r="M137" i="58"/>
  <c r="N137" i="58"/>
  <c r="L138" i="58"/>
  <c r="M138" i="58"/>
  <c r="N138" i="58"/>
  <c r="L139" i="58"/>
  <c r="M139" i="58"/>
  <c r="N139" i="58"/>
  <c r="L140" i="58"/>
  <c r="M140" i="58"/>
  <c r="N140" i="58"/>
  <c r="N129" i="58"/>
  <c r="AG121" i="58"/>
  <c r="AG122" i="58"/>
  <c r="AH122" i="58" s="1"/>
  <c r="AG123" i="58"/>
  <c r="AH123" i="58" s="1"/>
  <c r="AG124" i="58"/>
  <c r="AH124" i="58" s="1"/>
  <c r="AG125" i="58"/>
  <c r="AD121" i="58"/>
  <c r="AE121" i="58" s="1"/>
  <c r="AD122" i="58"/>
  <c r="AE122" i="58" s="1"/>
  <c r="AD123" i="58"/>
  <c r="AD124" i="58"/>
  <c r="AD125" i="58"/>
  <c r="AH121" i="58"/>
  <c r="AH125" i="58"/>
  <c r="AE123" i="58"/>
  <c r="L121" i="58"/>
  <c r="M121" i="58"/>
  <c r="N121" i="58"/>
  <c r="O121" i="58"/>
  <c r="P121" i="58"/>
  <c r="Q121" i="58"/>
  <c r="Q126" i="58" s="1"/>
  <c r="Q127" i="58" s="1"/>
  <c r="R121" i="58"/>
  <c r="S121" i="58"/>
  <c r="S126" i="58" s="1"/>
  <c r="S127" i="58" s="1"/>
  <c r="T121" i="58"/>
  <c r="U121" i="58"/>
  <c r="V121" i="58"/>
  <c r="W121" i="58"/>
  <c r="X121" i="58"/>
  <c r="Y121" i="58"/>
  <c r="Y126" i="58" s="1"/>
  <c r="Y127" i="58" s="1"/>
  <c r="Z121" i="58"/>
  <c r="L122" i="58"/>
  <c r="M122" i="58"/>
  <c r="N122" i="58"/>
  <c r="O122" i="58"/>
  <c r="P122" i="58"/>
  <c r="Q122" i="58"/>
  <c r="R122" i="58"/>
  <c r="S122" i="58"/>
  <c r="T122" i="58"/>
  <c r="U122" i="58"/>
  <c r="V122" i="58"/>
  <c r="W122" i="58"/>
  <c r="X122" i="58"/>
  <c r="Y122" i="58"/>
  <c r="Z122" i="58"/>
  <c r="L123" i="58"/>
  <c r="M123" i="58"/>
  <c r="N123" i="58"/>
  <c r="O123" i="58"/>
  <c r="P123" i="58"/>
  <c r="Q123" i="58"/>
  <c r="R123" i="58"/>
  <c r="S123" i="58"/>
  <c r="T123" i="58"/>
  <c r="U123" i="58"/>
  <c r="V123" i="58"/>
  <c r="W123" i="58"/>
  <c r="X123" i="58"/>
  <c r="Y123" i="58"/>
  <c r="Z123" i="58"/>
  <c r="Z126" i="58" s="1"/>
  <c r="Z127" i="58" s="1"/>
  <c r="L124" i="58"/>
  <c r="M124" i="58"/>
  <c r="N124" i="58"/>
  <c r="O124" i="58"/>
  <c r="P124" i="58"/>
  <c r="Q124" i="58"/>
  <c r="R124" i="58"/>
  <c r="S124" i="58"/>
  <c r="T124" i="58"/>
  <c r="U124" i="58"/>
  <c r="V124" i="58"/>
  <c r="W124" i="58"/>
  <c r="W126" i="58" s="1"/>
  <c r="W127" i="58" s="1"/>
  <c r="X124" i="58"/>
  <c r="Y124" i="58"/>
  <c r="Z124" i="58"/>
  <c r="L125" i="58"/>
  <c r="M125" i="58"/>
  <c r="N125" i="58"/>
  <c r="O125" i="58"/>
  <c r="P125" i="58"/>
  <c r="P126" i="58" s="1"/>
  <c r="P127" i="58" s="1"/>
  <c r="Q125" i="58"/>
  <c r="R125" i="58"/>
  <c r="S125" i="58"/>
  <c r="T125" i="58"/>
  <c r="U125" i="58"/>
  <c r="V125" i="58"/>
  <c r="W125" i="58"/>
  <c r="X125" i="58"/>
  <c r="X126" i="58" s="1"/>
  <c r="X127" i="58" s="1"/>
  <c r="Y125" i="58"/>
  <c r="Z125" i="58"/>
  <c r="L126" i="58"/>
  <c r="M126" i="58"/>
  <c r="N126" i="58"/>
  <c r="O126" i="58"/>
  <c r="O127" i="58" s="1"/>
  <c r="AI114" i="58"/>
  <c r="AH115" i="58"/>
  <c r="AH116" i="58"/>
  <c r="AH118" i="58"/>
  <c r="AI118" i="58"/>
  <c r="AH119" i="58"/>
  <c r="AE114" i="58"/>
  <c r="AE115" i="58"/>
  <c r="AE116" i="58"/>
  <c r="AF116" i="58"/>
  <c r="AF117" i="58"/>
  <c r="AE118" i="58"/>
  <c r="AF118" i="58"/>
  <c r="AA114" i="58"/>
  <c r="AF114" i="58" s="1"/>
  <c r="AA115" i="58"/>
  <c r="AF115" i="58" s="1"/>
  <c r="AA116" i="58"/>
  <c r="AI116" i="58" s="1"/>
  <c r="AA117" i="58"/>
  <c r="AI117" i="58" s="1"/>
  <c r="AA118" i="58"/>
  <c r="AA119" i="58"/>
  <c r="AF119" i="58" s="1"/>
  <c r="L114" i="58"/>
  <c r="M114" i="58"/>
  <c r="N114" i="58"/>
  <c r="L115" i="58"/>
  <c r="M115" i="58"/>
  <c r="N115" i="58"/>
  <c r="L116" i="58"/>
  <c r="M116" i="58"/>
  <c r="N116" i="58"/>
  <c r="L117" i="58"/>
  <c r="M117" i="58"/>
  <c r="N117" i="58"/>
  <c r="L118" i="58"/>
  <c r="M118" i="58"/>
  <c r="N118" i="58"/>
  <c r="L119" i="58"/>
  <c r="M119" i="58"/>
  <c r="N119" i="58"/>
  <c r="AH107" i="58"/>
  <c r="AH108" i="58"/>
  <c r="AH110" i="58"/>
  <c r="AI111" i="58"/>
  <c r="AE106" i="58"/>
  <c r="AE107" i="58"/>
  <c r="AF107" i="58"/>
  <c r="AE108" i="58"/>
  <c r="AF109" i="58"/>
  <c r="AE110" i="58"/>
  <c r="AF110" i="58"/>
  <c r="AA106" i="58"/>
  <c r="AI106" i="58" s="1"/>
  <c r="AA107" i="58"/>
  <c r="AI107" i="58" s="1"/>
  <c r="AA108" i="58"/>
  <c r="AF108" i="58" s="1"/>
  <c r="AA109" i="58"/>
  <c r="AI109" i="58" s="1"/>
  <c r="AA110" i="58"/>
  <c r="AI110" i="58" s="1"/>
  <c r="AA111" i="58"/>
  <c r="AF111" i="58" s="1"/>
  <c r="L106" i="58"/>
  <c r="M106" i="58"/>
  <c r="N106" i="58"/>
  <c r="L107" i="58"/>
  <c r="M107" i="58"/>
  <c r="N107" i="58"/>
  <c r="L108" i="58"/>
  <c r="M108" i="58"/>
  <c r="N108" i="58"/>
  <c r="L109" i="58"/>
  <c r="M109" i="58"/>
  <c r="N109" i="58"/>
  <c r="L110" i="58"/>
  <c r="M110" i="58"/>
  <c r="N110" i="58"/>
  <c r="L111" i="58"/>
  <c r="M111" i="58"/>
  <c r="N111" i="58"/>
  <c r="AI98" i="58"/>
  <c r="AH99" i="58"/>
  <c r="AH100" i="58"/>
  <c r="AI100" i="58"/>
  <c r="AH101" i="58"/>
  <c r="AH102" i="58"/>
  <c r="AE98" i="58"/>
  <c r="AF98" i="58"/>
  <c r="AE99" i="58"/>
  <c r="AE100" i="58"/>
  <c r="AF100" i="58"/>
  <c r="AE102" i="58"/>
  <c r="AF102" i="58"/>
  <c r="AF103" i="58"/>
  <c r="AA98" i="58"/>
  <c r="AA99" i="58"/>
  <c r="AI99" i="58" s="1"/>
  <c r="AA100" i="58"/>
  <c r="AA101" i="58"/>
  <c r="AF101" i="58" s="1"/>
  <c r="AA102" i="58"/>
  <c r="AI102" i="58" s="1"/>
  <c r="AA103" i="58"/>
  <c r="AI103" i="58" s="1"/>
  <c r="L98" i="58"/>
  <c r="M98" i="58"/>
  <c r="N98" i="58"/>
  <c r="L99" i="58"/>
  <c r="M99" i="58"/>
  <c r="N99" i="58"/>
  <c r="L100" i="58"/>
  <c r="M100" i="58"/>
  <c r="N100" i="58"/>
  <c r="L101" i="58"/>
  <c r="M101" i="58"/>
  <c r="N101" i="58"/>
  <c r="L102" i="58"/>
  <c r="M102" i="58"/>
  <c r="N102" i="58"/>
  <c r="L103" i="58"/>
  <c r="M103" i="58"/>
  <c r="N103" i="58"/>
  <c r="AD93" i="58"/>
  <c r="AD94" i="58"/>
  <c r="AG93" i="58"/>
  <c r="AG94" i="58"/>
  <c r="O93" i="58"/>
  <c r="P93" i="58"/>
  <c r="Q93" i="58"/>
  <c r="R93" i="58"/>
  <c r="S93" i="58"/>
  <c r="T93" i="58"/>
  <c r="U93" i="58"/>
  <c r="V93" i="58"/>
  <c r="W93" i="58"/>
  <c r="X93" i="58"/>
  <c r="Y93" i="58"/>
  <c r="Z93" i="58"/>
  <c r="O94" i="58"/>
  <c r="P94" i="58"/>
  <c r="Q94" i="58"/>
  <c r="R94" i="58"/>
  <c r="S94" i="58"/>
  <c r="T94" i="58"/>
  <c r="U94" i="58"/>
  <c r="V94" i="58"/>
  <c r="W94" i="58"/>
  <c r="X94" i="58"/>
  <c r="Y94" i="58"/>
  <c r="Z94" i="58"/>
  <c r="AA94" i="58"/>
  <c r="AA91" i="58"/>
  <c r="AA93" i="58" s="1"/>
  <c r="AA92" i="58"/>
  <c r="AF92" i="58" s="1"/>
  <c r="N91" i="58"/>
  <c r="N92" i="58"/>
  <c r="I91" i="58"/>
  <c r="J91" i="58"/>
  <c r="I92" i="58"/>
  <c r="J92" i="58"/>
  <c r="AI87" i="58"/>
  <c r="AF87" i="58"/>
  <c r="AA35" i="58"/>
  <c r="AF35" i="58" s="1"/>
  <c r="AA36" i="58"/>
  <c r="AI36" i="58" s="1"/>
  <c r="AA37" i="58"/>
  <c r="AA38" i="58"/>
  <c r="AF38" i="58" s="1"/>
  <c r="AA39" i="58"/>
  <c r="AA40" i="58"/>
  <c r="AI40" i="58" s="1"/>
  <c r="AA41" i="58"/>
  <c r="AA42" i="58"/>
  <c r="AI42" i="58" s="1"/>
  <c r="AA43" i="58"/>
  <c r="AA44" i="58"/>
  <c r="AA45" i="58"/>
  <c r="AI45" i="58" s="1"/>
  <c r="AA46" i="58"/>
  <c r="AI46" i="58" s="1"/>
  <c r="AA47" i="58"/>
  <c r="AA48" i="58"/>
  <c r="AI48" i="58" s="1"/>
  <c r="AA49" i="58"/>
  <c r="AA50" i="58"/>
  <c r="AF50" i="58" s="1"/>
  <c r="AA51" i="58"/>
  <c r="AA53" i="58" s="1"/>
  <c r="AA54" i="58" s="1"/>
  <c r="AA52" i="58"/>
  <c r="AF52" i="58" s="1"/>
  <c r="AA55" i="58"/>
  <c r="AF55" i="58" s="1"/>
  <c r="AA56" i="58"/>
  <c r="AI56" i="58" s="1"/>
  <c r="AA57" i="58"/>
  <c r="AF57" i="58" s="1"/>
  <c r="AA58" i="58"/>
  <c r="AA59" i="58"/>
  <c r="AA60" i="58"/>
  <c r="AI60" i="58" s="1"/>
  <c r="AA61" i="58"/>
  <c r="AA65" i="58"/>
  <c r="AA66" i="58"/>
  <c r="AA67" i="58"/>
  <c r="AF67" i="58" s="1"/>
  <c r="AA68" i="58"/>
  <c r="AA69" i="58"/>
  <c r="AA70" i="58"/>
  <c r="AI70" i="58" s="1"/>
  <c r="AA71" i="58"/>
  <c r="AI71" i="58" s="1"/>
  <c r="AA75" i="58"/>
  <c r="AA76" i="58"/>
  <c r="AI76" i="58" s="1"/>
  <c r="AA77" i="58"/>
  <c r="AA78" i="58"/>
  <c r="AF78" i="58" s="1"/>
  <c r="AA79" i="58"/>
  <c r="AI79" i="58" s="1"/>
  <c r="AA80" i="58"/>
  <c r="AA83" i="58"/>
  <c r="AI83" i="58" s="1"/>
  <c r="AA85" i="58"/>
  <c r="AA86" i="58"/>
  <c r="AA87" i="58"/>
  <c r="N85" i="58"/>
  <c r="N143" i="58" s="1"/>
  <c r="N86" i="58"/>
  <c r="N87" i="58"/>
  <c r="N144" i="58" s="1"/>
  <c r="N88" i="58"/>
  <c r="N145" i="58" s="1"/>
  <c r="AH83" i="58"/>
  <c r="AE83" i="58"/>
  <c r="AE84" i="58"/>
  <c r="L85" i="58"/>
  <c r="M85" i="58"/>
  <c r="L86" i="58"/>
  <c r="M86" i="58"/>
  <c r="L87" i="58"/>
  <c r="M87" i="58"/>
  <c r="I85" i="58"/>
  <c r="J85" i="58"/>
  <c r="I86" i="58"/>
  <c r="J86" i="58"/>
  <c r="I87" i="58"/>
  <c r="J87" i="58"/>
  <c r="I88" i="58"/>
  <c r="J88" i="58"/>
  <c r="V84" i="58"/>
  <c r="Z84" i="58"/>
  <c r="AF83" i="58"/>
  <c r="L83" i="58"/>
  <c r="M83" i="58"/>
  <c r="N83" i="58"/>
  <c r="I83" i="58"/>
  <c r="J83" i="58"/>
  <c r="AG82" i="58"/>
  <c r="AH84" i="58" s="1"/>
  <c r="AD82" i="58"/>
  <c r="O82" i="58"/>
  <c r="O84" i="58" s="1"/>
  <c r="P82" i="58"/>
  <c r="P84" i="58" s="1"/>
  <c r="Q82" i="58"/>
  <c r="Q84" i="58" s="1"/>
  <c r="R82" i="58"/>
  <c r="R84" i="58" s="1"/>
  <c r="S82" i="58"/>
  <c r="S84" i="58" s="1"/>
  <c r="T82" i="58"/>
  <c r="T84" i="58" s="1"/>
  <c r="U82" i="58"/>
  <c r="U84" i="58" s="1"/>
  <c r="V82" i="58"/>
  <c r="W82" i="58"/>
  <c r="W84" i="58" s="1"/>
  <c r="X82" i="58"/>
  <c r="X84" i="58" s="1"/>
  <c r="Y82" i="58"/>
  <c r="Y84" i="58" s="1"/>
  <c r="Z82" i="58"/>
  <c r="AI80" i="58"/>
  <c r="AF76" i="58"/>
  <c r="AF79" i="58"/>
  <c r="AH75" i="58"/>
  <c r="AH76" i="58"/>
  <c r="AH77" i="58"/>
  <c r="AH78" i="58"/>
  <c r="AH79" i="58"/>
  <c r="AH80" i="58"/>
  <c r="AE74" i="58"/>
  <c r="AE75" i="58"/>
  <c r="AE76" i="58"/>
  <c r="AE77" i="58"/>
  <c r="AE78" i="58"/>
  <c r="AE79" i="58"/>
  <c r="AE80" i="58"/>
  <c r="L75" i="58"/>
  <c r="M75" i="58"/>
  <c r="N75" i="58"/>
  <c r="L76" i="58"/>
  <c r="M76" i="58"/>
  <c r="N76" i="58"/>
  <c r="L77" i="58"/>
  <c r="M77" i="58"/>
  <c r="N77" i="58"/>
  <c r="L78" i="58"/>
  <c r="M78" i="58"/>
  <c r="N78" i="58"/>
  <c r="L79" i="58"/>
  <c r="M79" i="58"/>
  <c r="N79" i="58"/>
  <c r="L80" i="58"/>
  <c r="M80" i="58"/>
  <c r="N80" i="58"/>
  <c r="L81" i="58"/>
  <c r="M81" i="58"/>
  <c r="N81" i="58"/>
  <c r="I75" i="58"/>
  <c r="J75" i="58"/>
  <c r="I76" i="58"/>
  <c r="J76" i="58"/>
  <c r="I77" i="58"/>
  <c r="J77" i="58"/>
  <c r="I78" i="58"/>
  <c r="J78" i="58"/>
  <c r="I79" i="58"/>
  <c r="J79" i="58"/>
  <c r="I80" i="58"/>
  <c r="J80" i="58"/>
  <c r="I81" i="58"/>
  <c r="J81" i="58"/>
  <c r="AG73" i="58"/>
  <c r="AH74" i="58" s="1"/>
  <c r="AD73" i="58"/>
  <c r="O73" i="58"/>
  <c r="P73" i="58"/>
  <c r="P74" i="58" s="1"/>
  <c r="Q73" i="58"/>
  <c r="R73" i="58"/>
  <c r="R74" i="58" s="1"/>
  <c r="S73" i="58"/>
  <c r="S74" i="58" s="1"/>
  <c r="T73" i="58"/>
  <c r="T74" i="58" s="1"/>
  <c r="U73" i="58"/>
  <c r="U74" i="58" s="1"/>
  <c r="V73" i="58"/>
  <c r="V74" i="58" s="1"/>
  <c r="W73" i="58"/>
  <c r="X73" i="58"/>
  <c r="X74" i="58" s="1"/>
  <c r="Y73" i="58"/>
  <c r="Z73" i="58"/>
  <c r="Z74" i="58" s="1"/>
  <c r="O74" i="58"/>
  <c r="Q74" i="58"/>
  <c r="W74" i="58"/>
  <c r="Y74" i="58"/>
  <c r="AI65" i="58"/>
  <c r="AI66" i="58"/>
  <c r="AI67" i="58"/>
  <c r="AF65" i="58"/>
  <c r="AF66" i="58"/>
  <c r="AF70" i="58"/>
  <c r="AF71" i="58"/>
  <c r="AH71" i="58"/>
  <c r="AE71" i="58"/>
  <c r="AH66" i="58"/>
  <c r="AH69" i="58"/>
  <c r="AE68" i="58"/>
  <c r="L65" i="58"/>
  <c r="M65" i="58"/>
  <c r="N65" i="58"/>
  <c r="L66" i="58"/>
  <c r="M66" i="58"/>
  <c r="N66" i="58"/>
  <c r="L67" i="58"/>
  <c r="M67" i="58"/>
  <c r="N67" i="58"/>
  <c r="L68" i="58"/>
  <c r="M68" i="58"/>
  <c r="N68" i="58"/>
  <c r="L69" i="58"/>
  <c r="M69" i="58"/>
  <c r="N69" i="58"/>
  <c r="L70" i="58"/>
  <c r="M70" i="58"/>
  <c r="N70" i="58"/>
  <c r="L71" i="58"/>
  <c r="M71" i="58"/>
  <c r="N71" i="58"/>
  <c r="L72" i="58"/>
  <c r="M72" i="58"/>
  <c r="N72" i="58"/>
  <c r="I65" i="58"/>
  <c r="J65" i="58"/>
  <c r="I66" i="58"/>
  <c r="J66" i="58"/>
  <c r="I67" i="58"/>
  <c r="J67" i="58"/>
  <c r="I68" i="58"/>
  <c r="J68" i="58"/>
  <c r="I69" i="58"/>
  <c r="J69" i="58"/>
  <c r="I70" i="58"/>
  <c r="J70" i="58"/>
  <c r="I71" i="58"/>
  <c r="J71" i="58"/>
  <c r="I72" i="58"/>
  <c r="J72" i="58"/>
  <c r="AG63" i="58"/>
  <c r="AH64" i="58" s="1"/>
  <c r="AD63" i="58"/>
  <c r="AE64" i="58" s="1"/>
  <c r="O63" i="58"/>
  <c r="O64" i="58" s="1"/>
  <c r="P63" i="58"/>
  <c r="Q63" i="58"/>
  <c r="Q64" i="58" s="1"/>
  <c r="R63" i="58"/>
  <c r="S63" i="58"/>
  <c r="T63" i="58"/>
  <c r="T64" i="58" s="1"/>
  <c r="U63" i="58"/>
  <c r="U64" i="58" s="1"/>
  <c r="V63" i="58"/>
  <c r="V64" i="58" s="1"/>
  <c r="W63" i="58"/>
  <c r="W64" i="58" s="1"/>
  <c r="X63" i="58"/>
  <c r="Y63" i="58"/>
  <c r="Y64" i="58" s="1"/>
  <c r="Z63" i="58"/>
  <c r="P64" i="58"/>
  <c r="R64" i="58"/>
  <c r="S64" i="58"/>
  <c r="X64" i="58"/>
  <c r="Z64" i="58"/>
  <c r="AI55" i="58"/>
  <c r="AI57" i="58"/>
  <c r="AI58" i="58"/>
  <c r="AI59" i="58"/>
  <c r="AF56" i="58"/>
  <c r="AF58" i="58"/>
  <c r="AF60" i="58"/>
  <c r="AH61" i="58"/>
  <c r="AE61" i="58"/>
  <c r="AH55" i="58"/>
  <c r="AH56" i="58"/>
  <c r="AH57" i="58"/>
  <c r="AH58" i="58"/>
  <c r="AH59" i="58"/>
  <c r="AE55" i="58"/>
  <c r="AE56" i="58"/>
  <c r="AE57" i="58"/>
  <c r="AE58" i="58"/>
  <c r="AE59" i="58"/>
  <c r="L55" i="58"/>
  <c r="M55" i="58"/>
  <c r="N55" i="58"/>
  <c r="L56" i="58"/>
  <c r="M56" i="58"/>
  <c r="N56" i="58"/>
  <c r="L57" i="58"/>
  <c r="M57" i="58"/>
  <c r="N57" i="58"/>
  <c r="L58" i="58"/>
  <c r="M58" i="58"/>
  <c r="N58" i="58"/>
  <c r="L59" i="58"/>
  <c r="M59" i="58"/>
  <c r="N59" i="58"/>
  <c r="L60" i="58"/>
  <c r="M60" i="58"/>
  <c r="N60" i="58"/>
  <c r="L61" i="58"/>
  <c r="M61" i="58"/>
  <c r="N61" i="58"/>
  <c r="L62" i="58"/>
  <c r="M62" i="58"/>
  <c r="N62" i="58"/>
  <c r="I55" i="58"/>
  <c r="J55" i="58"/>
  <c r="I56" i="58"/>
  <c r="J56" i="58"/>
  <c r="I57" i="58"/>
  <c r="J57" i="58"/>
  <c r="I58" i="58"/>
  <c r="J58" i="58"/>
  <c r="I59" i="58"/>
  <c r="J59" i="58"/>
  <c r="I60" i="58"/>
  <c r="J60" i="58"/>
  <c r="I61" i="58"/>
  <c r="J61" i="58"/>
  <c r="I62" i="58"/>
  <c r="J62" i="58"/>
  <c r="AG53" i="58"/>
  <c r="AH54" i="58" s="1"/>
  <c r="AD53" i="58"/>
  <c r="AE54" i="58" s="1"/>
  <c r="O53" i="58"/>
  <c r="O54" i="58" s="1"/>
  <c r="P53" i="58"/>
  <c r="P54" i="58" s="1"/>
  <c r="Q53" i="58"/>
  <c r="Q54" i="58" s="1"/>
  <c r="R53" i="58"/>
  <c r="R54" i="58" s="1"/>
  <c r="S53" i="58"/>
  <c r="T53" i="58"/>
  <c r="T54" i="58" s="1"/>
  <c r="U53" i="58"/>
  <c r="U54" i="58" s="1"/>
  <c r="V53" i="58"/>
  <c r="W53" i="58"/>
  <c r="W54" i="58" s="1"/>
  <c r="X53" i="58"/>
  <c r="X54" i="58" s="1"/>
  <c r="Y53" i="58"/>
  <c r="Y54" i="58" s="1"/>
  <c r="Z53" i="58"/>
  <c r="Z54" i="58" s="1"/>
  <c r="S54" i="58"/>
  <c r="V54" i="58"/>
  <c r="AI47" i="58"/>
  <c r="AI49" i="58"/>
  <c r="AI50" i="58"/>
  <c r="AI52" i="58"/>
  <c r="AF47" i="58"/>
  <c r="AF49" i="58"/>
  <c r="AH51" i="58"/>
  <c r="AE51" i="58"/>
  <c r="AB51" i="58"/>
  <c r="AH45" i="58"/>
  <c r="AH46" i="58"/>
  <c r="AH47" i="58"/>
  <c r="AH48" i="58"/>
  <c r="AH49" i="58"/>
  <c r="AE45" i="58"/>
  <c r="AE46" i="58"/>
  <c r="AE47" i="58"/>
  <c r="AE48" i="58"/>
  <c r="AE49" i="58"/>
  <c r="L45" i="58"/>
  <c r="M45" i="58"/>
  <c r="N45" i="58"/>
  <c r="L46" i="58"/>
  <c r="M46" i="58"/>
  <c r="N46" i="58"/>
  <c r="L47" i="58"/>
  <c r="M47" i="58"/>
  <c r="N47" i="58"/>
  <c r="L48" i="58"/>
  <c r="M48" i="58"/>
  <c r="N48" i="58"/>
  <c r="L49" i="58"/>
  <c r="M49" i="58"/>
  <c r="N49" i="58"/>
  <c r="L50" i="58"/>
  <c r="M50" i="58"/>
  <c r="N50" i="58"/>
  <c r="L51" i="58"/>
  <c r="M51" i="58"/>
  <c r="N51" i="58"/>
  <c r="L52" i="58"/>
  <c r="M52" i="58"/>
  <c r="N52" i="58"/>
  <c r="I45" i="58"/>
  <c r="J45" i="58"/>
  <c r="I46" i="58"/>
  <c r="J46" i="58"/>
  <c r="I47" i="58"/>
  <c r="J47" i="58"/>
  <c r="I48" i="58"/>
  <c r="J48" i="58"/>
  <c r="I49" i="58"/>
  <c r="J49" i="58"/>
  <c r="I50" i="58"/>
  <c r="J50" i="58"/>
  <c r="I51" i="58"/>
  <c r="J51" i="58"/>
  <c r="I52" i="58"/>
  <c r="J52" i="58"/>
  <c r="AG43" i="58"/>
  <c r="AH44" i="58" s="1"/>
  <c r="AD43" i="58"/>
  <c r="AE44" i="58" s="1"/>
  <c r="O43" i="58"/>
  <c r="P43" i="58"/>
  <c r="P44" i="58" s="1"/>
  <c r="Q43" i="58"/>
  <c r="Q44" i="58" s="1"/>
  <c r="R43" i="58"/>
  <c r="S43" i="58"/>
  <c r="S44" i="58" s="1"/>
  <c r="T43" i="58"/>
  <c r="T44" i="58" s="1"/>
  <c r="U43" i="58"/>
  <c r="V43" i="58"/>
  <c r="V44" i="58" s="1"/>
  <c r="W43" i="58"/>
  <c r="X43" i="58"/>
  <c r="X44" i="58" s="1"/>
  <c r="Y43" i="58"/>
  <c r="Y44" i="58" s="1"/>
  <c r="Z43" i="58"/>
  <c r="Z44" i="58" s="1"/>
  <c r="O44" i="58"/>
  <c r="R44" i="58"/>
  <c r="U44" i="58"/>
  <c r="W44" i="58"/>
  <c r="AI38" i="58"/>
  <c r="AI39" i="58"/>
  <c r="AI41" i="58"/>
  <c r="AF36" i="58"/>
  <c r="AF39" i="58"/>
  <c r="AF41" i="58"/>
  <c r="AF42" i="58"/>
  <c r="AH41" i="58"/>
  <c r="AE41" i="58"/>
  <c r="AB41" i="58"/>
  <c r="AH35" i="58"/>
  <c r="AE35" i="58"/>
  <c r="AE36" i="58"/>
  <c r="AE37" i="58"/>
  <c r="AE38" i="58"/>
  <c r="AE39" i="58"/>
  <c r="L35" i="58"/>
  <c r="M35" i="58"/>
  <c r="N35" i="58"/>
  <c r="L36" i="58"/>
  <c r="M36" i="58"/>
  <c r="N36" i="58"/>
  <c r="L37" i="58"/>
  <c r="M37" i="58"/>
  <c r="N37" i="58"/>
  <c r="L38" i="58"/>
  <c r="M38" i="58"/>
  <c r="N38" i="58"/>
  <c r="L39" i="58"/>
  <c r="M39" i="58"/>
  <c r="N39" i="58"/>
  <c r="L40" i="58"/>
  <c r="M40" i="58"/>
  <c r="N40" i="58"/>
  <c r="L41" i="58"/>
  <c r="M41" i="58"/>
  <c r="N41" i="58"/>
  <c r="L42" i="58"/>
  <c r="M42" i="58"/>
  <c r="N42" i="58"/>
  <c r="I35" i="58"/>
  <c r="J35" i="58"/>
  <c r="I36" i="58"/>
  <c r="J36" i="58"/>
  <c r="I37" i="58"/>
  <c r="J37" i="58"/>
  <c r="I38" i="58"/>
  <c r="J38" i="58"/>
  <c r="I39" i="58"/>
  <c r="J39" i="58"/>
  <c r="I40" i="58"/>
  <c r="J40" i="58"/>
  <c r="I41" i="58"/>
  <c r="J41" i="58"/>
  <c r="I42" i="58"/>
  <c r="J42" i="58"/>
  <c r="AG32" i="58"/>
  <c r="AD32" i="58"/>
  <c r="O32" i="58"/>
  <c r="P32" i="58"/>
  <c r="Q32" i="58"/>
  <c r="R32" i="58"/>
  <c r="S32" i="58"/>
  <c r="T32" i="58"/>
  <c r="U32" i="58"/>
  <c r="V32" i="58"/>
  <c r="W32" i="58"/>
  <c r="X32" i="58"/>
  <c r="Y32" i="58"/>
  <c r="Z32" i="58"/>
  <c r="AG31" i="58"/>
  <c r="AD31" i="58"/>
  <c r="O31" i="58"/>
  <c r="P31" i="58"/>
  <c r="Q31" i="58"/>
  <c r="R31" i="58"/>
  <c r="S31" i="58"/>
  <c r="T31" i="58"/>
  <c r="U31" i="58"/>
  <c r="V31" i="58"/>
  <c r="W31" i="58"/>
  <c r="X31" i="58"/>
  <c r="Y31" i="58"/>
  <c r="Z31" i="58"/>
  <c r="AA31" i="58"/>
  <c r="N26" i="58"/>
  <c r="N27" i="58"/>
  <c r="N28" i="58"/>
  <c r="N29" i="58"/>
  <c r="B23" i="58"/>
  <c r="AG16" i="58"/>
  <c r="AG19" i="58"/>
  <c r="AH85" i="58" s="1"/>
  <c r="AG20" i="58"/>
  <c r="AH87" i="58" s="1"/>
  <c r="AD19" i="58"/>
  <c r="AE65" i="58" s="1"/>
  <c r="AD20" i="58"/>
  <c r="AE87" i="58" s="1"/>
  <c r="G19" i="58"/>
  <c r="G20" i="58"/>
  <c r="N19" i="58"/>
  <c r="O19" i="58"/>
  <c r="P19" i="58"/>
  <c r="Q19" i="58"/>
  <c r="R19" i="58"/>
  <c r="S19" i="58"/>
  <c r="T19" i="58"/>
  <c r="U19" i="58"/>
  <c r="V19" i="58"/>
  <c r="W19" i="58"/>
  <c r="X19" i="58"/>
  <c r="Y19" i="58"/>
  <c r="Z19" i="58"/>
  <c r="N20" i="58"/>
  <c r="O20" i="58"/>
  <c r="P20" i="58"/>
  <c r="Q20" i="58"/>
  <c r="R20" i="58"/>
  <c r="S20" i="58"/>
  <c r="T20" i="58"/>
  <c r="U20" i="58"/>
  <c r="V20" i="58"/>
  <c r="W20" i="58"/>
  <c r="X20" i="58"/>
  <c r="Y20" i="58"/>
  <c r="Z20" i="58"/>
  <c r="B17" i="58"/>
  <c r="B18" i="58"/>
  <c r="B19" i="58"/>
  <c r="AA17" i="58"/>
  <c r="AA11" i="58" s="1"/>
  <c r="AA18" i="58" s="1"/>
  <c r="O16" i="58"/>
  <c r="P16" i="58"/>
  <c r="Q16" i="58"/>
  <c r="R16" i="58"/>
  <c r="S16" i="58"/>
  <c r="T16" i="58"/>
  <c r="U16" i="58"/>
  <c r="V16" i="58"/>
  <c r="W16" i="58"/>
  <c r="X16" i="58"/>
  <c r="Y16" i="58"/>
  <c r="O17" i="58"/>
  <c r="P17" i="58"/>
  <c r="Q17" i="58"/>
  <c r="R17" i="58"/>
  <c r="S17" i="58"/>
  <c r="T17" i="58"/>
  <c r="U17" i="58"/>
  <c r="V17" i="58"/>
  <c r="W17" i="58"/>
  <c r="X17" i="58"/>
  <c r="Y17" i="58"/>
  <c r="Z17" i="58"/>
  <c r="A14" i="58"/>
  <c r="AG12" i="58"/>
  <c r="AG13" i="58"/>
  <c r="AD12" i="58"/>
  <c r="AD13" i="58"/>
  <c r="B12" i="58"/>
  <c r="B13" i="58"/>
  <c r="O11" i="58"/>
  <c r="P11" i="58"/>
  <c r="Q11" i="58"/>
  <c r="R11" i="58"/>
  <c r="S11" i="58"/>
  <c r="T11" i="58"/>
  <c r="U11" i="58"/>
  <c r="V11" i="58"/>
  <c r="W11" i="58"/>
  <c r="X11" i="58"/>
  <c r="Y11" i="58"/>
  <c r="Z11" i="58"/>
  <c r="O12" i="58"/>
  <c r="P12" i="58"/>
  <c r="Q12" i="58"/>
  <c r="R12" i="58"/>
  <c r="S12" i="58"/>
  <c r="T12" i="58"/>
  <c r="U12" i="58"/>
  <c r="V12" i="58"/>
  <c r="W12" i="58"/>
  <c r="X12" i="58"/>
  <c r="Y12" i="58"/>
  <c r="Z12" i="58"/>
  <c r="AA12" i="58"/>
  <c r="O13" i="58"/>
  <c r="P13" i="58"/>
  <c r="Q13" i="58"/>
  <c r="R13" i="58"/>
  <c r="S13" i="58"/>
  <c r="T13" i="58"/>
  <c r="U13" i="58"/>
  <c r="V13" i="58"/>
  <c r="W13" i="58"/>
  <c r="X13" i="58"/>
  <c r="Y13" i="58"/>
  <c r="Z13" i="58"/>
  <c r="AA13" i="58"/>
  <c r="C10" i="58"/>
  <c r="D10" i="58"/>
  <c r="Z16" i="58" s="1"/>
  <c r="C9" i="58"/>
  <c r="C1" i="58"/>
  <c r="C2" i="58"/>
  <c r="C3" i="58"/>
  <c r="C4" i="58"/>
  <c r="C5" i="58"/>
  <c r="C6" i="58"/>
  <c r="C7" i="58"/>
  <c r="C8" i="58"/>
  <c r="E6" i="58"/>
  <c r="E4" i="58"/>
  <c r="F4" i="58"/>
  <c r="B3" i="58"/>
  <c r="N1" i="58"/>
  <c r="AG120" i="54"/>
  <c r="AD120" i="54"/>
  <c r="O120" i="54"/>
  <c r="P120" i="54"/>
  <c r="Q120" i="54"/>
  <c r="R120" i="54"/>
  <c r="S120" i="54"/>
  <c r="T120" i="54"/>
  <c r="U120" i="54"/>
  <c r="V120" i="54"/>
  <c r="W120" i="54"/>
  <c r="X120" i="54"/>
  <c r="Y120" i="54"/>
  <c r="Z120" i="54"/>
  <c r="P121" i="54"/>
  <c r="B120" i="54"/>
  <c r="N117" i="54"/>
  <c r="N120" i="54" s="1"/>
  <c r="N118" i="54"/>
  <c r="N121" i="54" s="1"/>
  <c r="AF118" i="54"/>
  <c r="AA118" i="54"/>
  <c r="I117" i="54"/>
  <c r="AA117" i="54" s="1"/>
  <c r="J117" i="54"/>
  <c r="I118" i="54"/>
  <c r="J118" i="54"/>
  <c r="B114" i="54"/>
  <c r="B115" i="54"/>
  <c r="B116" i="54"/>
  <c r="N92" i="54"/>
  <c r="N93" i="54"/>
  <c r="N94" i="54"/>
  <c r="N95" i="54"/>
  <c r="N96" i="54"/>
  <c r="N97" i="54"/>
  <c r="N98" i="54"/>
  <c r="N99" i="54"/>
  <c r="N100" i="54"/>
  <c r="N101" i="54"/>
  <c r="N102" i="54"/>
  <c r="N103" i="54"/>
  <c r="N104" i="54"/>
  <c r="N105" i="54"/>
  <c r="N106" i="54"/>
  <c r="N107" i="54"/>
  <c r="N108" i="54"/>
  <c r="N109" i="54"/>
  <c r="N110" i="54"/>
  <c r="N111" i="54"/>
  <c r="N112" i="54"/>
  <c r="N113" i="54"/>
  <c r="N114" i="54"/>
  <c r="N115" i="54"/>
  <c r="I115" i="54"/>
  <c r="AA115" i="54" s="1"/>
  <c r="J115" i="54"/>
  <c r="A111" i="54"/>
  <c r="AI101" i="54"/>
  <c r="AH108" i="54"/>
  <c r="AE93" i="54"/>
  <c r="AE97" i="54"/>
  <c r="AE101" i="54"/>
  <c r="AE102" i="54"/>
  <c r="AF106" i="54"/>
  <c r="AE107" i="54"/>
  <c r="AE109" i="54"/>
  <c r="AE110" i="54"/>
  <c r="AE112" i="54"/>
  <c r="AE113" i="54"/>
  <c r="AE114" i="54"/>
  <c r="AA94" i="54"/>
  <c r="AA95" i="54"/>
  <c r="AF95" i="54" s="1"/>
  <c r="AA98" i="54"/>
  <c r="AF98" i="54" s="1"/>
  <c r="AA106" i="54"/>
  <c r="AA108" i="54"/>
  <c r="AB108" i="54" s="1"/>
  <c r="AA110" i="54"/>
  <c r="AA114" i="54"/>
  <c r="AF114" i="54" s="1"/>
  <c r="I93" i="54"/>
  <c r="AA93" i="54" s="1"/>
  <c r="J93" i="54"/>
  <c r="L93" i="54"/>
  <c r="M93" i="54"/>
  <c r="I94" i="54"/>
  <c r="J94" i="54"/>
  <c r="K94" i="54" s="1"/>
  <c r="L94" i="54"/>
  <c r="M94" i="54"/>
  <c r="I95" i="54"/>
  <c r="J95" i="54"/>
  <c r="K95" i="54"/>
  <c r="L95" i="54"/>
  <c r="M95" i="54"/>
  <c r="I96" i="54"/>
  <c r="J96" i="54"/>
  <c r="L96" i="54"/>
  <c r="M96" i="54"/>
  <c r="I97" i="54"/>
  <c r="J97" i="54"/>
  <c r="L97" i="54"/>
  <c r="M97" i="54"/>
  <c r="I98" i="54"/>
  <c r="J98" i="54"/>
  <c r="K98" i="54" s="1"/>
  <c r="L98" i="54"/>
  <c r="M98" i="54"/>
  <c r="I99" i="54"/>
  <c r="AA99" i="54" s="1"/>
  <c r="J99" i="54"/>
  <c r="K99" i="54" s="1"/>
  <c r="L99" i="54"/>
  <c r="M99" i="54"/>
  <c r="I100" i="54"/>
  <c r="AA100" i="54" s="1"/>
  <c r="J100" i="54"/>
  <c r="K100" i="54" s="1"/>
  <c r="L100" i="54"/>
  <c r="M100" i="54"/>
  <c r="I101" i="54"/>
  <c r="AA101" i="54" s="1"/>
  <c r="J101" i="54"/>
  <c r="L101" i="54"/>
  <c r="M101" i="54"/>
  <c r="I102" i="54"/>
  <c r="J102" i="54"/>
  <c r="L102" i="54"/>
  <c r="M102" i="54"/>
  <c r="I103" i="54"/>
  <c r="AA103" i="54" s="1"/>
  <c r="AF103" i="54" s="1"/>
  <c r="J103" i="54"/>
  <c r="L103" i="54"/>
  <c r="M103" i="54"/>
  <c r="I104" i="54"/>
  <c r="J104" i="54"/>
  <c r="L104" i="54"/>
  <c r="M104" i="54"/>
  <c r="I105" i="54"/>
  <c r="J105" i="54"/>
  <c r="L105" i="54"/>
  <c r="M105" i="54"/>
  <c r="I106" i="54"/>
  <c r="J106" i="54"/>
  <c r="K106" i="54" s="1"/>
  <c r="L106" i="54"/>
  <c r="M106" i="54"/>
  <c r="I107" i="54"/>
  <c r="AA107" i="54" s="1"/>
  <c r="AB107" i="54" s="1"/>
  <c r="J107" i="54"/>
  <c r="K107" i="54" s="1"/>
  <c r="L107" i="54"/>
  <c r="M107" i="54"/>
  <c r="I108" i="54"/>
  <c r="J108" i="54"/>
  <c r="K108" i="54" s="1"/>
  <c r="L108" i="54"/>
  <c r="M108" i="54"/>
  <c r="I109" i="54"/>
  <c r="AA109" i="54" s="1"/>
  <c r="J109" i="54"/>
  <c r="L109" i="54"/>
  <c r="M109" i="54"/>
  <c r="I110" i="54"/>
  <c r="J110" i="54"/>
  <c r="K110" i="54" s="1"/>
  <c r="L110" i="54"/>
  <c r="M110" i="54"/>
  <c r="I111" i="54"/>
  <c r="AA111" i="54" s="1"/>
  <c r="J111" i="54"/>
  <c r="L111" i="54"/>
  <c r="M111" i="54"/>
  <c r="I112" i="54"/>
  <c r="J112" i="54"/>
  <c r="L112" i="54"/>
  <c r="M112" i="54"/>
  <c r="I113" i="54"/>
  <c r="J113" i="54"/>
  <c r="L113" i="54"/>
  <c r="M113" i="54"/>
  <c r="I114" i="54"/>
  <c r="J114" i="54"/>
  <c r="K114" i="54" s="1"/>
  <c r="L114" i="54"/>
  <c r="M114" i="54"/>
  <c r="I92" i="54"/>
  <c r="J92" i="54"/>
  <c r="B88" i="54"/>
  <c r="B89" i="54"/>
  <c r="B83" i="54"/>
  <c r="B84" i="54"/>
  <c r="B85" i="54"/>
  <c r="A80" i="54"/>
  <c r="AH76" i="54"/>
  <c r="AH77" i="54"/>
  <c r="AH78" i="54"/>
  <c r="AH83" i="54"/>
  <c r="AH86" i="54"/>
  <c r="AE76" i="54"/>
  <c r="AE77" i="54"/>
  <c r="AE78" i="54"/>
  <c r="AE80" i="54"/>
  <c r="AF80" i="54"/>
  <c r="AE83" i="54"/>
  <c r="AE84" i="54"/>
  <c r="AE88" i="54"/>
  <c r="AA80" i="54"/>
  <c r="AI80" i="54" s="1"/>
  <c r="AA88" i="54"/>
  <c r="I76" i="54"/>
  <c r="AA76" i="54" s="1"/>
  <c r="J76" i="54"/>
  <c r="K76" i="54"/>
  <c r="L76" i="54"/>
  <c r="M76" i="54"/>
  <c r="N76" i="54"/>
  <c r="I77" i="54"/>
  <c r="AA77" i="54" s="1"/>
  <c r="J77" i="54"/>
  <c r="K77" i="54"/>
  <c r="L77" i="54"/>
  <c r="M77" i="54"/>
  <c r="N77" i="54"/>
  <c r="I78" i="54"/>
  <c r="J78" i="54"/>
  <c r="L78" i="54"/>
  <c r="M78" i="54"/>
  <c r="N78" i="54"/>
  <c r="I79" i="54"/>
  <c r="AA79" i="54" s="1"/>
  <c r="J79" i="54"/>
  <c r="L79" i="54"/>
  <c r="M79" i="54"/>
  <c r="N79" i="54"/>
  <c r="I80" i="54"/>
  <c r="J80" i="54"/>
  <c r="K80" i="54"/>
  <c r="L80" i="54"/>
  <c r="M80" i="54"/>
  <c r="N80" i="54"/>
  <c r="I81" i="54"/>
  <c r="AA81" i="54" s="1"/>
  <c r="J81" i="54"/>
  <c r="L81" i="54"/>
  <c r="M81" i="54"/>
  <c r="N81" i="54"/>
  <c r="I82" i="54"/>
  <c r="J82" i="54"/>
  <c r="L82" i="54"/>
  <c r="M82" i="54"/>
  <c r="N82" i="54"/>
  <c r="I83" i="54"/>
  <c r="AA83" i="54" s="1"/>
  <c r="J83" i="54"/>
  <c r="K83" i="54"/>
  <c r="L83" i="54"/>
  <c r="M83" i="54"/>
  <c r="N83" i="54"/>
  <c r="I84" i="54"/>
  <c r="AA84" i="54" s="1"/>
  <c r="J84" i="54"/>
  <c r="L84" i="54"/>
  <c r="M84" i="54"/>
  <c r="N84" i="54"/>
  <c r="I85" i="54"/>
  <c r="AA85" i="54" s="1"/>
  <c r="J85" i="54"/>
  <c r="K85" i="54"/>
  <c r="L85" i="54"/>
  <c r="M85" i="54"/>
  <c r="N85" i="54"/>
  <c r="I86" i="54"/>
  <c r="J86" i="54"/>
  <c r="L86" i="54"/>
  <c r="M86" i="54"/>
  <c r="N86" i="54"/>
  <c r="I87" i="54"/>
  <c r="AA87" i="54" s="1"/>
  <c r="J87" i="54"/>
  <c r="K87" i="54"/>
  <c r="L87" i="54"/>
  <c r="M87" i="54"/>
  <c r="N87" i="54"/>
  <c r="I88" i="54"/>
  <c r="K88" i="54" s="1"/>
  <c r="J88" i="54"/>
  <c r="L88" i="54"/>
  <c r="M88" i="54"/>
  <c r="N88" i="54"/>
  <c r="I89" i="54"/>
  <c r="AA89" i="54" s="1"/>
  <c r="J89" i="54"/>
  <c r="K89" i="54"/>
  <c r="L89" i="54"/>
  <c r="M89" i="54"/>
  <c r="N89" i="54"/>
  <c r="I90" i="54"/>
  <c r="J90" i="54"/>
  <c r="L90" i="54"/>
  <c r="M90" i="54"/>
  <c r="N90" i="54"/>
  <c r="N74" i="54"/>
  <c r="N75" i="54"/>
  <c r="I74" i="54"/>
  <c r="J74" i="54"/>
  <c r="I75" i="54"/>
  <c r="J75" i="54"/>
  <c r="AD72" i="54"/>
  <c r="AE72" i="54" s="1"/>
  <c r="AG72" i="54"/>
  <c r="N72" i="54"/>
  <c r="O72" i="54"/>
  <c r="O121" i="54" s="1"/>
  <c r="P72" i="54"/>
  <c r="Q72" i="54"/>
  <c r="Q121" i="54" s="1"/>
  <c r="R72" i="54"/>
  <c r="R121" i="54" s="1"/>
  <c r="S72" i="54"/>
  <c r="S121" i="54" s="1"/>
  <c r="T72" i="54"/>
  <c r="T121" i="54" s="1"/>
  <c r="U72" i="54"/>
  <c r="U121" i="54" s="1"/>
  <c r="V72" i="54"/>
  <c r="V121" i="54" s="1"/>
  <c r="W72" i="54"/>
  <c r="W121" i="54" s="1"/>
  <c r="X72" i="54"/>
  <c r="X121" i="54" s="1"/>
  <c r="Y72" i="54"/>
  <c r="Y121" i="54" s="1"/>
  <c r="Z72" i="54"/>
  <c r="Z121" i="54" s="1"/>
  <c r="AB62" i="54"/>
  <c r="AB63" i="54"/>
  <c r="AN63" i="54" s="1"/>
  <c r="AB64" i="54"/>
  <c r="AB65" i="54"/>
  <c r="AM65" i="54" s="1"/>
  <c r="AB66" i="54"/>
  <c r="AN66" i="54" s="1"/>
  <c r="AB67" i="54"/>
  <c r="AN67" i="54" s="1"/>
  <c r="AB68" i="54"/>
  <c r="AB69" i="54"/>
  <c r="AB70" i="54"/>
  <c r="AB71" i="54"/>
  <c r="AN71" i="54" s="1"/>
  <c r="N60" i="54"/>
  <c r="N61" i="54"/>
  <c r="N62" i="54"/>
  <c r="N63" i="54"/>
  <c r="N64" i="54"/>
  <c r="N65" i="54"/>
  <c r="N66" i="54"/>
  <c r="N67" i="54"/>
  <c r="N68" i="54"/>
  <c r="N69" i="54"/>
  <c r="N70" i="54"/>
  <c r="N71" i="54"/>
  <c r="I71" i="54"/>
  <c r="J71" i="54"/>
  <c r="K71" i="54"/>
  <c r="I72" i="54"/>
  <c r="J72" i="54"/>
  <c r="K72" i="54"/>
  <c r="AA63" i="54"/>
  <c r="AA68" i="54"/>
  <c r="AH62" i="54"/>
  <c r="AN62" i="54"/>
  <c r="AH63" i="54"/>
  <c r="AI63" i="54"/>
  <c r="AK63" i="54"/>
  <c r="AH64" i="54"/>
  <c r="AH65" i="54"/>
  <c r="AH66" i="54"/>
  <c r="AH67" i="54"/>
  <c r="AH68" i="54"/>
  <c r="AN68" i="54" s="1"/>
  <c r="AK68" i="54"/>
  <c r="AH69" i="54"/>
  <c r="AH70" i="54"/>
  <c r="AN70" i="54" s="1"/>
  <c r="AH71" i="54"/>
  <c r="AI71" i="54"/>
  <c r="AM71" i="54"/>
  <c r="AE62" i="54"/>
  <c r="AM62" i="54" s="1"/>
  <c r="AE63" i="54"/>
  <c r="AM63" i="54" s="1"/>
  <c r="AE64" i="54"/>
  <c r="AE65" i="54"/>
  <c r="AE66" i="54"/>
  <c r="AE67" i="54"/>
  <c r="AE68" i="54"/>
  <c r="AE69" i="54"/>
  <c r="AE70" i="54"/>
  <c r="AM70" i="54" s="1"/>
  <c r="AE71" i="54"/>
  <c r="AF71" i="54"/>
  <c r="I62" i="54"/>
  <c r="J62" i="54"/>
  <c r="L62" i="54"/>
  <c r="M62" i="54"/>
  <c r="I63" i="54"/>
  <c r="J63" i="54"/>
  <c r="K63" i="54"/>
  <c r="L63" i="54"/>
  <c r="M63" i="54"/>
  <c r="I64" i="54"/>
  <c r="AA64" i="54" s="1"/>
  <c r="J64" i="54"/>
  <c r="K64" i="54"/>
  <c r="L64" i="54"/>
  <c r="M64" i="54"/>
  <c r="I65" i="54"/>
  <c r="K65" i="54" s="1"/>
  <c r="J65" i="54"/>
  <c r="L65" i="54"/>
  <c r="M65" i="54"/>
  <c r="I66" i="54"/>
  <c r="K66" i="54" s="1"/>
  <c r="J66" i="54"/>
  <c r="L66" i="54"/>
  <c r="M66" i="54"/>
  <c r="I67" i="54"/>
  <c r="AA67" i="54" s="1"/>
  <c r="J67" i="54"/>
  <c r="L67" i="54"/>
  <c r="M67" i="54"/>
  <c r="I68" i="54"/>
  <c r="J68" i="54"/>
  <c r="K68" i="54"/>
  <c r="L68" i="54"/>
  <c r="M68" i="54"/>
  <c r="I69" i="54"/>
  <c r="J69" i="54"/>
  <c r="L69" i="54"/>
  <c r="M69" i="54"/>
  <c r="I70" i="54"/>
  <c r="J70" i="54"/>
  <c r="L70" i="54"/>
  <c r="M70" i="54"/>
  <c r="I60" i="54"/>
  <c r="J60" i="54"/>
  <c r="I61" i="54"/>
  <c r="J61" i="54"/>
  <c r="B55" i="54"/>
  <c r="B56" i="54"/>
  <c r="B50" i="54"/>
  <c r="B51" i="54"/>
  <c r="B52" i="54"/>
  <c r="A47" i="54"/>
  <c r="AH35" i="54"/>
  <c r="AH36" i="54"/>
  <c r="AI36" i="54"/>
  <c r="AH37" i="54"/>
  <c r="AH39" i="54"/>
  <c r="AH40" i="54"/>
  <c r="AH41" i="54"/>
  <c r="AH43" i="54"/>
  <c r="AK43" i="54"/>
  <c r="AH44" i="54"/>
  <c r="AH46" i="54"/>
  <c r="AK46" i="54"/>
  <c r="AH47" i="54"/>
  <c r="AI48" i="54"/>
  <c r="AH49" i="54"/>
  <c r="AH50" i="54"/>
  <c r="AH51" i="54"/>
  <c r="AK51" i="54"/>
  <c r="AH52" i="54"/>
  <c r="AH53" i="54"/>
  <c r="AK54" i="54"/>
  <c r="AL55" i="54"/>
  <c r="AH56" i="54"/>
  <c r="AE35" i="54"/>
  <c r="AE36" i="54"/>
  <c r="AE37" i="54"/>
  <c r="AE39" i="54"/>
  <c r="AF40" i="54"/>
  <c r="AE41" i="54"/>
  <c r="AE42" i="54"/>
  <c r="AE43" i="54"/>
  <c r="AE44" i="54"/>
  <c r="AE46" i="54"/>
  <c r="AE47" i="54"/>
  <c r="AE48" i="54"/>
  <c r="AE49" i="54"/>
  <c r="AE50" i="54"/>
  <c r="AE51" i="54"/>
  <c r="AE52" i="54"/>
  <c r="AE53" i="54"/>
  <c r="AE55" i="54"/>
  <c r="AE56" i="54"/>
  <c r="AA36" i="54"/>
  <c r="AF36" i="54" s="1"/>
  <c r="AA40" i="54"/>
  <c r="AI40" i="54" s="1"/>
  <c r="AA48" i="54"/>
  <c r="AF48" i="54" s="1"/>
  <c r="AA52" i="54"/>
  <c r="AA56" i="54"/>
  <c r="I35" i="54"/>
  <c r="K35" i="54" s="1"/>
  <c r="J35" i="54"/>
  <c r="L35" i="54"/>
  <c r="M35" i="54"/>
  <c r="N35" i="54"/>
  <c r="I36" i="54"/>
  <c r="K36" i="54" s="1"/>
  <c r="J36" i="54"/>
  <c r="L36" i="54"/>
  <c r="M36" i="54"/>
  <c r="N36" i="54"/>
  <c r="I37" i="54"/>
  <c r="J37" i="54"/>
  <c r="L37" i="54"/>
  <c r="M37" i="54"/>
  <c r="N37" i="54"/>
  <c r="I38" i="54"/>
  <c r="J38" i="54"/>
  <c r="L38" i="54"/>
  <c r="M38" i="54"/>
  <c r="N38" i="54"/>
  <c r="I39" i="54"/>
  <c r="J39" i="54"/>
  <c r="L39" i="54"/>
  <c r="M39" i="54"/>
  <c r="N39" i="54"/>
  <c r="I40" i="54"/>
  <c r="J40" i="54"/>
  <c r="K40" i="54"/>
  <c r="L40" i="54"/>
  <c r="M40" i="54"/>
  <c r="N40" i="54"/>
  <c r="I41" i="54"/>
  <c r="J41" i="54"/>
  <c r="L41" i="54"/>
  <c r="M41" i="54"/>
  <c r="N41" i="54"/>
  <c r="I42" i="54"/>
  <c r="AA42" i="54" s="1"/>
  <c r="J42" i="54"/>
  <c r="K42" i="54"/>
  <c r="L42" i="54"/>
  <c r="M42" i="54"/>
  <c r="N42" i="54"/>
  <c r="I43" i="54"/>
  <c r="K43" i="54" s="1"/>
  <c r="J43" i="54"/>
  <c r="L43" i="54"/>
  <c r="M43" i="54"/>
  <c r="N43" i="54"/>
  <c r="I44" i="54"/>
  <c r="K44" i="54" s="1"/>
  <c r="J44" i="54"/>
  <c r="L44" i="54"/>
  <c r="M44" i="54"/>
  <c r="N44" i="54"/>
  <c r="I45" i="54"/>
  <c r="K45" i="54" s="1"/>
  <c r="J45" i="54"/>
  <c r="L45" i="54"/>
  <c r="M45" i="54"/>
  <c r="N45" i="54"/>
  <c r="I46" i="54"/>
  <c r="AA46" i="54" s="1"/>
  <c r="J46" i="54"/>
  <c r="L46" i="54"/>
  <c r="M46" i="54"/>
  <c r="N46" i="54"/>
  <c r="I47" i="54"/>
  <c r="K47" i="54" s="1"/>
  <c r="J47" i="54"/>
  <c r="L47" i="54"/>
  <c r="M47" i="54"/>
  <c r="N47" i="54"/>
  <c r="I48" i="54"/>
  <c r="J48" i="54"/>
  <c r="K48" i="54"/>
  <c r="L48" i="54"/>
  <c r="M48" i="54"/>
  <c r="N48" i="54"/>
  <c r="I49" i="54"/>
  <c r="K49" i="54" s="1"/>
  <c r="J49" i="54"/>
  <c r="L49" i="54"/>
  <c r="M49" i="54"/>
  <c r="N49" i="54"/>
  <c r="I50" i="54"/>
  <c r="AA50" i="54" s="1"/>
  <c r="J50" i="54"/>
  <c r="L50" i="54"/>
  <c r="M50" i="54"/>
  <c r="N50" i="54"/>
  <c r="I51" i="54"/>
  <c r="K51" i="54" s="1"/>
  <c r="J51" i="54"/>
  <c r="L51" i="54"/>
  <c r="M51" i="54"/>
  <c r="N51" i="54"/>
  <c r="I52" i="54"/>
  <c r="K52" i="54" s="1"/>
  <c r="J52" i="54"/>
  <c r="L52" i="54"/>
  <c r="M52" i="54"/>
  <c r="N52" i="54"/>
  <c r="I53" i="54"/>
  <c r="K53" i="54" s="1"/>
  <c r="J53" i="54"/>
  <c r="L53" i="54"/>
  <c r="M53" i="54"/>
  <c r="N53" i="54"/>
  <c r="I54" i="54"/>
  <c r="AA54" i="54" s="1"/>
  <c r="J54" i="54"/>
  <c r="K54" i="54"/>
  <c r="L54" i="54"/>
  <c r="M54" i="54"/>
  <c r="N54" i="54"/>
  <c r="I55" i="54"/>
  <c r="K55" i="54" s="1"/>
  <c r="J55" i="54"/>
  <c r="L55" i="54"/>
  <c r="M55" i="54"/>
  <c r="N55" i="54"/>
  <c r="I56" i="54"/>
  <c r="J56" i="54"/>
  <c r="K56" i="54"/>
  <c r="L56" i="54"/>
  <c r="M56" i="54"/>
  <c r="N56" i="54"/>
  <c r="I57" i="54"/>
  <c r="K57" i="54" s="1"/>
  <c r="J57" i="54"/>
  <c r="L57" i="54"/>
  <c r="M57" i="54"/>
  <c r="N57" i="54"/>
  <c r="I58" i="54"/>
  <c r="AA58" i="54" s="1"/>
  <c r="J58" i="54"/>
  <c r="K58" i="54"/>
  <c r="L58" i="54"/>
  <c r="M58" i="54"/>
  <c r="N58" i="54"/>
  <c r="N33" i="54"/>
  <c r="N34" i="54"/>
  <c r="I33" i="54"/>
  <c r="J33" i="54"/>
  <c r="I34" i="54"/>
  <c r="J34" i="54"/>
  <c r="AL32" i="54"/>
  <c r="AG32" i="54"/>
  <c r="AD32" i="54"/>
  <c r="AK32" i="54" s="1"/>
  <c r="O32" i="54"/>
  <c r="P32" i="54"/>
  <c r="Q32" i="54"/>
  <c r="R32" i="54"/>
  <c r="S32" i="54"/>
  <c r="T32" i="54"/>
  <c r="U32" i="54"/>
  <c r="V32" i="54"/>
  <c r="W32" i="54"/>
  <c r="X32" i="54"/>
  <c r="Y32" i="54"/>
  <c r="Z32" i="54"/>
  <c r="AJ32" i="54" s="1"/>
  <c r="AJ31" i="54"/>
  <c r="AK31" i="54"/>
  <c r="AM31" i="54" s="1"/>
  <c r="AL31" i="54"/>
  <c r="AN31" i="54"/>
  <c r="AG31" i="54"/>
  <c r="AD31" i="54"/>
  <c r="O31" i="54"/>
  <c r="P31" i="54"/>
  <c r="Q31" i="54"/>
  <c r="R31" i="54"/>
  <c r="S31" i="54"/>
  <c r="T31" i="54"/>
  <c r="U31" i="54"/>
  <c r="V31" i="54"/>
  <c r="W31" i="54"/>
  <c r="X31" i="54"/>
  <c r="Y31" i="54"/>
  <c r="Z31" i="54"/>
  <c r="AA31" i="54"/>
  <c r="N26" i="54"/>
  <c r="N27" i="54"/>
  <c r="N28" i="54"/>
  <c r="N29" i="54"/>
  <c r="B22" i="54"/>
  <c r="B23" i="54"/>
  <c r="AG16" i="54"/>
  <c r="AG19" i="54"/>
  <c r="AH95" i="54" s="1"/>
  <c r="AG20" i="54"/>
  <c r="AL112" i="54" s="1"/>
  <c r="AD19" i="54"/>
  <c r="AE117" i="54" s="1"/>
  <c r="AD20" i="54"/>
  <c r="AK71" i="54" s="1"/>
  <c r="G19" i="54"/>
  <c r="G20" i="54"/>
  <c r="N19" i="54"/>
  <c r="O19" i="54"/>
  <c r="P19" i="54"/>
  <c r="Q19" i="54"/>
  <c r="R19" i="54"/>
  <c r="S19" i="54"/>
  <c r="T19" i="54"/>
  <c r="U19" i="54"/>
  <c r="V19" i="54"/>
  <c r="W19" i="54"/>
  <c r="X19" i="54"/>
  <c r="Y19" i="54"/>
  <c r="Z19" i="54"/>
  <c r="N20" i="54"/>
  <c r="O20" i="54"/>
  <c r="P20" i="54"/>
  <c r="Q20" i="54"/>
  <c r="R20" i="54"/>
  <c r="S20" i="54"/>
  <c r="T20" i="54"/>
  <c r="U20" i="54"/>
  <c r="V20" i="54"/>
  <c r="W20" i="54"/>
  <c r="X20" i="54"/>
  <c r="Y20" i="54"/>
  <c r="Z20" i="54"/>
  <c r="B17" i="54"/>
  <c r="B18" i="54"/>
  <c r="B19" i="54"/>
  <c r="O16" i="54"/>
  <c r="P16" i="54"/>
  <c r="Q16" i="54"/>
  <c r="R16" i="54"/>
  <c r="S16" i="54"/>
  <c r="T16" i="54"/>
  <c r="U16" i="54"/>
  <c r="V16" i="54"/>
  <c r="W16" i="54"/>
  <c r="X16" i="54"/>
  <c r="Y16" i="54"/>
  <c r="O17" i="54"/>
  <c r="P17" i="54"/>
  <c r="Q17" i="54"/>
  <c r="R17" i="54"/>
  <c r="S17" i="54"/>
  <c r="T17" i="54"/>
  <c r="U17" i="54"/>
  <c r="V17" i="54"/>
  <c r="W17" i="54"/>
  <c r="X17" i="54"/>
  <c r="Y17" i="54"/>
  <c r="Z17" i="54"/>
  <c r="AA17" i="54"/>
  <c r="A14" i="54"/>
  <c r="AG12" i="54"/>
  <c r="AG13" i="54"/>
  <c r="AD12" i="54"/>
  <c r="AD13" i="54"/>
  <c r="B12" i="54"/>
  <c r="Z16" i="54" s="1"/>
  <c r="B13" i="54"/>
  <c r="O11" i="54"/>
  <c r="P11" i="54"/>
  <c r="Q11" i="54"/>
  <c r="R11" i="54"/>
  <c r="S11" i="54"/>
  <c r="T11" i="54"/>
  <c r="U11" i="54"/>
  <c r="V11" i="54"/>
  <c r="W11" i="54"/>
  <c r="X11" i="54"/>
  <c r="Y11" i="54"/>
  <c r="Z11" i="54"/>
  <c r="AA11" i="54"/>
  <c r="O12" i="54"/>
  <c r="P12" i="54"/>
  <c r="Q12" i="54"/>
  <c r="R12" i="54"/>
  <c r="S12" i="54"/>
  <c r="T12" i="54"/>
  <c r="U12" i="54"/>
  <c r="V12" i="54"/>
  <c r="W12" i="54"/>
  <c r="X12" i="54"/>
  <c r="Y12" i="54"/>
  <c r="Z12" i="54"/>
  <c r="AA12" i="54"/>
  <c r="O13" i="54"/>
  <c r="P13" i="54"/>
  <c r="Q13" i="54"/>
  <c r="R13" i="54"/>
  <c r="S13" i="54"/>
  <c r="T13" i="54"/>
  <c r="U13" i="54"/>
  <c r="V13" i="54"/>
  <c r="W13" i="54"/>
  <c r="X13" i="54"/>
  <c r="Y13" i="54"/>
  <c r="Z13" i="54"/>
  <c r="AA13" i="54"/>
  <c r="C10" i="54"/>
  <c r="D10" i="54"/>
  <c r="C9" i="54"/>
  <c r="C1" i="54"/>
  <c r="C2" i="54"/>
  <c r="C3" i="54"/>
  <c r="C4" i="54"/>
  <c r="C5" i="54"/>
  <c r="C6" i="54"/>
  <c r="C7" i="54"/>
  <c r="C8" i="54"/>
  <c r="E6" i="54"/>
  <c r="E4" i="54"/>
  <c r="F4" i="54"/>
  <c r="B3" i="54"/>
  <c r="H2" i="54"/>
  <c r="N1" i="54"/>
  <c r="AG143" i="64"/>
  <c r="AG144" i="64"/>
  <c r="AG145" i="64"/>
  <c r="AG146" i="64"/>
  <c r="AD143" i="64"/>
  <c r="AD144" i="64"/>
  <c r="AD145" i="64"/>
  <c r="AD146" i="64"/>
  <c r="O143" i="64"/>
  <c r="P143" i="64"/>
  <c r="Q143" i="64"/>
  <c r="R143" i="64"/>
  <c r="S143" i="64"/>
  <c r="T143" i="64"/>
  <c r="U143" i="64"/>
  <c r="V143" i="64"/>
  <c r="W143" i="64"/>
  <c r="X143" i="64"/>
  <c r="Y143" i="64"/>
  <c r="Z143" i="64"/>
  <c r="O144" i="64"/>
  <c r="P144" i="64"/>
  <c r="Q144" i="64"/>
  <c r="R144" i="64"/>
  <c r="S144" i="64"/>
  <c r="T144" i="64"/>
  <c r="U144" i="64"/>
  <c r="V144" i="64"/>
  <c r="W144" i="64"/>
  <c r="X144" i="64"/>
  <c r="Y144" i="64"/>
  <c r="Z144" i="64"/>
  <c r="O145" i="64"/>
  <c r="P145" i="64"/>
  <c r="Q145" i="64"/>
  <c r="R145" i="64"/>
  <c r="S145" i="64"/>
  <c r="T145" i="64"/>
  <c r="U145" i="64"/>
  <c r="V145" i="64"/>
  <c r="W145" i="64"/>
  <c r="X145" i="64"/>
  <c r="Y145" i="64"/>
  <c r="Z145" i="64"/>
  <c r="O146" i="64"/>
  <c r="P146" i="64"/>
  <c r="Q146" i="64"/>
  <c r="R146" i="64"/>
  <c r="S146" i="64"/>
  <c r="T146" i="64"/>
  <c r="U146" i="64"/>
  <c r="V146" i="64"/>
  <c r="W146" i="64"/>
  <c r="X146" i="64"/>
  <c r="Y146" i="64"/>
  <c r="Z146" i="64"/>
  <c r="AI131" i="64"/>
  <c r="AI132" i="64"/>
  <c r="AI133" i="64"/>
  <c r="AI135" i="64"/>
  <c r="AI137" i="64"/>
  <c r="AI139" i="64"/>
  <c r="AI140" i="64"/>
  <c r="AG141" i="64"/>
  <c r="AD141" i="64"/>
  <c r="O141" i="64"/>
  <c r="P141" i="64"/>
  <c r="Q141" i="64"/>
  <c r="R141" i="64"/>
  <c r="S141" i="64"/>
  <c r="T141" i="64"/>
  <c r="U141" i="64"/>
  <c r="V141" i="64"/>
  <c r="W141" i="64"/>
  <c r="X141" i="64"/>
  <c r="Y141" i="64"/>
  <c r="Z141" i="64"/>
  <c r="AH140" i="64"/>
  <c r="AE140" i="64"/>
  <c r="AA140" i="64"/>
  <c r="AF140" i="64" s="1"/>
  <c r="AB140" i="64"/>
  <c r="AF131" i="64"/>
  <c r="AF133" i="64"/>
  <c r="AF135" i="64"/>
  <c r="AF136" i="64"/>
  <c r="AF137" i="64"/>
  <c r="AF139" i="64"/>
  <c r="AH138" i="64"/>
  <c r="AE138" i="64"/>
  <c r="AA138" i="64"/>
  <c r="AB138" i="64"/>
  <c r="AH136" i="64"/>
  <c r="AE136" i="64"/>
  <c r="AA136" i="64"/>
  <c r="AI136" i="64" s="1"/>
  <c r="AB136" i="64"/>
  <c r="AH134" i="64"/>
  <c r="AE134" i="64"/>
  <c r="AA134" i="64"/>
  <c r="AI134" i="64" s="1"/>
  <c r="AB134" i="64"/>
  <c r="AH132" i="64"/>
  <c r="AE132" i="64"/>
  <c r="AA132" i="64"/>
  <c r="AF132" i="64" s="1"/>
  <c r="AB132" i="64"/>
  <c r="AH130" i="64"/>
  <c r="AE130" i="64"/>
  <c r="AA130" i="64"/>
  <c r="AB130" i="64"/>
  <c r="L130" i="64"/>
  <c r="M130" i="64"/>
  <c r="N130" i="64"/>
  <c r="L131" i="64"/>
  <c r="M131" i="64"/>
  <c r="N131" i="64"/>
  <c r="L132" i="64"/>
  <c r="M132" i="64"/>
  <c r="N132" i="64"/>
  <c r="L133" i="64"/>
  <c r="M133" i="64"/>
  <c r="N133" i="64"/>
  <c r="L134" i="64"/>
  <c r="M134" i="64"/>
  <c r="N134" i="64"/>
  <c r="L135" i="64"/>
  <c r="M135" i="64"/>
  <c r="N135" i="64"/>
  <c r="L136" i="64"/>
  <c r="M136" i="64"/>
  <c r="N136" i="64"/>
  <c r="L137" i="64"/>
  <c r="M137" i="64"/>
  <c r="N137" i="64"/>
  <c r="L138" i="64"/>
  <c r="M138" i="64"/>
  <c r="N138" i="64"/>
  <c r="L139" i="64"/>
  <c r="M139" i="64"/>
  <c r="N139" i="64"/>
  <c r="L140" i="64"/>
  <c r="M140" i="64"/>
  <c r="N140" i="64"/>
  <c r="N129" i="64"/>
  <c r="AG121" i="64"/>
  <c r="AH121" i="64" s="1"/>
  <c r="AG122" i="64"/>
  <c r="AH122" i="64" s="1"/>
  <c r="AG123" i="64"/>
  <c r="AH123" i="64" s="1"/>
  <c r="AG124" i="64"/>
  <c r="AG125" i="64"/>
  <c r="AH125" i="64" s="1"/>
  <c r="AD121" i="64"/>
  <c r="AE121" i="64" s="1"/>
  <c r="AD122" i="64"/>
  <c r="AE122" i="64" s="1"/>
  <c r="AD123" i="64"/>
  <c r="AE123" i="64" s="1"/>
  <c r="AD124" i="64"/>
  <c r="AE124" i="64" s="1"/>
  <c r="AD125" i="64"/>
  <c r="AE125" i="64" s="1"/>
  <c r="AH124" i="64"/>
  <c r="L121" i="64"/>
  <c r="M121" i="64"/>
  <c r="N121" i="64"/>
  <c r="O121" i="64"/>
  <c r="P121" i="64"/>
  <c r="Q121" i="64"/>
  <c r="R121" i="64"/>
  <c r="S121" i="64"/>
  <c r="T121" i="64"/>
  <c r="T126" i="64" s="1"/>
  <c r="T127" i="64" s="1"/>
  <c r="U121" i="64"/>
  <c r="V121" i="64"/>
  <c r="W121" i="64"/>
  <c r="X121" i="64"/>
  <c r="Y121" i="64"/>
  <c r="Z121" i="64"/>
  <c r="Z126" i="64" s="1"/>
  <c r="Z127" i="64" s="1"/>
  <c r="L122" i="64"/>
  <c r="M122" i="64"/>
  <c r="N122" i="64"/>
  <c r="O122" i="64"/>
  <c r="P122" i="64"/>
  <c r="Q122" i="64"/>
  <c r="R122" i="64"/>
  <c r="S122" i="64"/>
  <c r="T122" i="64"/>
  <c r="U122" i="64"/>
  <c r="V122" i="64"/>
  <c r="W122" i="64"/>
  <c r="X122" i="64"/>
  <c r="Y122" i="64"/>
  <c r="Z122" i="64"/>
  <c r="L123" i="64"/>
  <c r="M123" i="64"/>
  <c r="N123" i="64"/>
  <c r="O123" i="64"/>
  <c r="P123" i="64"/>
  <c r="Q123" i="64"/>
  <c r="R123" i="64"/>
  <c r="S123" i="64"/>
  <c r="T123" i="64"/>
  <c r="U123" i="64"/>
  <c r="V123" i="64"/>
  <c r="W123" i="64"/>
  <c r="X123" i="64"/>
  <c r="Y123" i="64"/>
  <c r="Z123" i="64"/>
  <c r="L124" i="64"/>
  <c r="M124" i="64"/>
  <c r="N124" i="64"/>
  <c r="O124" i="64"/>
  <c r="P124" i="64"/>
  <c r="Q124" i="64"/>
  <c r="R124" i="64"/>
  <c r="S124" i="64"/>
  <c r="T124" i="64"/>
  <c r="U124" i="64"/>
  <c r="V124" i="64"/>
  <c r="W124" i="64"/>
  <c r="X124" i="64"/>
  <c r="Y124" i="64"/>
  <c r="Z124" i="64"/>
  <c r="L125" i="64"/>
  <c r="M125" i="64"/>
  <c r="N125" i="64"/>
  <c r="O125" i="64"/>
  <c r="P125" i="64"/>
  <c r="Q125" i="64"/>
  <c r="R125" i="64"/>
  <c r="S125" i="64"/>
  <c r="T125" i="64"/>
  <c r="U125" i="64"/>
  <c r="V125" i="64"/>
  <c r="W125" i="64"/>
  <c r="X125" i="64"/>
  <c r="Y125" i="64"/>
  <c r="Z125" i="64"/>
  <c r="L126" i="64"/>
  <c r="M126" i="64"/>
  <c r="N126" i="64"/>
  <c r="AH114" i="64"/>
  <c r="AH115" i="64"/>
  <c r="AH116" i="64"/>
  <c r="AI116" i="64"/>
  <c r="AH117" i="64"/>
  <c r="AH118" i="64"/>
  <c r="AH119" i="64"/>
  <c r="AE114" i="64"/>
  <c r="AE115" i="64"/>
  <c r="AE116" i="64"/>
  <c r="AF116" i="64"/>
  <c r="AE117" i="64"/>
  <c r="AE118" i="64"/>
  <c r="AF118" i="64"/>
  <c r="AE119" i="64"/>
  <c r="AA114" i="64"/>
  <c r="AB114" i="64" s="1"/>
  <c r="AA115" i="64"/>
  <c r="AI115" i="64" s="1"/>
  <c r="AA116" i="64"/>
  <c r="AB116" i="64"/>
  <c r="AA117" i="64"/>
  <c r="AB117" i="64" s="1"/>
  <c r="AA118" i="64"/>
  <c r="AI118" i="64" s="1"/>
  <c r="AB118" i="64"/>
  <c r="AA119" i="64"/>
  <c r="AI119" i="64" s="1"/>
  <c r="L114" i="64"/>
  <c r="M114" i="64"/>
  <c r="N114" i="64"/>
  <c r="L115" i="64"/>
  <c r="M115" i="64"/>
  <c r="N115" i="64"/>
  <c r="L116" i="64"/>
  <c r="M116" i="64"/>
  <c r="N116" i="64"/>
  <c r="L117" i="64"/>
  <c r="M117" i="64"/>
  <c r="N117" i="64"/>
  <c r="L118" i="64"/>
  <c r="M118" i="64"/>
  <c r="N118" i="64"/>
  <c r="L119" i="64"/>
  <c r="M119" i="64"/>
  <c r="N119" i="64"/>
  <c r="AH106" i="64"/>
  <c r="AH107" i="64"/>
  <c r="AH108" i="64"/>
  <c r="AH109" i="64"/>
  <c r="AI109" i="64"/>
  <c r="AH110" i="64"/>
  <c r="AI110" i="64"/>
  <c r="AH111" i="64"/>
  <c r="AE106" i="64"/>
  <c r="AE107" i="64"/>
  <c r="AE108" i="64"/>
  <c r="AE109" i="64"/>
  <c r="AF109" i="64"/>
  <c r="AE110" i="64"/>
  <c r="AE111" i="64"/>
  <c r="AA106" i="64"/>
  <c r="AF106" i="64" s="1"/>
  <c r="AA107" i="64"/>
  <c r="AA108" i="64"/>
  <c r="AA109" i="64"/>
  <c r="AB109" i="64"/>
  <c r="AA110" i="64"/>
  <c r="AF110" i="64" s="1"/>
  <c r="AB110" i="64"/>
  <c r="AA111" i="64"/>
  <c r="AI111" i="64" s="1"/>
  <c r="L106" i="64"/>
  <c r="M106" i="64"/>
  <c r="N106" i="64"/>
  <c r="L107" i="64"/>
  <c r="M107" i="64"/>
  <c r="N107" i="64"/>
  <c r="L108" i="64"/>
  <c r="M108" i="64"/>
  <c r="N108" i="64"/>
  <c r="L109" i="64"/>
  <c r="M109" i="64"/>
  <c r="N109" i="64"/>
  <c r="L110" i="64"/>
  <c r="M110" i="64"/>
  <c r="N110" i="64"/>
  <c r="L111" i="64"/>
  <c r="M111" i="64"/>
  <c r="N111" i="64"/>
  <c r="AH98" i="64"/>
  <c r="AH99" i="64"/>
  <c r="AI99" i="64"/>
  <c r="AH100" i="64"/>
  <c r="AH101" i="64"/>
  <c r="AH102" i="64"/>
  <c r="AI102" i="64"/>
  <c r="AH103" i="64"/>
  <c r="AI103" i="64"/>
  <c r="AE98" i="64"/>
  <c r="AE99" i="64"/>
  <c r="AE100" i="64"/>
  <c r="AE101" i="64"/>
  <c r="AE102" i="64"/>
  <c r="AF102" i="64"/>
  <c r="AE103" i="64"/>
  <c r="AA98" i="64"/>
  <c r="AI98" i="64" s="1"/>
  <c r="AA99" i="64"/>
  <c r="AB99" i="64" s="1"/>
  <c r="AA100" i="64"/>
  <c r="AF100" i="64" s="1"/>
  <c r="AA101" i="64"/>
  <c r="AI101" i="64" s="1"/>
  <c r="AB101" i="64"/>
  <c r="AA102" i="64"/>
  <c r="AB102" i="64"/>
  <c r="AA103" i="64"/>
  <c r="AF103" i="64" s="1"/>
  <c r="L98" i="64"/>
  <c r="M98" i="64"/>
  <c r="N98" i="64"/>
  <c r="L99" i="64"/>
  <c r="M99" i="64"/>
  <c r="N99" i="64"/>
  <c r="L100" i="64"/>
  <c r="M100" i="64"/>
  <c r="N100" i="64"/>
  <c r="L101" i="64"/>
  <c r="M101" i="64"/>
  <c r="N101" i="64"/>
  <c r="L102" i="64"/>
  <c r="M102" i="64"/>
  <c r="N102" i="64"/>
  <c r="L103" i="64"/>
  <c r="M103" i="64"/>
  <c r="N103" i="64"/>
  <c r="AI92" i="64"/>
  <c r="AD93" i="64"/>
  <c r="AD94" i="64"/>
  <c r="AG93" i="64"/>
  <c r="AG94" i="64"/>
  <c r="O93" i="64"/>
  <c r="P93" i="64"/>
  <c r="Q93" i="64"/>
  <c r="R93" i="64"/>
  <c r="S93" i="64"/>
  <c r="T93" i="64"/>
  <c r="U93" i="64"/>
  <c r="V93" i="64"/>
  <c r="W93" i="64"/>
  <c r="X93" i="64"/>
  <c r="Y93" i="64"/>
  <c r="Z93" i="64"/>
  <c r="O94" i="64"/>
  <c r="P94" i="64"/>
  <c r="Q94" i="64"/>
  <c r="R94" i="64"/>
  <c r="S94" i="64"/>
  <c r="T94" i="64"/>
  <c r="U94" i="64"/>
  <c r="V94" i="64"/>
  <c r="W94" i="64"/>
  <c r="X94" i="64"/>
  <c r="Y94" i="64"/>
  <c r="Z94" i="64"/>
  <c r="AA91" i="64"/>
  <c r="AF91" i="64" s="1"/>
  <c r="AA92" i="64"/>
  <c r="AF92" i="64" s="1"/>
  <c r="N91" i="64"/>
  <c r="N92" i="64"/>
  <c r="I91" i="64"/>
  <c r="J91" i="64"/>
  <c r="I92" i="64"/>
  <c r="J92" i="64"/>
  <c r="AA35" i="64"/>
  <c r="AB35" i="64" s="1"/>
  <c r="AA36" i="64"/>
  <c r="AA37" i="64"/>
  <c r="AA38" i="64"/>
  <c r="AI38" i="64" s="1"/>
  <c r="AA39" i="64"/>
  <c r="AA43" i="64" s="1"/>
  <c r="AA40" i="64"/>
  <c r="AI40" i="64" s="1"/>
  <c r="AA41" i="64"/>
  <c r="AA45" i="64"/>
  <c r="AA46" i="64"/>
  <c r="AI46" i="64" s="1"/>
  <c r="AA47" i="64"/>
  <c r="AA48" i="64"/>
  <c r="AA49" i="64"/>
  <c r="AF49" i="64" s="1"/>
  <c r="AA50" i="64"/>
  <c r="AA51" i="64"/>
  <c r="AB51" i="64" s="1"/>
  <c r="AA55" i="64"/>
  <c r="AA56" i="64"/>
  <c r="AA57" i="64"/>
  <c r="AI57" i="64" s="1"/>
  <c r="AA58" i="64"/>
  <c r="AA59" i="64"/>
  <c r="AA60" i="64"/>
  <c r="AF60" i="64" s="1"/>
  <c r="AA61" i="64"/>
  <c r="AI61" i="64" s="1"/>
  <c r="AA65" i="64"/>
  <c r="AF65" i="64" s="1"/>
  <c r="AA66" i="64"/>
  <c r="AI66" i="64" s="1"/>
  <c r="AA67" i="64"/>
  <c r="AB67" i="64" s="1"/>
  <c r="AA68" i="64"/>
  <c r="AA69" i="64"/>
  <c r="AA70" i="64"/>
  <c r="AI70" i="64" s="1"/>
  <c r="AA71" i="64"/>
  <c r="AA72" i="64"/>
  <c r="AI72" i="64" s="1"/>
  <c r="AA75" i="64"/>
  <c r="AI75" i="64" s="1"/>
  <c r="AA76" i="64"/>
  <c r="AI76" i="64" s="1"/>
  <c r="AA77" i="64"/>
  <c r="AF77" i="64" s="1"/>
  <c r="AA78" i="64"/>
  <c r="AF78" i="64" s="1"/>
  <c r="AA79" i="64"/>
  <c r="AA80" i="64"/>
  <c r="AA83" i="64"/>
  <c r="AA85" i="64"/>
  <c r="AI85" i="64" s="1"/>
  <c r="AA86" i="64"/>
  <c r="AF86" i="64" s="1"/>
  <c r="AA87" i="64"/>
  <c r="AA94" i="64" s="1"/>
  <c r="N85" i="64"/>
  <c r="N143" i="64" s="1"/>
  <c r="N86" i="64"/>
  <c r="N87" i="64"/>
  <c r="N144" i="64" s="1"/>
  <c r="N88" i="64"/>
  <c r="N145" i="64" s="1"/>
  <c r="AH87" i="64"/>
  <c r="AE87" i="64"/>
  <c r="AB87" i="64"/>
  <c r="AH83" i="64"/>
  <c r="AH85" i="64"/>
  <c r="AE83" i="64"/>
  <c r="AE85" i="64"/>
  <c r="L85" i="64"/>
  <c r="M85" i="64"/>
  <c r="L86" i="64"/>
  <c r="M86" i="64"/>
  <c r="L87" i="64"/>
  <c r="M87" i="64"/>
  <c r="I85" i="64"/>
  <c r="J85" i="64"/>
  <c r="I86" i="64"/>
  <c r="J86" i="64"/>
  <c r="I87" i="64"/>
  <c r="J87" i="64"/>
  <c r="I88" i="64"/>
  <c r="J88" i="64"/>
  <c r="P84" i="64"/>
  <c r="Q84" i="64"/>
  <c r="Y84" i="64"/>
  <c r="L83" i="64"/>
  <c r="M83" i="64"/>
  <c r="N83" i="64"/>
  <c r="I83" i="64"/>
  <c r="J83" i="64"/>
  <c r="AG82" i="64"/>
  <c r="AH84" i="64" s="1"/>
  <c r="AD82" i="64"/>
  <c r="AE84" i="64" s="1"/>
  <c r="O82" i="64"/>
  <c r="O84" i="64" s="1"/>
  <c r="P82" i="64"/>
  <c r="Q82" i="64"/>
  <c r="R82" i="64"/>
  <c r="R84" i="64" s="1"/>
  <c r="S82" i="64"/>
  <c r="S84" i="64" s="1"/>
  <c r="T82" i="64"/>
  <c r="T84" i="64" s="1"/>
  <c r="U82" i="64"/>
  <c r="U84" i="64" s="1"/>
  <c r="V82" i="64"/>
  <c r="V84" i="64" s="1"/>
  <c r="W82" i="64"/>
  <c r="W84" i="64" s="1"/>
  <c r="X82" i="64"/>
  <c r="X84" i="64" s="1"/>
  <c r="Y82" i="64"/>
  <c r="Z82" i="64"/>
  <c r="Z84" i="64" s="1"/>
  <c r="AI79" i="64"/>
  <c r="AF76" i="64"/>
  <c r="AF79" i="64"/>
  <c r="AH74" i="64"/>
  <c r="AH75" i="64"/>
  <c r="AH76" i="64"/>
  <c r="AH77" i="64"/>
  <c r="AH78" i="64"/>
  <c r="AH79" i="64"/>
  <c r="AH80" i="64"/>
  <c r="AE75" i="64"/>
  <c r="AE76" i="64"/>
  <c r="AE77" i="64"/>
  <c r="AE78" i="64"/>
  <c r="AE79" i="64"/>
  <c r="AE80" i="64"/>
  <c r="AB77" i="64"/>
  <c r="AB79" i="64"/>
  <c r="L75" i="64"/>
  <c r="M75" i="64"/>
  <c r="N75" i="64"/>
  <c r="L76" i="64"/>
  <c r="M76" i="64"/>
  <c r="N76" i="64"/>
  <c r="L77" i="64"/>
  <c r="M77" i="64"/>
  <c r="N77" i="64"/>
  <c r="L78" i="64"/>
  <c r="M78" i="64"/>
  <c r="N78" i="64"/>
  <c r="L79" i="64"/>
  <c r="M79" i="64"/>
  <c r="N79" i="64"/>
  <c r="L80" i="64"/>
  <c r="M80" i="64"/>
  <c r="N80" i="64"/>
  <c r="L81" i="64"/>
  <c r="M81" i="64"/>
  <c r="N81" i="64"/>
  <c r="I75" i="64"/>
  <c r="J75" i="64"/>
  <c r="I76" i="64"/>
  <c r="J76" i="64"/>
  <c r="I77" i="64"/>
  <c r="J77" i="64"/>
  <c r="I78" i="64"/>
  <c r="J78" i="64"/>
  <c r="I79" i="64"/>
  <c r="J79" i="64"/>
  <c r="I80" i="64"/>
  <c r="J80" i="64"/>
  <c r="I81" i="64"/>
  <c r="J81" i="64"/>
  <c r="AG73" i="64"/>
  <c r="AD73" i="64"/>
  <c r="AE74" i="64" s="1"/>
  <c r="O73" i="64"/>
  <c r="P73" i="64"/>
  <c r="P74" i="64" s="1"/>
  <c r="Q73" i="64"/>
  <c r="R73" i="64"/>
  <c r="S73" i="64"/>
  <c r="S74" i="64" s="1"/>
  <c r="T73" i="64"/>
  <c r="T74" i="64" s="1"/>
  <c r="U73" i="64"/>
  <c r="U74" i="64" s="1"/>
  <c r="V73" i="64"/>
  <c r="V74" i="64" s="1"/>
  <c r="W73" i="64"/>
  <c r="X73" i="64"/>
  <c r="X74" i="64" s="1"/>
  <c r="Y73" i="64"/>
  <c r="Z73" i="64"/>
  <c r="O74" i="64"/>
  <c r="Q74" i="64"/>
  <c r="R74" i="64"/>
  <c r="W74" i="64"/>
  <c r="Y74" i="64"/>
  <c r="Z74" i="64"/>
  <c r="AI65" i="64"/>
  <c r="AI69" i="64"/>
  <c r="AF68" i="64"/>
  <c r="AF69" i="64"/>
  <c r="AF71" i="64"/>
  <c r="AH71" i="64"/>
  <c r="AE71" i="64"/>
  <c r="AH65" i="64"/>
  <c r="AH66" i="64"/>
  <c r="AH67" i="64"/>
  <c r="AH68" i="64"/>
  <c r="AH69" i="64"/>
  <c r="AE65" i="64"/>
  <c r="AE66" i="64"/>
  <c r="AE67" i="64"/>
  <c r="AE68" i="64"/>
  <c r="AE69" i="64"/>
  <c r="AB65" i="64"/>
  <c r="AB66" i="64"/>
  <c r="AB69" i="64"/>
  <c r="L65" i="64"/>
  <c r="M65" i="64"/>
  <c r="N65" i="64"/>
  <c r="L66" i="64"/>
  <c r="M66" i="64"/>
  <c r="N66" i="64"/>
  <c r="L67" i="64"/>
  <c r="M67" i="64"/>
  <c r="N67" i="64"/>
  <c r="L68" i="64"/>
  <c r="M68" i="64"/>
  <c r="N68" i="64"/>
  <c r="L69" i="64"/>
  <c r="M69" i="64"/>
  <c r="N69" i="64"/>
  <c r="L70" i="64"/>
  <c r="M70" i="64"/>
  <c r="N70" i="64"/>
  <c r="L71" i="64"/>
  <c r="M71" i="64"/>
  <c r="N71" i="64"/>
  <c r="L72" i="64"/>
  <c r="M72" i="64"/>
  <c r="N72" i="64"/>
  <c r="I65" i="64"/>
  <c r="J65" i="64"/>
  <c r="I66" i="64"/>
  <c r="J66" i="64"/>
  <c r="I67" i="64"/>
  <c r="J67" i="64"/>
  <c r="I68" i="64"/>
  <c r="J68" i="64"/>
  <c r="I69" i="64"/>
  <c r="J69" i="64"/>
  <c r="I70" i="64"/>
  <c r="J70" i="64"/>
  <c r="I71" i="64"/>
  <c r="J71" i="64"/>
  <c r="I72" i="64"/>
  <c r="J72" i="64"/>
  <c r="AG63" i="64"/>
  <c r="AH64" i="64" s="1"/>
  <c r="AD63" i="64"/>
  <c r="AE64" i="64" s="1"/>
  <c r="O63" i="64"/>
  <c r="O64" i="64" s="1"/>
  <c r="P63" i="64"/>
  <c r="Q63" i="64"/>
  <c r="Q64" i="64" s="1"/>
  <c r="R63" i="64"/>
  <c r="S63" i="64"/>
  <c r="S64" i="64" s="1"/>
  <c r="T63" i="64"/>
  <c r="T64" i="64" s="1"/>
  <c r="U63" i="64"/>
  <c r="U64" i="64" s="1"/>
  <c r="V63" i="64"/>
  <c r="V64" i="64" s="1"/>
  <c r="W63" i="64"/>
  <c r="W64" i="64" s="1"/>
  <c r="X63" i="64"/>
  <c r="Y63" i="64"/>
  <c r="Y64" i="64" s="1"/>
  <c r="Z63" i="64"/>
  <c r="P64" i="64"/>
  <c r="R64" i="64"/>
  <c r="X64" i="64"/>
  <c r="Z64" i="64"/>
  <c r="AI55" i="64"/>
  <c r="AI56" i="64"/>
  <c r="AI58" i="64"/>
  <c r="AI60" i="64"/>
  <c r="AF55" i="64"/>
  <c r="AF56" i="64"/>
  <c r="AF57" i="64"/>
  <c r="AF58" i="64"/>
  <c r="AH61" i="64"/>
  <c r="AE61" i="64"/>
  <c r="AH55" i="64"/>
  <c r="AH56" i="64"/>
  <c r="AH57" i="64"/>
  <c r="AH58" i="64"/>
  <c r="AH59" i="64"/>
  <c r="AE55" i="64"/>
  <c r="AE56" i="64"/>
  <c r="AE57" i="64"/>
  <c r="AE58" i="64"/>
  <c r="AE59" i="64"/>
  <c r="AB55" i="64"/>
  <c r="AB56" i="64"/>
  <c r="AB58" i="64"/>
  <c r="L55" i="64"/>
  <c r="M55" i="64"/>
  <c r="N55" i="64"/>
  <c r="L56" i="64"/>
  <c r="M56" i="64"/>
  <c r="N56" i="64"/>
  <c r="L57" i="64"/>
  <c r="M57" i="64"/>
  <c r="N57" i="64"/>
  <c r="L58" i="64"/>
  <c r="M58" i="64"/>
  <c r="N58" i="64"/>
  <c r="L59" i="64"/>
  <c r="M59" i="64"/>
  <c r="N59" i="64"/>
  <c r="L60" i="64"/>
  <c r="M60" i="64"/>
  <c r="N60" i="64"/>
  <c r="L61" i="64"/>
  <c r="M61" i="64"/>
  <c r="N61" i="64"/>
  <c r="L62" i="64"/>
  <c r="M62" i="64"/>
  <c r="N62" i="64"/>
  <c r="I55" i="64"/>
  <c r="J55" i="64"/>
  <c r="I56" i="64"/>
  <c r="J56" i="64"/>
  <c r="I57" i="64"/>
  <c r="J57" i="64"/>
  <c r="I58" i="64"/>
  <c r="J58" i="64"/>
  <c r="I59" i="64"/>
  <c r="J59" i="64"/>
  <c r="I60" i="64"/>
  <c r="J60" i="64"/>
  <c r="I61" i="64"/>
  <c r="J61" i="64"/>
  <c r="I62" i="64"/>
  <c r="J62" i="64"/>
  <c r="AG53" i="64"/>
  <c r="AH54" i="64" s="1"/>
  <c r="AD53" i="64"/>
  <c r="AE54" i="64" s="1"/>
  <c r="O53" i="64"/>
  <c r="O54" i="64" s="1"/>
  <c r="P53" i="64"/>
  <c r="P54" i="64" s="1"/>
  <c r="Q53" i="64"/>
  <c r="Q54" i="64" s="1"/>
  <c r="R53" i="64"/>
  <c r="R54" i="64" s="1"/>
  <c r="S53" i="64"/>
  <c r="T53" i="64"/>
  <c r="U53" i="64"/>
  <c r="U54" i="64" s="1"/>
  <c r="V53" i="64"/>
  <c r="V54" i="64" s="1"/>
  <c r="W53" i="64"/>
  <c r="W54" i="64" s="1"/>
  <c r="X53" i="64"/>
  <c r="X54" i="64" s="1"/>
  <c r="Y53" i="64"/>
  <c r="Y54" i="64" s="1"/>
  <c r="Z53" i="64"/>
  <c r="Z54" i="64" s="1"/>
  <c r="S54" i="64"/>
  <c r="T54" i="64"/>
  <c r="AI45" i="64"/>
  <c r="AI47" i="64"/>
  <c r="AI49" i="64"/>
  <c r="AF45" i="64"/>
  <c r="AF47" i="64"/>
  <c r="AH51" i="64"/>
  <c r="AE51" i="64"/>
  <c r="AH45" i="64"/>
  <c r="AH46" i="64"/>
  <c r="AH47" i="64"/>
  <c r="AH48" i="64"/>
  <c r="AH49" i="64"/>
  <c r="AE45" i="64"/>
  <c r="AE46" i="64"/>
  <c r="AE47" i="64"/>
  <c r="AE48" i="64"/>
  <c r="AE49" i="64"/>
  <c r="AB45" i="64"/>
  <c r="AB47" i="64"/>
  <c r="L45" i="64"/>
  <c r="M45" i="64"/>
  <c r="N45" i="64"/>
  <c r="L46" i="64"/>
  <c r="M46" i="64"/>
  <c r="N46" i="64"/>
  <c r="L47" i="64"/>
  <c r="M47" i="64"/>
  <c r="N47" i="64"/>
  <c r="L48" i="64"/>
  <c r="M48" i="64"/>
  <c r="N48" i="64"/>
  <c r="L49" i="64"/>
  <c r="M49" i="64"/>
  <c r="N49" i="64"/>
  <c r="L50" i="64"/>
  <c r="M50" i="64"/>
  <c r="N50" i="64"/>
  <c r="L51" i="64"/>
  <c r="M51" i="64"/>
  <c r="N51" i="64"/>
  <c r="L52" i="64"/>
  <c r="M52" i="64"/>
  <c r="N52" i="64"/>
  <c r="I45" i="64"/>
  <c r="J45" i="64"/>
  <c r="I46" i="64"/>
  <c r="J46" i="64"/>
  <c r="I47" i="64"/>
  <c r="J47" i="64"/>
  <c r="I48" i="64"/>
  <c r="J48" i="64"/>
  <c r="I49" i="64"/>
  <c r="J49" i="64"/>
  <c r="I50" i="64"/>
  <c r="J50" i="64"/>
  <c r="I51" i="64"/>
  <c r="J51" i="64"/>
  <c r="I52" i="64"/>
  <c r="J52" i="64"/>
  <c r="AG43" i="64"/>
  <c r="AH44" i="64" s="1"/>
  <c r="AD43" i="64"/>
  <c r="AE44" i="64" s="1"/>
  <c r="O43" i="64"/>
  <c r="O44" i="64" s="1"/>
  <c r="P43" i="64"/>
  <c r="P44" i="64" s="1"/>
  <c r="Q43" i="64"/>
  <c r="Q44" i="64" s="1"/>
  <c r="R43" i="64"/>
  <c r="R44" i="64" s="1"/>
  <c r="S43" i="64"/>
  <c r="T43" i="64"/>
  <c r="T44" i="64" s="1"/>
  <c r="U43" i="64"/>
  <c r="V43" i="64"/>
  <c r="V44" i="64" s="1"/>
  <c r="W43" i="64"/>
  <c r="W44" i="64" s="1"/>
  <c r="X43" i="64"/>
  <c r="X44" i="64" s="1"/>
  <c r="Y43" i="64"/>
  <c r="Y44" i="64" s="1"/>
  <c r="Z43" i="64"/>
  <c r="Z44" i="64" s="1"/>
  <c r="S44" i="64"/>
  <c r="U44" i="64"/>
  <c r="AI36" i="64"/>
  <c r="AI37" i="64"/>
  <c r="AI41" i="64"/>
  <c r="AF37" i="64"/>
  <c r="AF41" i="64"/>
  <c r="AH41" i="64"/>
  <c r="AE41" i="64"/>
  <c r="AB41" i="64"/>
  <c r="AH35" i="64"/>
  <c r="AH36" i="64"/>
  <c r="AH37" i="64"/>
  <c r="AH38" i="64"/>
  <c r="AH39" i="64"/>
  <c r="AE35" i="64"/>
  <c r="AE36" i="64"/>
  <c r="AE37" i="64"/>
  <c r="AE38" i="64"/>
  <c r="AE39" i="64"/>
  <c r="AB37" i="64"/>
  <c r="AB39" i="64"/>
  <c r="L35" i="64"/>
  <c r="M35" i="64"/>
  <c r="N35" i="64"/>
  <c r="L36" i="64"/>
  <c r="M36" i="64"/>
  <c r="N36" i="64"/>
  <c r="L37" i="64"/>
  <c r="M37" i="64"/>
  <c r="N37" i="64"/>
  <c r="L38" i="64"/>
  <c r="M38" i="64"/>
  <c r="N38" i="64"/>
  <c r="L39" i="64"/>
  <c r="M39" i="64"/>
  <c r="N39" i="64"/>
  <c r="L40" i="64"/>
  <c r="M40" i="64"/>
  <c r="N40" i="64"/>
  <c r="L41" i="64"/>
  <c r="M41" i="64"/>
  <c r="N41" i="64"/>
  <c r="L42" i="64"/>
  <c r="M42" i="64"/>
  <c r="N42" i="64"/>
  <c r="I35" i="64"/>
  <c r="J35" i="64"/>
  <c r="I36" i="64"/>
  <c r="J36" i="64"/>
  <c r="I37" i="64"/>
  <c r="J37" i="64"/>
  <c r="I38" i="64"/>
  <c r="J38" i="64"/>
  <c r="I39" i="64"/>
  <c r="J39" i="64"/>
  <c r="I40" i="64"/>
  <c r="J40" i="64"/>
  <c r="I41" i="64"/>
  <c r="J41" i="64"/>
  <c r="I42" i="64"/>
  <c r="J42" i="64"/>
  <c r="AG32" i="64"/>
  <c r="AD32" i="64"/>
  <c r="O32" i="64"/>
  <c r="P32" i="64"/>
  <c r="Q32" i="64"/>
  <c r="R32" i="64"/>
  <c r="S32" i="64"/>
  <c r="T32" i="64"/>
  <c r="U32" i="64"/>
  <c r="V32" i="64"/>
  <c r="W32" i="64"/>
  <c r="X32" i="64"/>
  <c r="Y32" i="64"/>
  <c r="Z32" i="64"/>
  <c r="AG31" i="64"/>
  <c r="AD31" i="64"/>
  <c r="O31" i="64"/>
  <c r="P31" i="64"/>
  <c r="Q31" i="64"/>
  <c r="R31" i="64"/>
  <c r="S31" i="64"/>
  <c r="T31" i="64"/>
  <c r="U31" i="64"/>
  <c r="V31" i="64"/>
  <c r="W31" i="64"/>
  <c r="X31" i="64"/>
  <c r="Y31" i="64"/>
  <c r="Z31" i="64"/>
  <c r="AA31" i="64"/>
  <c r="N26" i="64"/>
  <c r="N27" i="64"/>
  <c r="N28" i="64"/>
  <c r="N29" i="64"/>
  <c r="B23" i="64"/>
  <c r="AG16" i="64"/>
  <c r="AG19" i="64"/>
  <c r="AG20" i="64"/>
  <c r="AD19" i="64"/>
  <c r="AD20" i="64"/>
  <c r="G19" i="64"/>
  <c r="G20" i="64"/>
  <c r="N19" i="64"/>
  <c r="O19" i="64"/>
  <c r="P19" i="64"/>
  <c r="Q19" i="64"/>
  <c r="R19" i="64"/>
  <c r="S19" i="64"/>
  <c r="T19" i="64"/>
  <c r="U19" i="64"/>
  <c r="V19" i="64"/>
  <c r="W19" i="64"/>
  <c r="X19" i="64"/>
  <c r="Y19" i="64"/>
  <c r="Z19" i="64"/>
  <c r="N20" i="64"/>
  <c r="O20" i="64"/>
  <c r="P20" i="64"/>
  <c r="Q20" i="64"/>
  <c r="R20" i="64"/>
  <c r="S20" i="64"/>
  <c r="T20" i="64"/>
  <c r="U20" i="64"/>
  <c r="V20" i="64"/>
  <c r="W20" i="64"/>
  <c r="X20" i="64"/>
  <c r="Y20" i="64"/>
  <c r="Z20" i="64"/>
  <c r="B17" i="64"/>
  <c r="B18" i="64"/>
  <c r="B19" i="64"/>
  <c r="O16" i="64"/>
  <c r="P16" i="64"/>
  <c r="Q16" i="64"/>
  <c r="R16" i="64"/>
  <c r="S16" i="64"/>
  <c r="T16" i="64"/>
  <c r="U16" i="64"/>
  <c r="V16" i="64"/>
  <c r="W16" i="64"/>
  <c r="X16" i="64"/>
  <c r="Y16" i="64"/>
  <c r="O17" i="64"/>
  <c r="P17" i="64"/>
  <c r="Q17" i="64"/>
  <c r="R17" i="64"/>
  <c r="S17" i="64"/>
  <c r="T17" i="64"/>
  <c r="U17" i="64"/>
  <c r="V17" i="64"/>
  <c r="W17" i="64"/>
  <c r="X17" i="64"/>
  <c r="Y17" i="64"/>
  <c r="Z17" i="64"/>
  <c r="AA17" i="64" s="1"/>
  <c r="AA11" i="64" s="1"/>
  <c r="AA18" i="64" s="1"/>
  <c r="A14" i="64"/>
  <c r="AG12" i="64"/>
  <c r="AG13" i="64"/>
  <c r="AD12" i="64"/>
  <c r="AD13" i="64"/>
  <c r="B12" i="64"/>
  <c r="B13" i="64"/>
  <c r="O11" i="64"/>
  <c r="P11" i="64"/>
  <c r="Q11" i="64"/>
  <c r="R11" i="64"/>
  <c r="S11" i="64"/>
  <c r="T11" i="64"/>
  <c r="U11" i="64"/>
  <c r="V11" i="64"/>
  <c r="W11" i="64"/>
  <c r="X11" i="64"/>
  <c r="Y11" i="64"/>
  <c r="Z11" i="64"/>
  <c r="O12" i="64"/>
  <c r="P12" i="64"/>
  <c r="Q12" i="64"/>
  <c r="R12" i="64"/>
  <c r="S12" i="64"/>
  <c r="T12" i="64"/>
  <c r="U12" i="64"/>
  <c r="V12" i="64"/>
  <c r="W12" i="64"/>
  <c r="X12" i="64"/>
  <c r="Y12" i="64"/>
  <c r="Z12" i="64"/>
  <c r="AA12" i="64"/>
  <c r="O13" i="64"/>
  <c r="P13" i="64"/>
  <c r="Q13" i="64"/>
  <c r="R13" i="64"/>
  <c r="S13" i="64"/>
  <c r="T13" i="64"/>
  <c r="U13" i="64"/>
  <c r="V13" i="64"/>
  <c r="W13" i="64"/>
  <c r="X13" i="64"/>
  <c r="Y13" i="64"/>
  <c r="Z13" i="64"/>
  <c r="AA13" i="64"/>
  <c r="C10" i="64"/>
  <c r="D10" i="64"/>
  <c r="Z16" i="64" s="1"/>
  <c r="C9" i="64"/>
  <c r="C1" i="64"/>
  <c r="C2" i="64"/>
  <c r="C3" i="64"/>
  <c r="C4" i="64"/>
  <c r="C5" i="64"/>
  <c r="C6" i="64"/>
  <c r="C7" i="64"/>
  <c r="C8" i="64"/>
  <c r="E6" i="64"/>
  <c r="E4" i="64"/>
  <c r="F4" i="64"/>
  <c r="B3" i="64"/>
  <c r="B120" i="63"/>
  <c r="B114" i="63"/>
  <c r="B115" i="63"/>
  <c r="B116" i="63"/>
  <c r="A111" i="63"/>
  <c r="AG90" i="63"/>
  <c r="AD90" i="63"/>
  <c r="O90" i="63"/>
  <c r="P90" i="63"/>
  <c r="Q90" i="63"/>
  <c r="R90" i="63"/>
  <c r="S90" i="63"/>
  <c r="T90" i="63"/>
  <c r="U90" i="63"/>
  <c r="V90" i="63"/>
  <c r="W90" i="63"/>
  <c r="X90" i="63"/>
  <c r="Y90" i="63"/>
  <c r="Z90" i="63"/>
  <c r="N91" i="63"/>
  <c r="T91" i="63"/>
  <c r="Y91" i="63"/>
  <c r="B88" i="63"/>
  <c r="B89" i="63"/>
  <c r="N87" i="63"/>
  <c r="N90" i="63" s="1"/>
  <c r="N88" i="63"/>
  <c r="AH87" i="63"/>
  <c r="AL87" i="63"/>
  <c r="AH88" i="63"/>
  <c r="AE87" i="63"/>
  <c r="AE88" i="63"/>
  <c r="AA88" i="63"/>
  <c r="I87" i="63"/>
  <c r="AA87" i="63" s="1"/>
  <c r="J87" i="63"/>
  <c r="I88" i="63"/>
  <c r="J88" i="63"/>
  <c r="N82" i="63"/>
  <c r="N83" i="63"/>
  <c r="N84" i="63"/>
  <c r="N85" i="63"/>
  <c r="I85" i="63"/>
  <c r="AA85" i="63" s="1"/>
  <c r="AI85" i="63" s="1"/>
  <c r="J85" i="63"/>
  <c r="B83" i="63"/>
  <c r="B84" i="63"/>
  <c r="B85" i="63"/>
  <c r="AH83" i="63"/>
  <c r="AH84" i="63"/>
  <c r="AH85" i="63"/>
  <c r="AK85" i="63"/>
  <c r="AE83" i="63"/>
  <c r="AE84" i="63"/>
  <c r="AE85" i="63"/>
  <c r="I83" i="63"/>
  <c r="AA83" i="63" s="1"/>
  <c r="J83" i="63"/>
  <c r="L83" i="63"/>
  <c r="M83" i="63"/>
  <c r="I84" i="63"/>
  <c r="AA84" i="63" s="1"/>
  <c r="J84" i="63"/>
  <c r="L84" i="63"/>
  <c r="M84" i="63"/>
  <c r="I82" i="63"/>
  <c r="J82" i="63"/>
  <c r="A80" i="63"/>
  <c r="AH76" i="63"/>
  <c r="AH77" i="63"/>
  <c r="AH78" i="63"/>
  <c r="AH79" i="63"/>
  <c r="AK79" i="63"/>
  <c r="AH80" i="63"/>
  <c r="AL80" i="63"/>
  <c r="AE76" i="63"/>
  <c r="AE77" i="63"/>
  <c r="AE78" i="63"/>
  <c r="AE79" i="63"/>
  <c r="AE80" i="63"/>
  <c r="AA76" i="63"/>
  <c r="AA79" i="63"/>
  <c r="AI79" i="63" s="1"/>
  <c r="AA80" i="63"/>
  <c r="AI80" i="63" s="1"/>
  <c r="I76" i="63"/>
  <c r="J76" i="63"/>
  <c r="K76" i="63"/>
  <c r="L76" i="63"/>
  <c r="M76" i="63"/>
  <c r="N76" i="63"/>
  <c r="I77" i="63"/>
  <c r="AA77" i="63" s="1"/>
  <c r="J77" i="63"/>
  <c r="L77" i="63"/>
  <c r="M77" i="63"/>
  <c r="N77" i="63"/>
  <c r="I78" i="63"/>
  <c r="K78" i="63" s="1"/>
  <c r="J78" i="63"/>
  <c r="L78" i="63"/>
  <c r="M78" i="63"/>
  <c r="N78" i="63"/>
  <c r="I79" i="63"/>
  <c r="J79" i="63"/>
  <c r="K79" i="63"/>
  <c r="L79" i="63"/>
  <c r="M79" i="63"/>
  <c r="N79" i="63"/>
  <c r="I80" i="63"/>
  <c r="K80" i="63" s="1"/>
  <c r="J80" i="63"/>
  <c r="L80" i="63"/>
  <c r="M80" i="63"/>
  <c r="N80" i="63"/>
  <c r="N74" i="63"/>
  <c r="N75" i="63"/>
  <c r="I74" i="63"/>
  <c r="J74" i="63"/>
  <c r="I75" i="63"/>
  <c r="J75" i="63"/>
  <c r="AD72" i="63"/>
  <c r="AD91" i="63" s="1"/>
  <c r="AG72" i="63"/>
  <c r="AH72" i="63" s="1"/>
  <c r="N72" i="63"/>
  <c r="O72" i="63"/>
  <c r="O91" i="63" s="1"/>
  <c r="P72" i="63"/>
  <c r="P91" i="63" s="1"/>
  <c r="Q72" i="63"/>
  <c r="Q91" i="63" s="1"/>
  <c r="R72" i="63"/>
  <c r="R91" i="63" s="1"/>
  <c r="S72" i="63"/>
  <c r="S91" i="63" s="1"/>
  <c r="T72" i="63"/>
  <c r="U72" i="63"/>
  <c r="U91" i="63" s="1"/>
  <c r="V72" i="63"/>
  <c r="V91" i="63" s="1"/>
  <c r="W72" i="63"/>
  <c r="W91" i="63" s="1"/>
  <c r="X72" i="63"/>
  <c r="X91" i="63" s="1"/>
  <c r="Y72" i="63"/>
  <c r="Z72" i="63"/>
  <c r="Z91" i="63" s="1"/>
  <c r="AH71" i="63"/>
  <c r="AI71" i="63"/>
  <c r="AB62" i="63"/>
  <c r="AB63" i="63"/>
  <c r="AB64" i="63"/>
  <c r="AM64" i="63" s="1"/>
  <c r="AB65" i="63"/>
  <c r="AM65" i="63" s="1"/>
  <c r="AB66" i="63"/>
  <c r="AB67" i="63"/>
  <c r="AB68" i="63"/>
  <c r="AB69" i="63"/>
  <c r="AN69" i="63" s="1"/>
  <c r="AB70" i="63"/>
  <c r="AB71" i="63"/>
  <c r="N60" i="63"/>
  <c r="N61" i="63"/>
  <c r="N62" i="63"/>
  <c r="N63" i="63"/>
  <c r="N64" i="63"/>
  <c r="N65" i="63"/>
  <c r="N66" i="63"/>
  <c r="N67" i="63"/>
  <c r="N68" i="63"/>
  <c r="N69" i="63"/>
  <c r="N70" i="63"/>
  <c r="N71" i="63"/>
  <c r="I71" i="63"/>
  <c r="K71" i="63" s="1"/>
  <c r="J71" i="63"/>
  <c r="I72" i="63"/>
  <c r="K72" i="63" s="1"/>
  <c r="J72" i="63"/>
  <c r="AA62" i="63"/>
  <c r="AI62" i="63" s="1"/>
  <c r="AA68" i="63"/>
  <c r="AH62" i="63"/>
  <c r="AN62" i="63" s="1"/>
  <c r="AH63" i="63"/>
  <c r="AH64" i="63"/>
  <c r="AN64" i="63" s="1"/>
  <c r="AK64" i="63"/>
  <c r="AH65" i="63"/>
  <c r="AH66" i="63"/>
  <c r="AK66" i="63"/>
  <c r="AH67" i="63"/>
  <c r="AN67" i="63"/>
  <c r="AH68" i="63"/>
  <c r="AK68" i="63"/>
  <c r="AH69" i="63"/>
  <c r="AK69" i="63"/>
  <c r="AL69" i="63"/>
  <c r="AH70" i="63"/>
  <c r="AN70" i="63" s="1"/>
  <c r="AL70" i="63"/>
  <c r="AE62" i="63"/>
  <c r="AM62" i="63" s="1"/>
  <c r="AE63" i="63"/>
  <c r="AE64" i="63"/>
  <c r="AE65" i="63"/>
  <c r="AE66" i="63"/>
  <c r="AE67" i="63"/>
  <c r="AE68" i="63"/>
  <c r="AE69" i="63"/>
  <c r="AM69" i="63" s="1"/>
  <c r="AE70" i="63"/>
  <c r="AM70" i="63" s="1"/>
  <c r="AE71" i="63"/>
  <c r="AF71" i="63"/>
  <c r="I62" i="63"/>
  <c r="J62" i="63"/>
  <c r="K62" i="63"/>
  <c r="L62" i="63"/>
  <c r="M62" i="63"/>
  <c r="I63" i="63"/>
  <c r="K63" i="63" s="1"/>
  <c r="J63" i="63"/>
  <c r="L63" i="63"/>
  <c r="M63" i="63"/>
  <c r="I64" i="63"/>
  <c r="AA64" i="63" s="1"/>
  <c r="J64" i="63"/>
  <c r="K64" i="63"/>
  <c r="L64" i="63"/>
  <c r="M64" i="63"/>
  <c r="I65" i="63"/>
  <c r="AA65" i="63" s="1"/>
  <c r="J65" i="63"/>
  <c r="K65" i="63"/>
  <c r="L65" i="63"/>
  <c r="M65" i="63"/>
  <c r="I66" i="63"/>
  <c r="K66" i="63" s="1"/>
  <c r="J66" i="63"/>
  <c r="L66" i="63"/>
  <c r="M66" i="63"/>
  <c r="I67" i="63"/>
  <c r="AA67" i="63" s="1"/>
  <c r="J67" i="63"/>
  <c r="L67" i="63"/>
  <c r="M67" i="63"/>
  <c r="I68" i="63"/>
  <c r="K68" i="63" s="1"/>
  <c r="J68" i="63"/>
  <c r="L68" i="63"/>
  <c r="M68" i="63"/>
  <c r="I69" i="63"/>
  <c r="AA69" i="63" s="1"/>
  <c r="J69" i="63"/>
  <c r="L69" i="63"/>
  <c r="M69" i="63"/>
  <c r="I70" i="63"/>
  <c r="J70" i="63"/>
  <c r="L70" i="63"/>
  <c r="M70" i="63"/>
  <c r="I60" i="63"/>
  <c r="J60" i="63"/>
  <c r="I61" i="63"/>
  <c r="J61" i="63"/>
  <c r="B55" i="63"/>
  <c r="B56" i="63"/>
  <c r="B50" i="63"/>
  <c r="B51" i="63"/>
  <c r="B52" i="63"/>
  <c r="A47" i="63"/>
  <c r="AH35" i="63"/>
  <c r="AL35" i="63"/>
  <c r="AH36" i="63"/>
  <c r="AK36" i="63"/>
  <c r="AH37" i="63"/>
  <c r="AK37" i="63"/>
  <c r="AH38" i="63"/>
  <c r="AL38" i="63"/>
  <c r="AH39" i="63"/>
  <c r="AH40" i="63"/>
  <c r="AK40" i="63"/>
  <c r="AH41" i="63"/>
  <c r="AH42" i="63"/>
  <c r="AK42" i="63"/>
  <c r="AH43" i="63"/>
  <c r="AH44" i="63"/>
  <c r="AK44" i="63"/>
  <c r="AH45" i="63"/>
  <c r="AL45" i="63"/>
  <c r="AH46" i="63"/>
  <c r="AL46" i="63"/>
  <c r="AH47" i="63"/>
  <c r="AH48" i="63"/>
  <c r="AK48" i="63"/>
  <c r="AH49" i="63"/>
  <c r="AK49" i="63"/>
  <c r="AH50" i="63"/>
  <c r="AK50" i="63"/>
  <c r="AH51" i="63"/>
  <c r="AH52" i="63"/>
  <c r="AK52" i="63"/>
  <c r="AH53" i="63"/>
  <c r="AK53" i="63"/>
  <c r="AL53" i="63"/>
  <c r="AH54" i="63"/>
  <c r="AH55" i="63"/>
  <c r="AH56" i="63"/>
  <c r="AH57" i="63"/>
  <c r="AK57" i="63"/>
  <c r="AH58" i="63"/>
  <c r="AE35" i="63"/>
  <c r="AE36" i="63"/>
  <c r="AE37" i="63"/>
  <c r="AE38" i="63"/>
  <c r="AE39" i="63"/>
  <c r="AE40" i="63"/>
  <c r="AE41" i="63"/>
  <c r="AE42" i="63"/>
  <c r="AE43" i="63"/>
  <c r="AE44" i="63"/>
  <c r="AE45" i="63"/>
  <c r="AE46" i="63"/>
  <c r="AE47" i="63"/>
  <c r="AE48" i="63"/>
  <c r="AE49" i="63"/>
  <c r="AE50" i="63"/>
  <c r="AE51" i="63"/>
  <c r="AE52" i="63"/>
  <c r="AE53" i="63"/>
  <c r="AE54" i="63"/>
  <c r="AE55" i="63"/>
  <c r="AE56" i="63"/>
  <c r="AE57" i="63"/>
  <c r="AE58" i="63"/>
  <c r="AA44" i="63"/>
  <c r="AI44" i="63" s="1"/>
  <c r="AA52" i="63"/>
  <c r="AI52" i="63" s="1"/>
  <c r="AA56" i="63"/>
  <c r="AF56" i="63" s="1"/>
  <c r="I35" i="63"/>
  <c r="J35" i="63"/>
  <c r="L35" i="63"/>
  <c r="M35" i="63"/>
  <c r="N35" i="63"/>
  <c r="I36" i="63"/>
  <c r="J36" i="63"/>
  <c r="L36" i="63"/>
  <c r="M36" i="63"/>
  <c r="N36" i="63"/>
  <c r="I37" i="63"/>
  <c r="K37" i="63" s="1"/>
  <c r="J37" i="63"/>
  <c r="L37" i="63"/>
  <c r="M37" i="63"/>
  <c r="N37" i="63"/>
  <c r="I38" i="63"/>
  <c r="J38" i="63"/>
  <c r="L38" i="63"/>
  <c r="M38" i="63"/>
  <c r="N38" i="63"/>
  <c r="I39" i="63"/>
  <c r="AA39" i="63" s="1"/>
  <c r="J39" i="63"/>
  <c r="K39" i="63"/>
  <c r="L39" i="63"/>
  <c r="M39" i="63"/>
  <c r="N39" i="63"/>
  <c r="I40" i="63"/>
  <c r="K40" i="63" s="1"/>
  <c r="J40" i="63"/>
  <c r="L40" i="63"/>
  <c r="M40" i="63"/>
  <c r="N40" i="63"/>
  <c r="I41" i="63"/>
  <c r="K41" i="63" s="1"/>
  <c r="J41" i="63"/>
  <c r="L41" i="63"/>
  <c r="M41" i="63"/>
  <c r="N41" i="63"/>
  <c r="I42" i="63"/>
  <c r="AA42" i="63" s="1"/>
  <c r="J42" i="63"/>
  <c r="K42" i="63"/>
  <c r="L42" i="63"/>
  <c r="M42" i="63"/>
  <c r="N42" i="63"/>
  <c r="I43" i="63"/>
  <c r="AA43" i="63" s="1"/>
  <c r="J43" i="63"/>
  <c r="K43" i="63"/>
  <c r="L43" i="63"/>
  <c r="M43" i="63"/>
  <c r="N43" i="63"/>
  <c r="I44" i="63"/>
  <c r="K44" i="63" s="1"/>
  <c r="J44" i="63"/>
  <c r="L44" i="63"/>
  <c r="M44" i="63"/>
  <c r="N44" i="63"/>
  <c r="I45" i="63"/>
  <c r="K45" i="63" s="1"/>
  <c r="J45" i="63"/>
  <c r="L45" i="63"/>
  <c r="M45" i="63"/>
  <c r="N45" i="63"/>
  <c r="I46" i="63"/>
  <c r="AA46" i="63" s="1"/>
  <c r="J46" i="63"/>
  <c r="K46" i="63"/>
  <c r="L46" i="63"/>
  <c r="M46" i="63"/>
  <c r="N46" i="63"/>
  <c r="I47" i="63"/>
  <c r="AA47" i="63" s="1"/>
  <c r="J47" i="63"/>
  <c r="K47" i="63"/>
  <c r="L47" i="63"/>
  <c r="M47" i="63"/>
  <c r="N47" i="63"/>
  <c r="I48" i="63"/>
  <c r="J48" i="63"/>
  <c r="L48" i="63"/>
  <c r="M48" i="63"/>
  <c r="N48" i="63"/>
  <c r="I49" i="63"/>
  <c r="K49" i="63" s="1"/>
  <c r="J49" i="63"/>
  <c r="L49" i="63"/>
  <c r="M49" i="63"/>
  <c r="N49" i="63"/>
  <c r="I50" i="63"/>
  <c r="AA50" i="63" s="1"/>
  <c r="J50" i="63"/>
  <c r="K50" i="63"/>
  <c r="L50" i="63"/>
  <c r="M50" i="63"/>
  <c r="N50" i="63"/>
  <c r="I51" i="63"/>
  <c r="J51" i="63"/>
  <c r="L51" i="63"/>
  <c r="M51" i="63"/>
  <c r="N51" i="63"/>
  <c r="I52" i="63"/>
  <c r="K52" i="63" s="1"/>
  <c r="J52" i="63"/>
  <c r="L52" i="63"/>
  <c r="M52" i="63"/>
  <c r="N52" i="63"/>
  <c r="I53" i="63"/>
  <c r="K53" i="63" s="1"/>
  <c r="J53" i="63"/>
  <c r="L53" i="63"/>
  <c r="M53" i="63"/>
  <c r="N53" i="63"/>
  <c r="I54" i="63"/>
  <c r="J54" i="63"/>
  <c r="L54" i="63"/>
  <c r="M54" i="63"/>
  <c r="N54" i="63"/>
  <c r="I55" i="63"/>
  <c r="AA55" i="63" s="1"/>
  <c r="J55" i="63"/>
  <c r="L55" i="63"/>
  <c r="M55" i="63"/>
  <c r="N55" i="63"/>
  <c r="I56" i="63"/>
  <c r="K56" i="63" s="1"/>
  <c r="J56" i="63"/>
  <c r="L56" i="63"/>
  <c r="M56" i="63"/>
  <c r="N56" i="63"/>
  <c r="I57" i="63"/>
  <c r="K57" i="63" s="1"/>
  <c r="J57" i="63"/>
  <c r="L57" i="63"/>
  <c r="M57" i="63"/>
  <c r="N57" i="63"/>
  <c r="I58" i="63"/>
  <c r="AA58" i="63" s="1"/>
  <c r="J58" i="63"/>
  <c r="L58" i="63"/>
  <c r="M58" i="63"/>
  <c r="N58" i="63"/>
  <c r="N33" i="63"/>
  <c r="N34" i="63"/>
  <c r="I33" i="63"/>
  <c r="J33" i="63"/>
  <c r="I34" i="63"/>
  <c r="J34" i="63"/>
  <c r="AG32" i="63"/>
  <c r="AL32" i="63" s="1"/>
  <c r="AD32" i="63"/>
  <c r="AK32" i="63" s="1"/>
  <c r="O32" i="63"/>
  <c r="P32" i="63"/>
  <c r="Q32" i="63"/>
  <c r="R32" i="63"/>
  <c r="S32" i="63"/>
  <c r="T32" i="63"/>
  <c r="U32" i="63"/>
  <c r="V32" i="63"/>
  <c r="W32" i="63"/>
  <c r="X32" i="63"/>
  <c r="Y32" i="63"/>
  <c r="Z32" i="63"/>
  <c r="AJ32" i="63" s="1"/>
  <c r="AJ31" i="63"/>
  <c r="AK31" i="63"/>
  <c r="AL31" i="63"/>
  <c r="AN31" i="63" s="1"/>
  <c r="AM31" i="63"/>
  <c r="AG31" i="63"/>
  <c r="AD31" i="63"/>
  <c r="O31" i="63"/>
  <c r="P31" i="63"/>
  <c r="Q31" i="63"/>
  <c r="R31" i="63"/>
  <c r="S31" i="63"/>
  <c r="T31" i="63"/>
  <c r="U31" i="63"/>
  <c r="V31" i="63"/>
  <c r="W31" i="63"/>
  <c r="X31" i="63"/>
  <c r="Y31" i="63"/>
  <c r="Z31" i="63"/>
  <c r="AA31" i="63"/>
  <c r="N26" i="63"/>
  <c r="N27" i="63"/>
  <c r="N28" i="63"/>
  <c r="N29" i="63"/>
  <c r="B22" i="63"/>
  <c r="B23" i="63"/>
  <c r="AG16" i="63"/>
  <c r="AG19" i="63"/>
  <c r="AG20" i="63"/>
  <c r="AL84" i="63" s="1"/>
  <c r="AD19" i="63"/>
  <c r="AD20" i="63"/>
  <c r="AK83" i="63" s="1"/>
  <c r="G19" i="63"/>
  <c r="G20" i="63"/>
  <c r="N19" i="63"/>
  <c r="O19" i="63"/>
  <c r="P19" i="63"/>
  <c r="Q19" i="63"/>
  <c r="R19" i="63"/>
  <c r="S19" i="63"/>
  <c r="T19" i="63"/>
  <c r="U19" i="63"/>
  <c r="V19" i="63"/>
  <c r="W19" i="63"/>
  <c r="X19" i="63"/>
  <c r="Y19" i="63"/>
  <c r="Z19" i="63"/>
  <c r="N20" i="63"/>
  <c r="O20" i="63"/>
  <c r="P20" i="63"/>
  <c r="Q20" i="63"/>
  <c r="R20" i="63"/>
  <c r="S20" i="63"/>
  <c r="T20" i="63"/>
  <c r="U20" i="63"/>
  <c r="V20" i="63"/>
  <c r="W20" i="63"/>
  <c r="X20" i="63"/>
  <c r="Y20" i="63"/>
  <c r="Z20" i="63"/>
  <c r="B17" i="63"/>
  <c r="B18" i="63"/>
  <c r="B19" i="63"/>
  <c r="O16" i="63"/>
  <c r="P16" i="63"/>
  <c r="Q16" i="63"/>
  <c r="R16" i="63"/>
  <c r="S16" i="63"/>
  <c r="T16" i="63"/>
  <c r="U16" i="63"/>
  <c r="V16" i="63"/>
  <c r="W16" i="63"/>
  <c r="X16" i="63"/>
  <c r="Y16" i="63"/>
  <c r="O17" i="63"/>
  <c r="P17" i="63"/>
  <c r="Q17" i="63"/>
  <c r="R17" i="63"/>
  <c r="S17" i="63"/>
  <c r="T17" i="63"/>
  <c r="U17" i="63"/>
  <c r="V17" i="63"/>
  <c r="W17" i="63"/>
  <c r="X17" i="63"/>
  <c r="Y17" i="63"/>
  <c r="Z17" i="63"/>
  <c r="AA17" i="63"/>
  <c r="AA11" i="63" s="1"/>
  <c r="A14" i="63"/>
  <c r="AG12" i="63"/>
  <c r="AG13" i="63"/>
  <c r="AD12" i="63"/>
  <c r="AD13" i="63"/>
  <c r="B12" i="63"/>
  <c r="B13" i="63"/>
  <c r="O11" i="63"/>
  <c r="P11" i="63"/>
  <c r="Q11" i="63"/>
  <c r="R11" i="63"/>
  <c r="S11" i="63"/>
  <c r="T11" i="63"/>
  <c r="U11" i="63"/>
  <c r="V11" i="63"/>
  <c r="W11" i="63"/>
  <c r="X11" i="63"/>
  <c r="Y11" i="63"/>
  <c r="Z11" i="63"/>
  <c r="O12" i="63"/>
  <c r="P12" i="63"/>
  <c r="Q12" i="63"/>
  <c r="R12" i="63"/>
  <c r="S12" i="63"/>
  <c r="T12" i="63"/>
  <c r="U12" i="63"/>
  <c r="V12" i="63"/>
  <c r="W12" i="63"/>
  <c r="X12" i="63"/>
  <c r="Y12" i="63"/>
  <c r="Z12" i="63"/>
  <c r="AA12" i="63"/>
  <c r="O13" i="63"/>
  <c r="P13" i="63"/>
  <c r="Q13" i="63"/>
  <c r="R13" i="63"/>
  <c r="S13" i="63"/>
  <c r="T13" i="63"/>
  <c r="U13" i="63"/>
  <c r="V13" i="63"/>
  <c r="W13" i="63"/>
  <c r="X13" i="63"/>
  <c r="Y13" i="63"/>
  <c r="Z13" i="63"/>
  <c r="AA13" i="63"/>
  <c r="C10" i="63"/>
  <c r="D10" i="63"/>
  <c r="C9" i="63"/>
  <c r="C1" i="63"/>
  <c r="C2" i="63"/>
  <c r="C3" i="63"/>
  <c r="C4" i="63"/>
  <c r="C5" i="63"/>
  <c r="C6" i="63"/>
  <c r="C7" i="63"/>
  <c r="C8" i="63"/>
  <c r="E6" i="63"/>
  <c r="B29" i="63" s="1"/>
  <c r="E4" i="63"/>
  <c r="F4" i="63"/>
  <c r="B3" i="63"/>
  <c r="H2" i="63" s="1"/>
  <c r="N1" i="63"/>
  <c r="N1" i="64" s="1"/>
  <c r="AG143" i="62"/>
  <c r="AG144" i="62"/>
  <c r="AG145" i="62"/>
  <c r="AG146" i="62"/>
  <c r="AD143" i="62"/>
  <c r="AD144" i="62"/>
  <c r="AD145" i="62"/>
  <c r="AD146" i="62"/>
  <c r="O143" i="62"/>
  <c r="P143" i="62"/>
  <c r="Q143" i="62"/>
  <c r="R143" i="62"/>
  <c r="S143" i="62"/>
  <c r="T143" i="62"/>
  <c r="U143" i="62"/>
  <c r="V143" i="62"/>
  <c r="W143" i="62"/>
  <c r="X143" i="62"/>
  <c r="Y143" i="62"/>
  <c r="Z143" i="62"/>
  <c r="O144" i="62"/>
  <c r="P144" i="62"/>
  <c r="Q144" i="62"/>
  <c r="R144" i="62"/>
  <c r="S144" i="62"/>
  <c r="T144" i="62"/>
  <c r="U144" i="62"/>
  <c r="V144" i="62"/>
  <c r="W144" i="62"/>
  <c r="X144" i="62"/>
  <c r="Y144" i="62"/>
  <c r="Z144" i="62"/>
  <c r="O145" i="62"/>
  <c r="P145" i="62"/>
  <c r="Q145" i="62"/>
  <c r="R145" i="62"/>
  <c r="S145" i="62"/>
  <c r="T145" i="62"/>
  <c r="U145" i="62"/>
  <c r="V145" i="62"/>
  <c r="W145" i="62"/>
  <c r="X145" i="62"/>
  <c r="Y145" i="62"/>
  <c r="Z145" i="62"/>
  <c r="O146" i="62"/>
  <c r="P146" i="62"/>
  <c r="Q146" i="62"/>
  <c r="R146" i="62"/>
  <c r="S146" i="62"/>
  <c r="T146" i="62"/>
  <c r="U146" i="62"/>
  <c r="V146" i="62"/>
  <c r="W146" i="62"/>
  <c r="X146" i="62"/>
  <c r="Y146" i="62"/>
  <c r="Z146" i="62"/>
  <c r="AI131" i="62"/>
  <c r="AI133" i="62"/>
  <c r="AI135" i="62"/>
  <c r="AI137" i="62"/>
  <c r="AI138" i="62"/>
  <c r="AI139" i="62"/>
  <c r="AG141" i="62"/>
  <c r="AD141" i="62"/>
  <c r="O141" i="62"/>
  <c r="P141" i="62"/>
  <c r="Q141" i="62"/>
  <c r="R141" i="62"/>
  <c r="S141" i="62"/>
  <c r="T141" i="62"/>
  <c r="U141" i="62"/>
  <c r="V141" i="62"/>
  <c r="W141" i="62"/>
  <c r="X141" i="62"/>
  <c r="Y141" i="62"/>
  <c r="Z141" i="62"/>
  <c r="AH140" i="62"/>
  <c r="AE140" i="62"/>
  <c r="AA140" i="62"/>
  <c r="AF140" i="62" s="1"/>
  <c r="AB140" i="62"/>
  <c r="AF130" i="62"/>
  <c r="AF131" i="62"/>
  <c r="AF133" i="62"/>
  <c r="AF135" i="62"/>
  <c r="AF137" i="62"/>
  <c r="AF139" i="62"/>
  <c r="AH138" i="62"/>
  <c r="AE138" i="62"/>
  <c r="AA138" i="62"/>
  <c r="AF138" i="62" s="1"/>
  <c r="AB138" i="62"/>
  <c r="AH136" i="62"/>
  <c r="AE136" i="62"/>
  <c r="AA136" i="62"/>
  <c r="AI136" i="62" s="1"/>
  <c r="AB136" i="62"/>
  <c r="AH134" i="62"/>
  <c r="AE134" i="62"/>
  <c r="AA134" i="62"/>
  <c r="AF134" i="62" s="1"/>
  <c r="AB134" i="62"/>
  <c r="AH132" i="62"/>
  <c r="AE132" i="62"/>
  <c r="AA132" i="62"/>
  <c r="AI132" i="62" s="1"/>
  <c r="AB132" i="62"/>
  <c r="AH130" i="62"/>
  <c r="AE130" i="62"/>
  <c r="AA130" i="62"/>
  <c r="AA146" i="62" s="1"/>
  <c r="AB130" i="62"/>
  <c r="L130" i="62"/>
  <c r="M130" i="62"/>
  <c r="N130" i="62"/>
  <c r="L131" i="62"/>
  <c r="M131" i="62"/>
  <c r="N131" i="62"/>
  <c r="L132" i="62"/>
  <c r="M132" i="62"/>
  <c r="N132" i="62"/>
  <c r="L133" i="62"/>
  <c r="M133" i="62"/>
  <c r="N133" i="62"/>
  <c r="L134" i="62"/>
  <c r="M134" i="62"/>
  <c r="N134" i="62"/>
  <c r="L135" i="62"/>
  <c r="M135" i="62"/>
  <c r="N135" i="62"/>
  <c r="L136" i="62"/>
  <c r="M136" i="62"/>
  <c r="N136" i="62"/>
  <c r="L137" i="62"/>
  <c r="M137" i="62"/>
  <c r="N137" i="62"/>
  <c r="L138" i="62"/>
  <c r="M138" i="62"/>
  <c r="N138" i="62"/>
  <c r="L139" i="62"/>
  <c r="M139" i="62"/>
  <c r="N139" i="62"/>
  <c r="L140" i="62"/>
  <c r="M140" i="62"/>
  <c r="N140" i="62"/>
  <c r="N129" i="62"/>
  <c r="AG121" i="62"/>
  <c r="AG122" i="62"/>
  <c r="AH122" i="62" s="1"/>
  <c r="AG123" i="62"/>
  <c r="AG124" i="62"/>
  <c r="AH124" i="62" s="1"/>
  <c r="AG125" i="62"/>
  <c r="AH125" i="62" s="1"/>
  <c r="AD121" i="62"/>
  <c r="AD122" i="62"/>
  <c r="AE122" i="62" s="1"/>
  <c r="AD123" i="62"/>
  <c r="AE123" i="62" s="1"/>
  <c r="AD124" i="62"/>
  <c r="AE124" i="62" s="1"/>
  <c r="AD125" i="62"/>
  <c r="AE125" i="62" s="1"/>
  <c r="AH123" i="62"/>
  <c r="L121" i="62"/>
  <c r="M121" i="62"/>
  <c r="N121" i="62"/>
  <c r="O121" i="62"/>
  <c r="P121" i="62"/>
  <c r="Q121" i="62"/>
  <c r="R121" i="62"/>
  <c r="S121" i="62"/>
  <c r="T121" i="62"/>
  <c r="U121" i="62"/>
  <c r="V121" i="62"/>
  <c r="W121" i="62"/>
  <c r="X121" i="62"/>
  <c r="X126" i="62" s="1"/>
  <c r="X127" i="62" s="1"/>
  <c r="Y121" i="62"/>
  <c r="Z121" i="62"/>
  <c r="L122" i="62"/>
  <c r="M122" i="62"/>
  <c r="N122" i="62"/>
  <c r="O122" i="62"/>
  <c r="P122" i="62"/>
  <c r="Q122" i="62"/>
  <c r="R122" i="62"/>
  <c r="S122" i="62"/>
  <c r="T122" i="62"/>
  <c r="U122" i="62"/>
  <c r="V122" i="62"/>
  <c r="W122" i="62"/>
  <c r="W126" i="62" s="1"/>
  <c r="W127" i="62" s="1"/>
  <c r="X122" i="62"/>
  <c r="Y122" i="62"/>
  <c r="Z122" i="62"/>
  <c r="L123" i="62"/>
  <c r="M123" i="62"/>
  <c r="N123" i="62"/>
  <c r="O123" i="62"/>
  <c r="P123" i="62"/>
  <c r="Q123" i="62"/>
  <c r="R123" i="62"/>
  <c r="S123" i="62"/>
  <c r="T123" i="62"/>
  <c r="U123" i="62"/>
  <c r="V123" i="62"/>
  <c r="W123" i="62"/>
  <c r="X123" i="62"/>
  <c r="Y123" i="62"/>
  <c r="Z123" i="62"/>
  <c r="L124" i="62"/>
  <c r="M124" i="62"/>
  <c r="N124" i="62"/>
  <c r="O124" i="62"/>
  <c r="P124" i="62"/>
  <c r="Q124" i="62"/>
  <c r="R124" i="62"/>
  <c r="S124" i="62"/>
  <c r="S126" i="62" s="1"/>
  <c r="S127" i="62" s="1"/>
  <c r="T124" i="62"/>
  <c r="U124" i="62"/>
  <c r="V124" i="62"/>
  <c r="W124" i="62"/>
  <c r="X124" i="62"/>
  <c r="Y124" i="62"/>
  <c r="Z124" i="62"/>
  <c r="L125" i="62"/>
  <c r="M125" i="62"/>
  <c r="N125" i="62"/>
  <c r="O125" i="62"/>
  <c r="P125" i="62"/>
  <c r="Q125" i="62"/>
  <c r="R125" i="62"/>
  <c r="S125" i="62"/>
  <c r="T125" i="62"/>
  <c r="T126" i="62" s="1"/>
  <c r="T127" i="62" s="1"/>
  <c r="U125" i="62"/>
  <c r="V125" i="62"/>
  <c r="W125" i="62"/>
  <c r="X125" i="62"/>
  <c r="Y125" i="62"/>
  <c r="Z125" i="62"/>
  <c r="L126" i="62"/>
  <c r="M126" i="62"/>
  <c r="N126" i="62"/>
  <c r="AH114" i="62"/>
  <c r="AH115" i="62"/>
  <c r="AI115" i="62"/>
  <c r="AH116" i="62"/>
  <c r="AH117" i="62"/>
  <c r="AH118" i="62"/>
  <c r="AI118" i="62"/>
  <c r="AH119" i="62"/>
  <c r="AE114" i="62"/>
  <c r="AE115" i="62"/>
  <c r="AF115" i="62"/>
  <c r="AE116" i="62"/>
  <c r="AE117" i="62"/>
  <c r="AE118" i="62"/>
  <c r="AE119" i="62"/>
  <c r="AF119" i="62"/>
  <c r="AA114" i="62"/>
  <c r="AF114" i="62" s="1"/>
  <c r="AB114" i="62"/>
  <c r="AA115" i="62"/>
  <c r="AB115" i="62"/>
  <c r="AA116" i="62"/>
  <c r="AI116" i="62" s="1"/>
  <c r="AA117" i="62"/>
  <c r="AA118" i="62"/>
  <c r="AF118" i="62" s="1"/>
  <c r="AB118" i="62"/>
  <c r="AA119" i="62"/>
  <c r="AI119" i="62" s="1"/>
  <c r="AB119" i="62"/>
  <c r="L114" i="62"/>
  <c r="M114" i="62"/>
  <c r="N114" i="62"/>
  <c r="L115" i="62"/>
  <c r="M115" i="62"/>
  <c r="N115" i="62"/>
  <c r="L116" i="62"/>
  <c r="M116" i="62"/>
  <c r="N116" i="62"/>
  <c r="L117" i="62"/>
  <c r="M117" i="62"/>
  <c r="N117" i="62"/>
  <c r="L118" i="62"/>
  <c r="M118" i="62"/>
  <c r="N118" i="62"/>
  <c r="L119" i="62"/>
  <c r="M119" i="62"/>
  <c r="N119" i="62"/>
  <c r="AH106" i="62"/>
  <c r="AH107" i="62"/>
  <c r="AH108" i="62"/>
  <c r="AH109" i="62"/>
  <c r="AH110" i="62"/>
  <c r="AH111" i="62"/>
  <c r="AE106" i="62"/>
  <c r="AE107" i="62"/>
  <c r="AE108" i="62"/>
  <c r="AE109" i="62"/>
  <c r="AE110" i="62"/>
  <c r="AE111" i="62"/>
  <c r="AA106" i="62"/>
  <c r="AA107" i="62"/>
  <c r="AF107" i="62" s="1"/>
  <c r="AB107" i="62"/>
  <c r="AA108" i="62"/>
  <c r="AI108" i="62" s="1"/>
  <c r="AB108" i="62"/>
  <c r="AA109" i="62"/>
  <c r="AI109" i="62" s="1"/>
  <c r="AA110" i="62"/>
  <c r="AA111" i="62"/>
  <c r="AF111" i="62" s="1"/>
  <c r="AB111" i="62"/>
  <c r="L106" i="62"/>
  <c r="M106" i="62"/>
  <c r="N106" i="62"/>
  <c r="L107" i="62"/>
  <c r="M107" i="62"/>
  <c r="N107" i="62"/>
  <c r="L108" i="62"/>
  <c r="M108" i="62"/>
  <c r="N108" i="62"/>
  <c r="L109" i="62"/>
  <c r="M109" i="62"/>
  <c r="N109" i="62"/>
  <c r="L110" i="62"/>
  <c r="M110" i="62"/>
  <c r="N110" i="62"/>
  <c r="L111" i="62"/>
  <c r="M111" i="62"/>
  <c r="N111" i="62"/>
  <c r="AH98" i="62"/>
  <c r="AH99" i="62"/>
  <c r="AH100" i="62"/>
  <c r="AH101" i="62"/>
  <c r="AH102" i="62"/>
  <c r="AH103" i="62"/>
  <c r="AE98" i="62"/>
  <c r="AF98" i="62"/>
  <c r="AE99" i="62"/>
  <c r="AE100" i="62"/>
  <c r="AE101" i="62"/>
  <c r="AE102" i="62"/>
  <c r="AE103" i="62"/>
  <c r="AA98" i="62"/>
  <c r="AI98" i="62" s="1"/>
  <c r="AA99" i="62"/>
  <c r="AA100" i="62"/>
  <c r="AF100" i="62" s="1"/>
  <c r="AB100" i="62"/>
  <c r="AA101" i="62"/>
  <c r="AI101" i="62" s="1"/>
  <c r="AA102" i="62"/>
  <c r="AA103" i="62"/>
  <c r="L98" i="62"/>
  <c r="M98" i="62"/>
  <c r="N98" i="62"/>
  <c r="L99" i="62"/>
  <c r="M99" i="62"/>
  <c r="N99" i="62"/>
  <c r="L100" i="62"/>
  <c r="M100" i="62"/>
  <c r="N100" i="62"/>
  <c r="L101" i="62"/>
  <c r="M101" i="62"/>
  <c r="N101" i="62"/>
  <c r="L102" i="62"/>
  <c r="M102" i="62"/>
  <c r="N102" i="62"/>
  <c r="L103" i="62"/>
  <c r="M103" i="62"/>
  <c r="N103" i="62"/>
  <c r="AD93" i="62"/>
  <c r="AD94" i="62"/>
  <c r="AG93" i="62"/>
  <c r="AG94" i="62"/>
  <c r="O93" i="62"/>
  <c r="P93" i="62"/>
  <c r="Q93" i="62"/>
  <c r="R93" i="62"/>
  <c r="S93" i="62"/>
  <c r="T93" i="62"/>
  <c r="U93" i="62"/>
  <c r="V93" i="62"/>
  <c r="W93" i="62"/>
  <c r="X93" i="62"/>
  <c r="Y93" i="62"/>
  <c r="Z93" i="62"/>
  <c r="O94" i="62"/>
  <c r="P94" i="62"/>
  <c r="Q94" i="62"/>
  <c r="R94" i="62"/>
  <c r="S94" i="62"/>
  <c r="T94" i="62"/>
  <c r="U94" i="62"/>
  <c r="V94" i="62"/>
  <c r="W94" i="62"/>
  <c r="X94" i="62"/>
  <c r="Y94" i="62"/>
  <c r="Z94" i="62"/>
  <c r="AA91" i="62"/>
  <c r="AA92" i="62"/>
  <c r="AI92" i="62" s="1"/>
  <c r="N91" i="62"/>
  <c r="N92" i="62"/>
  <c r="I91" i="62"/>
  <c r="J91" i="62"/>
  <c r="I92" i="62"/>
  <c r="J92" i="62"/>
  <c r="AI86" i="62"/>
  <c r="AA35" i="62"/>
  <c r="AF35" i="62" s="1"/>
  <c r="AA36" i="62"/>
  <c r="AI36" i="62" s="1"/>
  <c r="AA37" i="62"/>
  <c r="AA38" i="62"/>
  <c r="AA39" i="62"/>
  <c r="AA43" i="62" s="1"/>
  <c r="AA40" i="62"/>
  <c r="AI40" i="62" s="1"/>
  <c r="AA41" i="62"/>
  <c r="AA45" i="62"/>
  <c r="AA46" i="62"/>
  <c r="AF46" i="62" s="1"/>
  <c r="AA47" i="62"/>
  <c r="AF47" i="62" s="1"/>
  <c r="AA48" i="62"/>
  <c r="AA49" i="62"/>
  <c r="AA50" i="62"/>
  <c r="AI50" i="62" s="1"/>
  <c r="AA51" i="62"/>
  <c r="AA55" i="62"/>
  <c r="AA56" i="62"/>
  <c r="AB56" i="62" s="1"/>
  <c r="AA57" i="62"/>
  <c r="AB57" i="62" s="1"/>
  <c r="AA58" i="62"/>
  <c r="AB58" i="62" s="1"/>
  <c r="AA59" i="62"/>
  <c r="AA60" i="62"/>
  <c r="AF60" i="62" s="1"/>
  <c r="AA61" i="62"/>
  <c r="AA63" i="62" s="1"/>
  <c r="AA62" i="62"/>
  <c r="AA65" i="62"/>
  <c r="AA66" i="62"/>
  <c r="AB66" i="62" s="1"/>
  <c r="AA67" i="62"/>
  <c r="AB67" i="62" s="1"/>
  <c r="AA68" i="62"/>
  <c r="AB68" i="62" s="1"/>
  <c r="AA69" i="62"/>
  <c r="AA70" i="62"/>
  <c r="AF70" i="62" s="1"/>
  <c r="AA71" i="62"/>
  <c r="AI71" i="62" s="1"/>
  <c r="AA73" i="62"/>
  <c r="AA75" i="62"/>
  <c r="AA76" i="62"/>
  <c r="AF76" i="62" s="1"/>
  <c r="AA77" i="62"/>
  <c r="AF77" i="62" s="1"/>
  <c r="AA78" i="62"/>
  <c r="AB78" i="62" s="1"/>
  <c r="AA79" i="62"/>
  <c r="AA80" i="62"/>
  <c r="AA82" i="62" s="1"/>
  <c r="AA83" i="62"/>
  <c r="AA85" i="62"/>
  <c r="AF85" i="62" s="1"/>
  <c r="AA86" i="62"/>
  <c r="AF86" i="62" s="1"/>
  <c r="AA87" i="62"/>
  <c r="AA94" i="62" s="1"/>
  <c r="N85" i="62"/>
  <c r="N143" i="62" s="1"/>
  <c r="N86" i="62"/>
  <c r="N87" i="62"/>
  <c r="N144" i="62" s="1"/>
  <c r="N88" i="62"/>
  <c r="N145" i="62" s="1"/>
  <c r="AH87" i="62"/>
  <c r="AE87" i="62"/>
  <c r="AH83" i="62"/>
  <c r="AH85" i="62"/>
  <c r="AE83" i="62"/>
  <c r="AE85" i="62"/>
  <c r="L85" i="62"/>
  <c r="M85" i="62"/>
  <c r="L86" i="62"/>
  <c r="M86" i="62"/>
  <c r="L87" i="62"/>
  <c r="M87" i="62"/>
  <c r="I85" i="62"/>
  <c r="J85" i="62"/>
  <c r="I86" i="62"/>
  <c r="J86" i="62"/>
  <c r="I87" i="62"/>
  <c r="J87" i="62"/>
  <c r="I88" i="62"/>
  <c r="J88" i="62"/>
  <c r="O84" i="62"/>
  <c r="AI83" i="62"/>
  <c r="AF83" i="62"/>
  <c r="AB83" i="62"/>
  <c r="L83" i="62"/>
  <c r="M83" i="62"/>
  <c r="N83" i="62"/>
  <c r="I83" i="62"/>
  <c r="J83" i="62"/>
  <c r="AG82" i="62"/>
  <c r="AH84" i="62" s="1"/>
  <c r="AD82" i="62"/>
  <c r="AE84" i="62" s="1"/>
  <c r="O82" i="62"/>
  <c r="P82" i="62"/>
  <c r="P84" i="62" s="1"/>
  <c r="Q82" i="62"/>
  <c r="Q84" i="62" s="1"/>
  <c r="R82" i="62"/>
  <c r="R84" i="62" s="1"/>
  <c r="S82" i="62"/>
  <c r="S84" i="62" s="1"/>
  <c r="T82" i="62"/>
  <c r="T84" i="62" s="1"/>
  <c r="U82" i="62"/>
  <c r="U84" i="62" s="1"/>
  <c r="V82" i="62"/>
  <c r="V84" i="62" s="1"/>
  <c r="W82" i="62"/>
  <c r="W84" i="62" s="1"/>
  <c r="X82" i="62"/>
  <c r="X84" i="62" s="1"/>
  <c r="Y82" i="62"/>
  <c r="Y84" i="62" s="1"/>
  <c r="Z82" i="62"/>
  <c r="Z84" i="62" s="1"/>
  <c r="AI75" i="62"/>
  <c r="AI76" i="62"/>
  <c r="AI79" i="62"/>
  <c r="AF75" i="62"/>
  <c r="AF79" i="62"/>
  <c r="AH75" i="62"/>
  <c r="AH76" i="62"/>
  <c r="AH77" i="62"/>
  <c r="AH78" i="62"/>
  <c r="AH79" i="62"/>
  <c r="AH80" i="62"/>
  <c r="AE75" i="62"/>
  <c r="AE76" i="62"/>
  <c r="AE77" i="62"/>
  <c r="AE78" i="62"/>
  <c r="AE79" i="62"/>
  <c r="AE80" i="62"/>
  <c r="AB75" i="62"/>
  <c r="AB77" i="62"/>
  <c r="AB79" i="62"/>
  <c r="L75" i="62"/>
  <c r="M75" i="62"/>
  <c r="N75" i="62"/>
  <c r="L76" i="62"/>
  <c r="M76" i="62"/>
  <c r="N76" i="62"/>
  <c r="L77" i="62"/>
  <c r="M77" i="62"/>
  <c r="N77" i="62"/>
  <c r="L78" i="62"/>
  <c r="M78" i="62"/>
  <c r="N78" i="62"/>
  <c r="L79" i="62"/>
  <c r="M79" i="62"/>
  <c r="N79" i="62"/>
  <c r="L80" i="62"/>
  <c r="M80" i="62"/>
  <c r="N80" i="62"/>
  <c r="L81" i="62"/>
  <c r="M81" i="62"/>
  <c r="N81" i="62"/>
  <c r="I75" i="62"/>
  <c r="J75" i="62"/>
  <c r="I76" i="62"/>
  <c r="J76" i="62"/>
  <c r="I77" i="62"/>
  <c r="J77" i="62"/>
  <c r="I78" i="62"/>
  <c r="J78" i="62"/>
  <c r="I79" i="62"/>
  <c r="J79" i="62"/>
  <c r="I80" i="62"/>
  <c r="J80" i="62"/>
  <c r="I81" i="62"/>
  <c r="J81" i="62"/>
  <c r="AG73" i="62"/>
  <c r="AH74" i="62" s="1"/>
  <c r="AD73" i="62"/>
  <c r="AE74" i="62" s="1"/>
  <c r="O73" i="62"/>
  <c r="P73" i="62"/>
  <c r="Q73" i="62"/>
  <c r="Q74" i="62" s="1"/>
  <c r="R73" i="62"/>
  <c r="R74" i="62" s="1"/>
  <c r="S73" i="62"/>
  <c r="S74" i="62" s="1"/>
  <c r="T73" i="62"/>
  <c r="T74" i="62" s="1"/>
  <c r="U73" i="62"/>
  <c r="V73" i="62"/>
  <c r="W73" i="62"/>
  <c r="X73" i="62"/>
  <c r="Y73" i="62"/>
  <c r="Y74" i="62" s="1"/>
  <c r="Z73" i="62"/>
  <c r="Z74" i="62" s="1"/>
  <c r="O74" i="62"/>
  <c r="P74" i="62"/>
  <c r="U74" i="62"/>
  <c r="V74" i="62"/>
  <c r="W74" i="62"/>
  <c r="X74" i="62"/>
  <c r="AI67" i="62"/>
  <c r="AI69" i="62"/>
  <c r="AF66" i="62"/>
  <c r="AF67" i="62"/>
  <c r="AF69" i="62"/>
  <c r="AF71" i="62"/>
  <c r="AH71" i="62"/>
  <c r="AE71" i="62"/>
  <c r="AH65" i="62"/>
  <c r="AH66" i="62"/>
  <c r="AH67" i="62"/>
  <c r="AH68" i="62"/>
  <c r="AH69" i="62"/>
  <c r="AE65" i="62"/>
  <c r="AE66" i="62"/>
  <c r="AE67" i="62"/>
  <c r="AE68" i="62"/>
  <c r="AE69" i="62"/>
  <c r="L65" i="62"/>
  <c r="M65" i="62"/>
  <c r="N65" i="62"/>
  <c r="L66" i="62"/>
  <c r="M66" i="62"/>
  <c r="N66" i="62"/>
  <c r="L67" i="62"/>
  <c r="M67" i="62"/>
  <c r="N67" i="62"/>
  <c r="L68" i="62"/>
  <c r="M68" i="62"/>
  <c r="N68" i="62"/>
  <c r="L69" i="62"/>
  <c r="M69" i="62"/>
  <c r="N69" i="62"/>
  <c r="L70" i="62"/>
  <c r="M70" i="62"/>
  <c r="N70" i="62"/>
  <c r="L71" i="62"/>
  <c r="M71" i="62"/>
  <c r="N71" i="62"/>
  <c r="L72" i="62"/>
  <c r="M72" i="62"/>
  <c r="N72" i="62"/>
  <c r="I65" i="62"/>
  <c r="J65" i="62"/>
  <c r="I66" i="62"/>
  <c r="J66" i="62"/>
  <c r="I67" i="62"/>
  <c r="J67" i="62"/>
  <c r="I68" i="62"/>
  <c r="J68" i="62"/>
  <c r="I69" i="62"/>
  <c r="J69" i="62"/>
  <c r="I70" i="62"/>
  <c r="J70" i="62"/>
  <c r="I71" i="62"/>
  <c r="J71" i="62"/>
  <c r="I72" i="62"/>
  <c r="J72" i="62"/>
  <c r="AG63" i="62"/>
  <c r="AH64" i="62" s="1"/>
  <c r="AD63" i="62"/>
  <c r="AE64" i="62" s="1"/>
  <c r="O63" i="62"/>
  <c r="O64" i="62" s="1"/>
  <c r="P63" i="62"/>
  <c r="Q63" i="62"/>
  <c r="R63" i="62"/>
  <c r="R64" i="62" s="1"/>
  <c r="S63" i="62"/>
  <c r="S64" i="62" s="1"/>
  <c r="T63" i="62"/>
  <c r="U63" i="62"/>
  <c r="U64" i="62" s="1"/>
  <c r="V63" i="62"/>
  <c r="W63" i="62"/>
  <c r="W64" i="62" s="1"/>
  <c r="X63" i="62"/>
  <c r="Y63" i="62"/>
  <c r="Z63" i="62"/>
  <c r="Z64" i="62" s="1"/>
  <c r="P64" i="62"/>
  <c r="Q64" i="62"/>
  <c r="T64" i="62"/>
  <c r="V64" i="62"/>
  <c r="X64" i="62"/>
  <c r="Y64" i="62"/>
  <c r="AI55" i="62"/>
  <c r="AI58" i="62"/>
  <c r="AI59" i="62"/>
  <c r="AF55" i="62"/>
  <c r="AF56" i="62"/>
  <c r="AF59" i="62"/>
  <c r="AF61" i="62"/>
  <c r="AH61" i="62"/>
  <c r="AE61" i="62"/>
  <c r="AH55" i="62"/>
  <c r="AH56" i="62"/>
  <c r="AH57" i="62"/>
  <c r="AH58" i="62"/>
  <c r="AH59" i="62"/>
  <c r="AE55" i="62"/>
  <c r="AE56" i="62"/>
  <c r="AE57" i="62"/>
  <c r="AE58" i="62"/>
  <c r="AE59" i="62"/>
  <c r="AB55" i="62"/>
  <c r="AB59" i="62"/>
  <c r="L55" i="62"/>
  <c r="M55" i="62"/>
  <c r="N55" i="62"/>
  <c r="L56" i="62"/>
  <c r="M56" i="62"/>
  <c r="N56" i="62"/>
  <c r="L57" i="62"/>
  <c r="M57" i="62"/>
  <c r="N57" i="62"/>
  <c r="L58" i="62"/>
  <c r="M58" i="62"/>
  <c r="N58" i="62"/>
  <c r="L59" i="62"/>
  <c r="M59" i="62"/>
  <c r="N59" i="62"/>
  <c r="L60" i="62"/>
  <c r="M60" i="62"/>
  <c r="N60" i="62"/>
  <c r="L61" i="62"/>
  <c r="M61" i="62"/>
  <c r="N61" i="62"/>
  <c r="L62" i="62"/>
  <c r="M62" i="62"/>
  <c r="N62" i="62"/>
  <c r="I55" i="62"/>
  <c r="J55" i="62"/>
  <c r="I56" i="62"/>
  <c r="J56" i="62"/>
  <c r="I57" i="62"/>
  <c r="J57" i="62"/>
  <c r="I58" i="62"/>
  <c r="J58" i="62"/>
  <c r="I59" i="62"/>
  <c r="J59" i="62"/>
  <c r="I60" i="62"/>
  <c r="J60" i="62"/>
  <c r="I61" i="62"/>
  <c r="J61" i="62"/>
  <c r="I62" i="62"/>
  <c r="J62" i="62"/>
  <c r="AG53" i="62"/>
  <c r="AH54" i="62" s="1"/>
  <c r="AD53" i="62"/>
  <c r="AE54" i="62" s="1"/>
  <c r="O53" i="62"/>
  <c r="O54" i="62" s="1"/>
  <c r="P53" i="62"/>
  <c r="P54" i="62" s="1"/>
  <c r="Q53" i="62"/>
  <c r="Q54" i="62" s="1"/>
  <c r="R53" i="62"/>
  <c r="S53" i="62"/>
  <c r="S54" i="62" s="1"/>
  <c r="T53" i="62"/>
  <c r="T54" i="62" s="1"/>
  <c r="U53" i="62"/>
  <c r="V53" i="62"/>
  <c r="V54" i="62" s="1"/>
  <c r="W53" i="62"/>
  <c r="W54" i="62" s="1"/>
  <c r="X53" i="62"/>
  <c r="Y53" i="62"/>
  <c r="Y54" i="62" s="1"/>
  <c r="Z53" i="62"/>
  <c r="R54" i="62"/>
  <c r="U54" i="62"/>
  <c r="X54" i="62"/>
  <c r="Z54" i="62"/>
  <c r="AI45" i="62"/>
  <c r="AI46" i="62"/>
  <c r="AI48" i="62"/>
  <c r="AF45" i="62"/>
  <c r="AF48" i="62"/>
  <c r="AH51" i="62"/>
  <c r="AE51" i="62"/>
  <c r="AH44" i="62"/>
  <c r="AH45" i="62"/>
  <c r="AH46" i="62"/>
  <c r="AH47" i="62"/>
  <c r="AH48" i="62"/>
  <c r="AH49" i="62"/>
  <c r="AE45" i="62"/>
  <c r="AE46" i="62"/>
  <c r="AE47" i="62"/>
  <c r="AE48" i="62"/>
  <c r="AE49" i="62"/>
  <c r="AB45" i="62"/>
  <c r="AB46" i="62"/>
  <c r="AB48" i="62"/>
  <c r="L45" i="62"/>
  <c r="M45" i="62"/>
  <c r="N45" i="62"/>
  <c r="L46" i="62"/>
  <c r="M46" i="62"/>
  <c r="N46" i="62"/>
  <c r="L47" i="62"/>
  <c r="M47" i="62"/>
  <c r="N47" i="62"/>
  <c r="L48" i="62"/>
  <c r="M48" i="62"/>
  <c r="N48" i="62"/>
  <c r="L49" i="62"/>
  <c r="M49" i="62"/>
  <c r="N49" i="62"/>
  <c r="L50" i="62"/>
  <c r="M50" i="62"/>
  <c r="N50" i="62"/>
  <c r="L51" i="62"/>
  <c r="M51" i="62"/>
  <c r="N51" i="62"/>
  <c r="L52" i="62"/>
  <c r="M52" i="62"/>
  <c r="N52" i="62"/>
  <c r="I45" i="62"/>
  <c r="J45" i="62"/>
  <c r="I46" i="62"/>
  <c r="J46" i="62"/>
  <c r="I47" i="62"/>
  <c r="J47" i="62"/>
  <c r="I48" i="62"/>
  <c r="J48" i="62"/>
  <c r="I49" i="62"/>
  <c r="J49" i="62"/>
  <c r="I50" i="62"/>
  <c r="J50" i="62"/>
  <c r="I51" i="62"/>
  <c r="J51" i="62"/>
  <c r="I52" i="62"/>
  <c r="J52" i="62"/>
  <c r="AG43" i="62"/>
  <c r="AD43" i="62"/>
  <c r="AE44" i="62" s="1"/>
  <c r="O43" i="62"/>
  <c r="O44" i="62" s="1"/>
  <c r="P43" i="62"/>
  <c r="P44" i="62" s="1"/>
  <c r="Q43" i="62"/>
  <c r="R43" i="62"/>
  <c r="S43" i="62"/>
  <c r="T43" i="62"/>
  <c r="T44" i="62" s="1"/>
  <c r="U43" i="62"/>
  <c r="U44" i="62" s="1"/>
  <c r="V43" i="62"/>
  <c r="V44" i="62" s="1"/>
  <c r="W43" i="62"/>
  <c r="W44" i="62" s="1"/>
  <c r="X43" i="62"/>
  <c r="Y43" i="62"/>
  <c r="Z43" i="62"/>
  <c r="Q44" i="62"/>
  <c r="R44" i="62"/>
  <c r="S44" i="62"/>
  <c r="X44" i="62"/>
  <c r="Y44" i="62"/>
  <c r="Z44" i="62"/>
  <c r="AI37" i="62"/>
  <c r="AI39" i="62"/>
  <c r="AF37" i="62"/>
  <c r="AH41" i="62"/>
  <c r="AE41" i="62"/>
  <c r="AH35" i="62"/>
  <c r="AH36" i="62"/>
  <c r="AH37" i="62"/>
  <c r="AH38" i="62"/>
  <c r="AH39" i="62"/>
  <c r="AE35" i="62"/>
  <c r="AE36" i="62"/>
  <c r="AE37" i="62"/>
  <c r="AE38" i="62"/>
  <c r="AE39" i="62"/>
  <c r="AB35" i="62"/>
  <c r="AB37" i="62"/>
  <c r="AB39" i="62"/>
  <c r="L35" i="62"/>
  <c r="M35" i="62"/>
  <c r="N35" i="62"/>
  <c r="L36" i="62"/>
  <c r="M36" i="62"/>
  <c r="N36" i="62"/>
  <c r="L37" i="62"/>
  <c r="M37" i="62"/>
  <c r="N37" i="62"/>
  <c r="L38" i="62"/>
  <c r="M38" i="62"/>
  <c r="N38" i="62"/>
  <c r="L39" i="62"/>
  <c r="M39" i="62"/>
  <c r="N39" i="62"/>
  <c r="L40" i="62"/>
  <c r="M40" i="62"/>
  <c r="N40" i="62"/>
  <c r="L41" i="62"/>
  <c r="M41" i="62"/>
  <c r="N41" i="62"/>
  <c r="L42" i="62"/>
  <c r="M42" i="62"/>
  <c r="N42" i="62"/>
  <c r="I35" i="62"/>
  <c r="J35" i="62"/>
  <c r="I36" i="62"/>
  <c r="J36" i="62"/>
  <c r="I37" i="62"/>
  <c r="J37" i="62"/>
  <c r="I38" i="62"/>
  <c r="J38" i="62"/>
  <c r="I39" i="62"/>
  <c r="J39" i="62"/>
  <c r="I40" i="62"/>
  <c r="J40" i="62"/>
  <c r="I41" i="62"/>
  <c r="J41" i="62"/>
  <c r="I42" i="62"/>
  <c r="J42" i="62"/>
  <c r="AG32" i="62"/>
  <c r="AD32" i="62"/>
  <c r="O32" i="62"/>
  <c r="P32" i="62"/>
  <c r="Q32" i="62"/>
  <c r="R32" i="62"/>
  <c r="S32" i="62"/>
  <c r="T32" i="62"/>
  <c r="U32" i="62"/>
  <c r="V32" i="62"/>
  <c r="W32" i="62"/>
  <c r="X32" i="62"/>
  <c r="Y32" i="62"/>
  <c r="Z32" i="62"/>
  <c r="AG31" i="62"/>
  <c r="AD31" i="62"/>
  <c r="O31" i="62"/>
  <c r="P31" i="62"/>
  <c r="Q31" i="62"/>
  <c r="R31" i="62"/>
  <c r="S31" i="62"/>
  <c r="T31" i="62"/>
  <c r="U31" i="62"/>
  <c r="V31" i="62"/>
  <c r="W31" i="62"/>
  <c r="X31" i="62"/>
  <c r="Y31" i="62"/>
  <c r="Z31" i="62"/>
  <c r="AA31" i="62"/>
  <c r="N26" i="62"/>
  <c r="N27" i="62"/>
  <c r="N28" i="62"/>
  <c r="N29" i="62"/>
  <c r="B23" i="62"/>
  <c r="AG16" i="62"/>
  <c r="AG19" i="62"/>
  <c r="AG20" i="62"/>
  <c r="AD19" i="62"/>
  <c r="AD20" i="62"/>
  <c r="G19" i="62"/>
  <c r="G20" i="62"/>
  <c r="N19" i="62"/>
  <c r="O19" i="62"/>
  <c r="P19" i="62"/>
  <c r="Q19" i="62"/>
  <c r="R19" i="62"/>
  <c r="S19" i="62"/>
  <c r="T19" i="62"/>
  <c r="U19" i="62"/>
  <c r="V19" i="62"/>
  <c r="W19" i="62"/>
  <c r="X19" i="62"/>
  <c r="Y19" i="62"/>
  <c r="Z19" i="62"/>
  <c r="N20" i="62"/>
  <c r="O20" i="62"/>
  <c r="P20" i="62"/>
  <c r="Q20" i="62"/>
  <c r="R20" i="62"/>
  <c r="S20" i="62"/>
  <c r="T20" i="62"/>
  <c r="U20" i="62"/>
  <c r="V20" i="62"/>
  <c r="W20" i="62"/>
  <c r="X20" i="62"/>
  <c r="Y20" i="62"/>
  <c r="Z20" i="62"/>
  <c r="B17" i="62"/>
  <c r="B18" i="62"/>
  <c r="B19" i="62"/>
  <c r="O16" i="62"/>
  <c r="P16" i="62"/>
  <c r="Q16" i="62"/>
  <c r="R16" i="62"/>
  <c r="S16" i="62"/>
  <c r="T16" i="62"/>
  <c r="U16" i="62"/>
  <c r="V16" i="62"/>
  <c r="W16" i="62"/>
  <c r="X16" i="62"/>
  <c r="Y16" i="62"/>
  <c r="O17" i="62"/>
  <c r="P17" i="62"/>
  <c r="Q17" i="62"/>
  <c r="R17" i="62"/>
  <c r="S17" i="62"/>
  <c r="T17" i="62"/>
  <c r="U17" i="62"/>
  <c r="V17" i="62"/>
  <c r="W17" i="62"/>
  <c r="X17" i="62"/>
  <c r="Y17" i="62"/>
  <c r="Z17" i="62"/>
  <c r="AA17" i="62" s="1"/>
  <c r="AA11" i="62" s="1"/>
  <c r="AA18" i="62" s="1"/>
  <c r="A14" i="62"/>
  <c r="AG12" i="62"/>
  <c r="AG13" i="62"/>
  <c r="AD12" i="62"/>
  <c r="AD13" i="62"/>
  <c r="B12" i="62"/>
  <c r="B13" i="62"/>
  <c r="O11" i="62"/>
  <c r="P11" i="62"/>
  <c r="Q11" i="62"/>
  <c r="R11" i="62"/>
  <c r="S11" i="62"/>
  <c r="T11" i="62"/>
  <c r="U11" i="62"/>
  <c r="V11" i="62"/>
  <c r="W11" i="62"/>
  <c r="X11" i="62"/>
  <c r="Y11" i="62"/>
  <c r="Z11" i="62"/>
  <c r="O12" i="62"/>
  <c r="P12" i="62"/>
  <c r="Q12" i="62"/>
  <c r="R12" i="62"/>
  <c r="S12" i="62"/>
  <c r="T12" i="62"/>
  <c r="U12" i="62"/>
  <c r="V12" i="62"/>
  <c r="W12" i="62"/>
  <c r="X12" i="62"/>
  <c r="Y12" i="62"/>
  <c r="Z12" i="62"/>
  <c r="AA12" i="62"/>
  <c r="O13" i="62"/>
  <c r="P13" i="62"/>
  <c r="Q13" i="62"/>
  <c r="R13" i="62"/>
  <c r="S13" i="62"/>
  <c r="T13" i="62"/>
  <c r="U13" i="62"/>
  <c r="V13" i="62"/>
  <c r="W13" i="62"/>
  <c r="X13" i="62"/>
  <c r="Y13" i="62"/>
  <c r="Z13" i="62"/>
  <c r="AA13" i="62"/>
  <c r="C10" i="62"/>
  <c r="D10" i="62"/>
  <c r="AA16" i="62" s="1"/>
  <c r="C9" i="62"/>
  <c r="C1" i="62"/>
  <c r="C2" i="62"/>
  <c r="C3" i="62"/>
  <c r="C4" i="62"/>
  <c r="C5" i="62"/>
  <c r="C6" i="62"/>
  <c r="C7" i="62"/>
  <c r="C8" i="62"/>
  <c r="E6" i="62"/>
  <c r="E4" i="62"/>
  <c r="F4" i="62"/>
  <c r="B3" i="62"/>
  <c r="B120" i="61"/>
  <c r="B114" i="61"/>
  <c r="B115" i="61"/>
  <c r="B116" i="61"/>
  <c r="A111" i="61"/>
  <c r="AG90" i="61"/>
  <c r="AD90" i="61"/>
  <c r="AD91" i="61"/>
  <c r="O90" i="61"/>
  <c r="P90" i="61"/>
  <c r="Q90" i="61"/>
  <c r="R90" i="61"/>
  <c r="S90" i="61"/>
  <c r="T90" i="61"/>
  <c r="U90" i="61"/>
  <c r="V90" i="61"/>
  <c r="W90" i="61"/>
  <c r="X90" i="61"/>
  <c r="Y90" i="61"/>
  <c r="Z90" i="61"/>
  <c r="R91" i="61"/>
  <c r="T91" i="61"/>
  <c r="W91" i="61"/>
  <c r="B88" i="61"/>
  <c r="B89" i="61"/>
  <c r="N87" i="61"/>
  <c r="N90" i="61" s="1"/>
  <c r="N88" i="61"/>
  <c r="N91" i="61" s="1"/>
  <c r="AH87" i="61"/>
  <c r="AH88" i="61"/>
  <c r="AK88" i="61"/>
  <c r="AE87" i="61"/>
  <c r="AE88" i="61"/>
  <c r="I87" i="61"/>
  <c r="AA87" i="61" s="1"/>
  <c r="AF87" i="61" s="1"/>
  <c r="J87" i="61"/>
  <c r="I88" i="61"/>
  <c r="AA88" i="61" s="1"/>
  <c r="AB88" i="61" s="1"/>
  <c r="J88" i="61"/>
  <c r="N82" i="61"/>
  <c r="N83" i="61"/>
  <c r="N84" i="61"/>
  <c r="N85" i="61"/>
  <c r="I85" i="61"/>
  <c r="AA85" i="61" s="1"/>
  <c r="AI85" i="61" s="1"/>
  <c r="J85" i="61"/>
  <c r="B83" i="61"/>
  <c r="B84" i="61"/>
  <c r="B85" i="61"/>
  <c r="AH83" i="61"/>
  <c r="AH84" i="61"/>
  <c r="AH85" i="61"/>
  <c r="AE83" i="61"/>
  <c r="AE84" i="61"/>
  <c r="AE85" i="61"/>
  <c r="AB83" i="61"/>
  <c r="AA84" i="61"/>
  <c r="AB84" i="61" s="1"/>
  <c r="I83" i="61"/>
  <c r="AA83" i="61" s="1"/>
  <c r="J83" i="61"/>
  <c r="L83" i="61"/>
  <c r="M83" i="61"/>
  <c r="I84" i="61"/>
  <c r="J84" i="61"/>
  <c r="K84" i="61" s="1"/>
  <c r="L84" i="61"/>
  <c r="M84" i="61"/>
  <c r="I82" i="61"/>
  <c r="J82" i="61"/>
  <c r="A80" i="61"/>
  <c r="AH76" i="61"/>
  <c r="AH77" i="61"/>
  <c r="AH78" i="61"/>
  <c r="AH79" i="61"/>
  <c r="AH80" i="61"/>
  <c r="AE76" i="61"/>
  <c r="AE77" i="61"/>
  <c r="AE78" i="61"/>
  <c r="AE79" i="61"/>
  <c r="AE80" i="61"/>
  <c r="AA78" i="61"/>
  <c r="I76" i="61"/>
  <c r="J76" i="61"/>
  <c r="L76" i="61"/>
  <c r="M76" i="61"/>
  <c r="N76" i="61"/>
  <c r="I77" i="61"/>
  <c r="AA77" i="61" s="1"/>
  <c r="J77" i="61"/>
  <c r="L77" i="61"/>
  <c r="M77" i="61"/>
  <c r="N77" i="61"/>
  <c r="I78" i="61"/>
  <c r="K78" i="61" s="1"/>
  <c r="J78" i="61"/>
  <c r="L78" i="61"/>
  <c r="M78" i="61"/>
  <c r="N78" i="61"/>
  <c r="I79" i="61"/>
  <c r="J79" i="61"/>
  <c r="L79" i="61"/>
  <c r="M79" i="61"/>
  <c r="N79" i="61"/>
  <c r="I80" i="61"/>
  <c r="AA80" i="61" s="1"/>
  <c r="AB80" i="61" s="1"/>
  <c r="AN80" i="61" s="1"/>
  <c r="J80" i="61"/>
  <c r="L80" i="61"/>
  <c r="M80" i="61"/>
  <c r="N80" i="61"/>
  <c r="N74" i="61"/>
  <c r="N75" i="61"/>
  <c r="I74" i="61"/>
  <c r="J74" i="61"/>
  <c r="I75" i="61"/>
  <c r="J75" i="61"/>
  <c r="AD72" i="61"/>
  <c r="AE72" i="61" s="1"/>
  <c r="AG72" i="61"/>
  <c r="N72" i="61"/>
  <c r="O72" i="61"/>
  <c r="O91" i="61" s="1"/>
  <c r="P72" i="61"/>
  <c r="P91" i="61" s="1"/>
  <c r="Q72" i="61"/>
  <c r="R72" i="61"/>
  <c r="S72" i="61"/>
  <c r="S91" i="61" s="1"/>
  <c r="T72" i="61"/>
  <c r="U72" i="61"/>
  <c r="U91" i="61" s="1"/>
  <c r="V72" i="61"/>
  <c r="V91" i="61" s="1"/>
  <c r="W72" i="61"/>
  <c r="X72" i="61"/>
  <c r="X91" i="61" s="1"/>
  <c r="Y72" i="61"/>
  <c r="Y91" i="61" s="1"/>
  <c r="Z72" i="61"/>
  <c r="Z91" i="61" s="1"/>
  <c r="AH71" i="61"/>
  <c r="AI71" i="61"/>
  <c r="AB62" i="61"/>
  <c r="AN62" i="61" s="1"/>
  <c r="AB63" i="61"/>
  <c r="AM63" i="61" s="1"/>
  <c r="AB64" i="61"/>
  <c r="AB65" i="61"/>
  <c r="AB66" i="61"/>
  <c r="AB67" i="61"/>
  <c r="AB68" i="61"/>
  <c r="AB69" i="61"/>
  <c r="AB70" i="61"/>
  <c r="AN70" i="61" s="1"/>
  <c r="AB71" i="61"/>
  <c r="N60" i="61"/>
  <c r="N61" i="61"/>
  <c r="N62" i="61"/>
  <c r="N63" i="61"/>
  <c r="N64" i="61"/>
  <c r="N65" i="61"/>
  <c r="N66" i="61"/>
  <c r="N67" i="61"/>
  <c r="N68" i="61"/>
  <c r="N69" i="61"/>
  <c r="N70" i="61"/>
  <c r="N71" i="61"/>
  <c r="I71" i="61"/>
  <c r="J71" i="61"/>
  <c r="K71" i="61"/>
  <c r="I72" i="61"/>
  <c r="K72" i="61" s="1"/>
  <c r="J72" i="61"/>
  <c r="AA62" i="61"/>
  <c r="AF62" i="61" s="1"/>
  <c r="AA68" i="61"/>
  <c r="AH62" i="61"/>
  <c r="AH63" i="61"/>
  <c r="AN63" i="61"/>
  <c r="AH64" i="61"/>
  <c r="AH65" i="61"/>
  <c r="AH66" i="61"/>
  <c r="AK66" i="61"/>
  <c r="AH67" i="61"/>
  <c r="AN67" i="61" s="1"/>
  <c r="AH68" i="61"/>
  <c r="AN68" i="61" s="1"/>
  <c r="AM68" i="61"/>
  <c r="AH69" i="61"/>
  <c r="AL69" i="61"/>
  <c r="AH70" i="61"/>
  <c r="AE62" i="61"/>
  <c r="AM62" i="61" s="1"/>
  <c r="AE63" i="61"/>
  <c r="AE64" i="61"/>
  <c r="AE65" i="61"/>
  <c r="AE66" i="61"/>
  <c r="AE67" i="61"/>
  <c r="AM67" i="61" s="1"/>
  <c r="AE68" i="61"/>
  <c r="AE69" i="61"/>
  <c r="AE70" i="61"/>
  <c r="AM70" i="61" s="1"/>
  <c r="AE71" i="61"/>
  <c r="AF71" i="61"/>
  <c r="I62" i="61"/>
  <c r="J62" i="61"/>
  <c r="K62" i="61"/>
  <c r="L62" i="61"/>
  <c r="M62" i="61"/>
  <c r="I63" i="61"/>
  <c r="J63" i="61"/>
  <c r="L63" i="61"/>
  <c r="M63" i="61"/>
  <c r="I64" i="61"/>
  <c r="J64" i="61"/>
  <c r="L64" i="61"/>
  <c r="M64" i="61"/>
  <c r="I65" i="61"/>
  <c r="K65" i="61" s="1"/>
  <c r="J65" i="61"/>
  <c r="L65" i="61"/>
  <c r="M65" i="61"/>
  <c r="I66" i="61"/>
  <c r="K66" i="61" s="1"/>
  <c r="J66" i="61"/>
  <c r="L66" i="61"/>
  <c r="M66" i="61"/>
  <c r="I67" i="61"/>
  <c r="J67" i="61"/>
  <c r="L67" i="61"/>
  <c r="M67" i="61"/>
  <c r="I68" i="61"/>
  <c r="J68" i="61"/>
  <c r="K68" i="61"/>
  <c r="L68" i="61"/>
  <c r="M68" i="61"/>
  <c r="I69" i="61"/>
  <c r="K69" i="61" s="1"/>
  <c r="J69" i="61"/>
  <c r="L69" i="61"/>
  <c r="M69" i="61"/>
  <c r="I70" i="61"/>
  <c r="AA70" i="61" s="1"/>
  <c r="AF70" i="61" s="1"/>
  <c r="J70" i="61"/>
  <c r="L70" i="61"/>
  <c r="M70" i="61"/>
  <c r="I60" i="61"/>
  <c r="J60" i="61"/>
  <c r="I61" i="61"/>
  <c r="J61" i="61"/>
  <c r="B55" i="61"/>
  <c r="B56" i="61"/>
  <c r="B50" i="61"/>
  <c r="B51" i="61"/>
  <c r="B52" i="61"/>
  <c r="A47" i="61"/>
  <c r="AH35" i="61"/>
  <c r="AL35" i="61"/>
  <c r="AH36" i="61"/>
  <c r="AK36" i="61"/>
  <c r="AH37" i="61"/>
  <c r="AH38" i="61"/>
  <c r="AH39" i="61"/>
  <c r="AL39" i="61"/>
  <c r="AH40" i="61"/>
  <c r="AL40" i="61"/>
  <c r="AH41" i="61"/>
  <c r="AH42" i="61"/>
  <c r="AK42" i="61"/>
  <c r="AH43" i="61"/>
  <c r="AH44" i="61"/>
  <c r="AK44" i="61"/>
  <c r="AL44" i="61"/>
  <c r="AH45" i="61"/>
  <c r="AH46" i="61"/>
  <c r="AH47" i="61"/>
  <c r="AL47" i="61"/>
  <c r="AH48" i="61"/>
  <c r="AL48" i="61"/>
  <c r="AH49" i="61"/>
  <c r="AH50" i="61"/>
  <c r="AK50" i="61"/>
  <c r="AH51" i="61"/>
  <c r="AH52" i="61"/>
  <c r="AK52" i="61"/>
  <c r="AH53" i="61"/>
  <c r="AH54" i="61"/>
  <c r="AH55" i="61"/>
  <c r="AL55" i="61"/>
  <c r="AH56" i="61"/>
  <c r="AH57" i="61"/>
  <c r="AH58" i="61"/>
  <c r="AK58" i="61"/>
  <c r="AE35" i="61"/>
  <c r="AE36" i="61"/>
  <c r="AE37" i="61"/>
  <c r="AE38" i="61"/>
  <c r="AE39" i="61"/>
  <c r="AE40" i="61"/>
  <c r="AE41" i="61"/>
  <c r="AE42" i="61"/>
  <c r="AE43" i="61"/>
  <c r="AE44" i="61"/>
  <c r="AE45" i="61"/>
  <c r="AE46" i="61"/>
  <c r="AE47" i="61"/>
  <c r="AE48" i="61"/>
  <c r="AE49" i="61"/>
  <c r="AE50" i="61"/>
  <c r="AE51" i="61"/>
  <c r="AE52" i="61"/>
  <c r="AE53" i="61"/>
  <c r="AE54" i="61"/>
  <c r="AE55" i="61"/>
  <c r="AE56" i="61"/>
  <c r="AE57" i="61"/>
  <c r="AE58" i="61"/>
  <c r="AA36" i="61"/>
  <c r="AA44" i="61"/>
  <c r="AA48" i="61"/>
  <c r="I35" i="61"/>
  <c r="AA35" i="61" s="1"/>
  <c r="J35" i="61"/>
  <c r="K35" i="61"/>
  <c r="L35" i="61"/>
  <c r="M35" i="61"/>
  <c r="N35" i="61"/>
  <c r="I36" i="61"/>
  <c r="K36" i="61" s="1"/>
  <c r="J36" i="61"/>
  <c r="L36" i="61"/>
  <c r="M36" i="61"/>
  <c r="N36" i="61"/>
  <c r="I37" i="61"/>
  <c r="AA37" i="61" s="1"/>
  <c r="J37" i="61"/>
  <c r="L37" i="61"/>
  <c r="M37" i="61"/>
  <c r="N37" i="61"/>
  <c r="I38" i="61"/>
  <c r="J38" i="61"/>
  <c r="L38" i="61"/>
  <c r="M38" i="61"/>
  <c r="N38" i="61"/>
  <c r="I39" i="61"/>
  <c r="J39" i="61"/>
  <c r="L39" i="61"/>
  <c r="M39" i="61"/>
  <c r="N39" i="61"/>
  <c r="I40" i="61"/>
  <c r="AA40" i="61" s="1"/>
  <c r="J40" i="61"/>
  <c r="K40" i="61"/>
  <c r="L40" i="61"/>
  <c r="M40" i="61"/>
  <c r="N40" i="61"/>
  <c r="I41" i="61"/>
  <c r="AA41" i="61" s="1"/>
  <c r="J41" i="61"/>
  <c r="L41" i="61"/>
  <c r="M41" i="61"/>
  <c r="N41" i="61"/>
  <c r="I42" i="61"/>
  <c r="J42" i="61"/>
  <c r="L42" i="61"/>
  <c r="M42" i="61"/>
  <c r="N42" i="61"/>
  <c r="I43" i="61"/>
  <c r="AA43" i="61" s="1"/>
  <c r="J43" i="61"/>
  <c r="K43" i="61"/>
  <c r="L43" i="61"/>
  <c r="M43" i="61"/>
  <c r="N43" i="61"/>
  <c r="I44" i="61"/>
  <c r="J44" i="61"/>
  <c r="K44" i="61"/>
  <c r="L44" i="61"/>
  <c r="M44" i="61"/>
  <c r="N44" i="61"/>
  <c r="I45" i="61"/>
  <c r="AA45" i="61" s="1"/>
  <c r="J45" i="61"/>
  <c r="L45" i="61"/>
  <c r="M45" i="61"/>
  <c r="N45" i="61"/>
  <c r="I46" i="61"/>
  <c r="J46" i="61"/>
  <c r="L46" i="61"/>
  <c r="M46" i="61"/>
  <c r="N46" i="61"/>
  <c r="I47" i="61"/>
  <c r="AA47" i="61" s="1"/>
  <c r="J47" i="61"/>
  <c r="K47" i="61"/>
  <c r="L47" i="61"/>
  <c r="M47" i="61"/>
  <c r="N47" i="61"/>
  <c r="I48" i="61"/>
  <c r="J48" i="61"/>
  <c r="K48" i="61"/>
  <c r="L48" i="61"/>
  <c r="M48" i="61"/>
  <c r="N48" i="61"/>
  <c r="I49" i="61"/>
  <c r="AA49" i="61" s="1"/>
  <c r="J49" i="61"/>
  <c r="L49" i="61"/>
  <c r="M49" i="61"/>
  <c r="N49" i="61"/>
  <c r="I50" i="61"/>
  <c r="J50" i="61"/>
  <c r="L50" i="61"/>
  <c r="M50" i="61"/>
  <c r="N50" i="61"/>
  <c r="I51" i="61"/>
  <c r="AA51" i="61" s="1"/>
  <c r="J51" i="61"/>
  <c r="K51" i="61"/>
  <c r="L51" i="61"/>
  <c r="M51" i="61"/>
  <c r="N51" i="61"/>
  <c r="I52" i="61"/>
  <c r="K52" i="61" s="1"/>
  <c r="J52" i="61"/>
  <c r="L52" i="61"/>
  <c r="M52" i="61"/>
  <c r="N52" i="61"/>
  <c r="I53" i="61"/>
  <c r="AA53" i="61" s="1"/>
  <c r="J53" i="61"/>
  <c r="L53" i="61"/>
  <c r="M53" i="61"/>
  <c r="N53" i="61"/>
  <c r="I54" i="61"/>
  <c r="J54" i="61"/>
  <c r="L54" i="61"/>
  <c r="M54" i="61"/>
  <c r="N54" i="61"/>
  <c r="I55" i="61"/>
  <c r="J55" i="61"/>
  <c r="L55" i="61"/>
  <c r="M55" i="61"/>
  <c r="N55" i="61"/>
  <c r="I56" i="61"/>
  <c r="AA56" i="61" s="1"/>
  <c r="J56" i="61"/>
  <c r="K56" i="61"/>
  <c r="L56" i="61"/>
  <c r="M56" i="61"/>
  <c r="N56" i="61"/>
  <c r="I57" i="61"/>
  <c r="AA57" i="61" s="1"/>
  <c r="J57" i="61"/>
  <c r="L57" i="61"/>
  <c r="M57" i="61"/>
  <c r="N57" i="61"/>
  <c r="I58" i="61"/>
  <c r="J58" i="61"/>
  <c r="L58" i="61"/>
  <c r="M58" i="61"/>
  <c r="N58" i="61"/>
  <c r="N33" i="61"/>
  <c r="N34" i="61"/>
  <c r="I33" i="61"/>
  <c r="J33" i="61"/>
  <c r="I34" i="61"/>
  <c r="J34" i="61"/>
  <c r="AL32" i="61"/>
  <c r="AG32" i="61"/>
  <c r="AD32" i="61"/>
  <c r="AK32" i="61" s="1"/>
  <c r="O32" i="61"/>
  <c r="P32" i="61"/>
  <c r="Q32" i="61"/>
  <c r="R32" i="61"/>
  <c r="S32" i="61"/>
  <c r="T32" i="61"/>
  <c r="U32" i="61"/>
  <c r="V32" i="61"/>
  <c r="W32" i="61"/>
  <c r="X32" i="61"/>
  <c r="Y32" i="61"/>
  <c r="Z32" i="61"/>
  <c r="AJ32" i="61" s="1"/>
  <c r="AJ31" i="61"/>
  <c r="AK31" i="61"/>
  <c r="AM31" i="61" s="1"/>
  <c r="AL31" i="61"/>
  <c r="AN31" i="61"/>
  <c r="AG31" i="61"/>
  <c r="AD31" i="61"/>
  <c r="O31" i="61"/>
  <c r="P31" i="61"/>
  <c r="Q31" i="61"/>
  <c r="R31" i="61"/>
  <c r="S31" i="61"/>
  <c r="T31" i="61"/>
  <c r="U31" i="61"/>
  <c r="V31" i="61"/>
  <c r="W31" i="61"/>
  <c r="X31" i="61"/>
  <c r="Y31" i="61"/>
  <c r="Z31" i="61"/>
  <c r="AA31" i="61"/>
  <c r="N26" i="61"/>
  <c r="N27" i="61"/>
  <c r="N28" i="61"/>
  <c r="N29" i="61"/>
  <c r="B29" i="61"/>
  <c r="B22" i="61"/>
  <c r="B23" i="61"/>
  <c r="AG16" i="61"/>
  <c r="AG19" i="61"/>
  <c r="AG20" i="61"/>
  <c r="AD19" i="61"/>
  <c r="AD20" i="61"/>
  <c r="AK85" i="61" s="1"/>
  <c r="G19" i="61"/>
  <c r="G20" i="61"/>
  <c r="N19" i="61"/>
  <c r="O19" i="61"/>
  <c r="P19" i="61"/>
  <c r="Q19" i="61"/>
  <c r="R19" i="61"/>
  <c r="S19" i="61"/>
  <c r="T19" i="61"/>
  <c r="U19" i="61"/>
  <c r="V19" i="61"/>
  <c r="W19" i="61"/>
  <c r="X19" i="61"/>
  <c r="Y19" i="61"/>
  <c r="Z19" i="61"/>
  <c r="N20" i="61"/>
  <c r="O20" i="61"/>
  <c r="P20" i="61"/>
  <c r="Q20" i="61"/>
  <c r="R20" i="61"/>
  <c r="S20" i="61"/>
  <c r="T20" i="61"/>
  <c r="U20" i="61"/>
  <c r="V20" i="61"/>
  <c r="W20" i="61"/>
  <c r="X20" i="61"/>
  <c r="Y20" i="61"/>
  <c r="Z20" i="61"/>
  <c r="B17" i="61"/>
  <c r="B18" i="61"/>
  <c r="B19" i="61"/>
  <c r="O16" i="61"/>
  <c r="P16" i="61"/>
  <c r="Q16" i="61"/>
  <c r="R16" i="61"/>
  <c r="S16" i="61"/>
  <c r="T16" i="61"/>
  <c r="U16" i="61"/>
  <c r="V16" i="61"/>
  <c r="W16" i="61"/>
  <c r="X16" i="61"/>
  <c r="Y16" i="61"/>
  <c r="O17" i="61"/>
  <c r="P17" i="61"/>
  <c r="Q17" i="61"/>
  <c r="R17" i="61"/>
  <c r="S17" i="61"/>
  <c r="T17" i="61"/>
  <c r="U17" i="61"/>
  <c r="V17" i="61"/>
  <c r="W17" i="61"/>
  <c r="X17" i="61"/>
  <c r="Y17" i="61"/>
  <c r="Z17" i="61"/>
  <c r="AA17" i="61" s="1"/>
  <c r="AA11" i="61" s="1"/>
  <c r="A14" i="61"/>
  <c r="AG12" i="61"/>
  <c r="AG13" i="61"/>
  <c r="AD12" i="61"/>
  <c r="AD13" i="61"/>
  <c r="B12" i="61"/>
  <c r="B13" i="61"/>
  <c r="O11" i="61"/>
  <c r="P11" i="61"/>
  <c r="Q11" i="61"/>
  <c r="R11" i="61"/>
  <c r="S11" i="61"/>
  <c r="T11" i="61"/>
  <c r="U11" i="61"/>
  <c r="V11" i="61"/>
  <c r="W11" i="61"/>
  <c r="X11" i="61"/>
  <c r="Y11" i="61"/>
  <c r="Z11" i="61"/>
  <c r="O12" i="61"/>
  <c r="P12" i="61"/>
  <c r="Q12" i="61"/>
  <c r="R12" i="61"/>
  <c r="S12" i="61"/>
  <c r="T12" i="61"/>
  <c r="U12" i="61"/>
  <c r="V12" i="61"/>
  <c r="W12" i="61"/>
  <c r="X12" i="61"/>
  <c r="Y12" i="61"/>
  <c r="Z12" i="61"/>
  <c r="AA12" i="61"/>
  <c r="O13" i="61"/>
  <c r="P13" i="61"/>
  <c r="Q13" i="61"/>
  <c r="R13" i="61"/>
  <c r="S13" i="61"/>
  <c r="T13" i="61"/>
  <c r="U13" i="61"/>
  <c r="V13" i="61"/>
  <c r="W13" i="61"/>
  <c r="X13" i="61"/>
  <c r="Y13" i="61"/>
  <c r="Z13" i="61"/>
  <c r="AA13" i="61"/>
  <c r="C10" i="61"/>
  <c r="D10" i="61"/>
  <c r="Z16" i="61" s="1"/>
  <c r="C9" i="61"/>
  <c r="C1" i="61"/>
  <c r="C2" i="61"/>
  <c r="C3" i="61"/>
  <c r="C4" i="61"/>
  <c r="C5" i="61"/>
  <c r="C6" i="61"/>
  <c r="C7" i="61"/>
  <c r="C8" i="61"/>
  <c r="E6" i="61"/>
  <c r="B62" i="61" s="1"/>
  <c r="E4" i="61"/>
  <c r="F4" i="61"/>
  <c r="B3" i="61"/>
  <c r="H2" i="61" s="1"/>
  <c r="N1" i="61"/>
  <c r="N1" i="62" s="1"/>
  <c r="AG143" i="57"/>
  <c r="AG144" i="57"/>
  <c r="AG145" i="57"/>
  <c r="AG146" i="57"/>
  <c r="AD143" i="57"/>
  <c r="AD144" i="57"/>
  <c r="AD145" i="57"/>
  <c r="AD146" i="57"/>
  <c r="N143" i="57"/>
  <c r="O143" i="57"/>
  <c r="P143" i="57"/>
  <c r="Q143" i="57"/>
  <c r="R143" i="57"/>
  <c r="S143" i="57"/>
  <c r="T143" i="57"/>
  <c r="U143" i="57"/>
  <c r="V143" i="57"/>
  <c r="W143" i="57"/>
  <c r="X143" i="57"/>
  <c r="Y143" i="57"/>
  <c r="Z143" i="57"/>
  <c r="O144" i="57"/>
  <c r="P144" i="57"/>
  <c r="Q144" i="57"/>
  <c r="R144" i="57"/>
  <c r="S144" i="57"/>
  <c r="T144" i="57"/>
  <c r="U144" i="57"/>
  <c r="V144" i="57"/>
  <c r="W144" i="57"/>
  <c r="X144" i="57"/>
  <c r="Y144" i="57"/>
  <c r="Z144" i="57"/>
  <c r="O145" i="57"/>
  <c r="P145" i="57"/>
  <c r="Q145" i="57"/>
  <c r="R145" i="57"/>
  <c r="S145" i="57"/>
  <c r="T145" i="57"/>
  <c r="U145" i="57"/>
  <c r="V145" i="57"/>
  <c r="W145" i="57"/>
  <c r="X145" i="57"/>
  <c r="Y145" i="57"/>
  <c r="Z145" i="57"/>
  <c r="O146" i="57"/>
  <c r="P146" i="57"/>
  <c r="Q146" i="57"/>
  <c r="R146" i="57"/>
  <c r="S146" i="57"/>
  <c r="T146" i="57"/>
  <c r="U146" i="57"/>
  <c r="V146" i="57"/>
  <c r="W146" i="57"/>
  <c r="X146" i="57"/>
  <c r="Y146" i="57"/>
  <c r="Z146" i="57"/>
  <c r="AI130" i="57"/>
  <c r="AI131" i="57"/>
  <c r="AI133" i="57"/>
  <c r="AI135" i="57"/>
  <c r="AI137" i="57"/>
  <c r="AI139" i="57"/>
  <c r="AG141" i="57"/>
  <c r="AD141" i="57"/>
  <c r="O141" i="57"/>
  <c r="P141" i="57"/>
  <c r="Q141" i="57"/>
  <c r="R141" i="57"/>
  <c r="S141" i="57"/>
  <c r="T141" i="57"/>
  <c r="U141" i="57"/>
  <c r="V141" i="57"/>
  <c r="W141" i="57"/>
  <c r="X141" i="57"/>
  <c r="Y141" i="57"/>
  <c r="Z141" i="57"/>
  <c r="AH140" i="57"/>
  <c r="AE140" i="57"/>
  <c r="AF140" i="57"/>
  <c r="AA140" i="57"/>
  <c r="AI140" i="57" s="1"/>
  <c r="AB140" i="57"/>
  <c r="AF131" i="57"/>
  <c r="AF133" i="57"/>
  <c r="AF135" i="57"/>
  <c r="AF137" i="57"/>
  <c r="AF138" i="57"/>
  <c r="AF139" i="57"/>
  <c r="AH138" i="57"/>
  <c r="AE138" i="57"/>
  <c r="AA138" i="57"/>
  <c r="AI138" i="57" s="1"/>
  <c r="AB138" i="57"/>
  <c r="AH136" i="57"/>
  <c r="AE136" i="57"/>
  <c r="AA136" i="57"/>
  <c r="AF136" i="57" s="1"/>
  <c r="AB136" i="57"/>
  <c r="AH134" i="57"/>
  <c r="AE134" i="57"/>
  <c r="AA134" i="57"/>
  <c r="AI134" i="57" s="1"/>
  <c r="AB134" i="57"/>
  <c r="AH132" i="57"/>
  <c r="AE132" i="57"/>
  <c r="AA132" i="57"/>
  <c r="AB132" i="57"/>
  <c r="AH130" i="57"/>
  <c r="AE130" i="57"/>
  <c r="AA130" i="57"/>
  <c r="AF130" i="57" s="1"/>
  <c r="AB130" i="57"/>
  <c r="L130" i="57"/>
  <c r="M130" i="57"/>
  <c r="N130" i="57"/>
  <c r="L131" i="57"/>
  <c r="M131" i="57"/>
  <c r="N131" i="57"/>
  <c r="L132" i="57"/>
  <c r="M132" i="57"/>
  <c r="N132" i="57"/>
  <c r="L133" i="57"/>
  <c r="M133" i="57"/>
  <c r="N133" i="57"/>
  <c r="L134" i="57"/>
  <c r="M134" i="57"/>
  <c r="N134" i="57"/>
  <c r="L135" i="57"/>
  <c r="M135" i="57"/>
  <c r="N135" i="57"/>
  <c r="L136" i="57"/>
  <c r="M136" i="57"/>
  <c r="N136" i="57"/>
  <c r="L137" i="57"/>
  <c r="M137" i="57"/>
  <c r="N137" i="57"/>
  <c r="L138" i="57"/>
  <c r="M138" i="57"/>
  <c r="N138" i="57"/>
  <c r="L139" i="57"/>
  <c r="M139" i="57"/>
  <c r="N139" i="57"/>
  <c r="L140" i="57"/>
  <c r="M140" i="57"/>
  <c r="N140" i="57"/>
  <c r="N129" i="57"/>
  <c r="AG121" i="57"/>
  <c r="AG122" i="57"/>
  <c r="AG123" i="57"/>
  <c r="AH123" i="57" s="1"/>
  <c r="AG124" i="57"/>
  <c r="AH124" i="57" s="1"/>
  <c r="AG125" i="57"/>
  <c r="AD121" i="57"/>
  <c r="AE121" i="57" s="1"/>
  <c r="AD122" i="57"/>
  <c r="AE122" i="57" s="1"/>
  <c r="AD123" i="57"/>
  <c r="AE123" i="57" s="1"/>
  <c r="AD124" i="57"/>
  <c r="AD125" i="57"/>
  <c r="AE125" i="57" s="1"/>
  <c r="AH122" i="57"/>
  <c r="AH125" i="57"/>
  <c r="AE124" i="57"/>
  <c r="L121" i="57"/>
  <c r="M121" i="57"/>
  <c r="N121" i="57"/>
  <c r="O121" i="57"/>
  <c r="P121" i="57"/>
  <c r="Q121" i="57"/>
  <c r="Q126" i="57" s="1"/>
  <c r="Q127" i="57" s="1"/>
  <c r="R121" i="57"/>
  <c r="S121" i="57"/>
  <c r="T121" i="57"/>
  <c r="U121" i="57"/>
  <c r="V121" i="57"/>
  <c r="W121" i="57"/>
  <c r="X121" i="57"/>
  <c r="Y121" i="57"/>
  <c r="Y126" i="57" s="1"/>
  <c r="Y127" i="57" s="1"/>
  <c r="Z121" i="57"/>
  <c r="L122" i="57"/>
  <c r="M122" i="57"/>
  <c r="N122" i="57"/>
  <c r="O122" i="57"/>
  <c r="P122" i="57"/>
  <c r="Q122" i="57"/>
  <c r="R122" i="57"/>
  <c r="S122" i="57"/>
  <c r="T122" i="57"/>
  <c r="U122" i="57"/>
  <c r="V122" i="57"/>
  <c r="W122" i="57"/>
  <c r="X122" i="57"/>
  <c r="Y122" i="57"/>
  <c r="Z122" i="57"/>
  <c r="L123" i="57"/>
  <c r="M123" i="57"/>
  <c r="N123" i="57"/>
  <c r="O123" i="57"/>
  <c r="P123" i="57"/>
  <c r="Q123" i="57"/>
  <c r="R123" i="57"/>
  <c r="S123" i="57"/>
  <c r="T123" i="57"/>
  <c r="U123" i="57"/>
  <c r="V123" i="57"/>
  <c r="W123" i="57"/>
  <c r="X123" i="57"/>
  <c r="Y123" i="57"/>
  <c r="Z123" i="57"/>
  <c r="L124" i="57"/>
  <c r="M124" i="57"/>
  <c r="N124" i="57"/>
  <c r="O124" i="57"/>
  <c r="P124" i="57"/>
  <c r="Q124" i="57"/>
  <c r="R124" i="57"/>
  <c r="S124" i="57"/>
  <c r="T124" i="57"/>
  <c r="U124" i="57"/>
  <c r="V124" i="57"/>
  <c r="W124" i="57"/>
  <c r="X124" i="57"/>
  <c r="Y124" i="57"/>
  <c r="Z124" i="57"/>
  <c r="L125" i="57"/>
  <c r="M125" i="57"/>
  <c r="N125" i="57"/>
  <c r="O125" i="57"/>
  <c r="P125" i="57"/>
  <c r="Q125" i="57"/>
  <c r="R125" i="57"/>
  <c r="S125" i="57"/>
  <c r="T125" i="57"/>
  <c r="U125" i="57"/>
  <c r="V125" i="57"/>
  <c r="W125" i="57"/>
  <c r="X125" i="57"/>
  <c r="Y125" i="57"/>
  <c r="Z125" i="57"/>
  <c r="L126" i="57"/>
  <c r="M126" i="57"/>
  <c r="N126" i="57"/>
  <c r="AH114" i="57"/>
  <c r="AI114" i="57"/>
  <c r="AH115" i="57"/>
  <c r="AH116" i="57"/>
  <c r="AH117" i="57"/>
  <c r="AI117" i="57"/>
  <c r="AH118" i="57"/>
  <c r="AH119" i="57"/>
  <c r="AE114" i="57"/>
  <c r="AE115" i="57"/>
  <c r="AF115" i="57"/>
  <c r="AE116" i="57"/>
  <c r="AE117" i="57"/>
  <c r="AE118" i="57"/>
  <c r="AE119" i="57"/>
  <c r="AA114" i="57"/>
  <c r="AF114" i="57" s="1"/>
  <c r="AB114" i="57"/>
  <c r="AA115" i="57"/>
  <c r="AI115" i="57" s="1"/>
  <c r="AA116" i="57"/>
  <c r="AA117" i="57"/>
  <c r="AF117" i="57" s="1"/>
  <c r="AB117" i="57"/>
  <c r="AA118" i="57"/>
  <c r="AA119" i="57"/>
  <c r="L114" i="57"/>
  <c r="M114" i="57"/>
  <c r="N114" i="57"/>
  <c r="L115" i="57"/>
  <c r="M115" i="57"/>
  <c r="N115" i="57"/>
  <c r="L116" i="57"/>
  <c r="M116" i="57"/>
  <c r="N116" i="57"/>
  <c r="L117" i="57"/>
  <c r="M117" i="57"/>
  <c r="N117" i="57"/>
  <c r="L118" i="57"/>
  <c r="M118" i="57"/>
  <c r="N118" i="57"/>
  <c r="L119" i="57"/>
  <c r="M119" i="57"/>
  <c r="N119" i="57"/>
  <c r="AH106" i="57"/>
  <c r="AH107" i="57"/>
  <c r="AH108" i="57"/>
  <c r="AH109" i="57"/>
  <c r="AH110" i="57"/>
  <c r="AI110" i="57"/>
  <c r="AH111" i="57"/>
  <c r="AE106" i="57"/>
  <c r="AE107" i="57"/>
  <c r="AE108" i="57"/>
  <c r="AE109" i="57"/>
  <c r="AE110" i="57"/>
  <c r="AE111" i="57"/>
  <c r="AA106" i="57"/>
  <c r="AA107" i="57"/>
  <c r="AF107" i="57" s="1"/>
  <c r="AB107" i="57"/>
  <c r="AA108" i="57"/>
  <c r="AI108" i="57" s="1"/>
  <c r="AA109" i="57"/>
  <c r="AA110" i="57"/>
  <c r="AF110" i="57" s="1"/>
  <c r="AB110" i="57"/>
  <c r="AA111" i="57"/>
  <c r="L106" i="57"/>
  <c r="M106" i="57"/>
  <c r="N106" i="57"/>
  <c r="L107" i="57"/>
  <c r="M107" i="57"/>
  <c r="N107" i="57"/>
  <c r="L108" i="57"/>
  <c r="M108" i="57"/>
  <c r="N108" i="57"/>
  <c r="L109" i="57"/>
  <c r="M109" i="57"/>
  <c r="N109" i="57"/>
  <c r="L110" i="57"/>
  <c r="M110" i="57"/>
  <c r="N110" i="57"/>
  <c r="L111" i="57"/>
  <c r="M111" i="57"/>
  <c r="N111" i="57"/>
  <c r="AH98" i="57"/>
  <c r="AH99" i="57"/>
  <c r="AH100" i="57"/>
  <c r="AH101" i="57"/>
  <c r="AH102" i="57"/>
  <c r="AH103" i="57"/>
  <c r="AI103" i="57"/>
  <c r="AE98" i="57"/>
  <c r="AE99" i="57"/>
  <c r="AE100" i="57"/>
  <c r="AE101" i="57"/>
  <c r="AE102" i="57"/>
  <c r="AE103" i="57"/>
  <c r="AA98" i="57"/>
  <c r="AA99" i="57"/>
  <c r="AF99" i="57" s="1"/>
  <c r="AB99" i="57"/>
  <c r="AA100" i="57"/>
  <c r="AB100" i="57" s="1"/>
  <c r="AA101" i="57"/>
  <c r="AI101" i="57" s="1"/>
  <c r="AA102" i="57"/>
  <c r="AA103" i="57"/>
  <c r="L98" i="57"/>
  <c r="M98" i="57"/>
  <c r="N98" i="57"/>
  <c r="L99" i="57"/>
  <c r="M99" i="57"/>
  <c r="N99" i="57"/>
  <c r="L100" i="57"/>
  <c r="M100" i="57"/>
  <c r="N100" i="57"/>
  <c r="L101" i="57"/>
  <c r="M101" i="57"/>
  <c r="N101" i="57"/>
  <c r="L102" i="57"/>
  <c r="M102" i="57"/>
  <c r="N102" i="57"/>
  <c r="L103" i="57"/>
  <c r="M103" i="57"/>
  <c r="N103" i="57"/>
  <c r="AD93" i="57"/>
  <c r="AD94" i="57"/>
  <c r="AG93" i="57"/>
  <c r="AG94" i="57"/>
  <c r="O93" i="57"/>
  <c r="P93" i="57"/>
  <c r="Q93" i="57"/>
  <c r="R93" i="57"/>
  <c r="S93" i="57"/>
  <c r="T93" i="57"/>
  <c r="U93" i="57"/>
  <c r="V93" i="57"/>
  <c r="W93" i="57"/>
  <c r="X93" i="57"/>
  <c r="Y93" i="57"/>
  <c r="Z93" i="57"/>
  <c r="O94" i="57"/>
  <c r="P94" i="57"/>
  <c r="Q94" i="57"/>
  <c r="R94" i="57"/>
  <c r="S94" i="57"/>
  <c r="T94" i="57"/>
  <c r="U94" i="57"/>
  <c r="V94" i="57"/>
  <c r="W94" i="57"/>
  <c r="X94" i="57"/>
  <c r="Y94" i="57"/>
  <c r="Z94" i="57"/>
  <c r="AF92" i="57"/>
  <c r="AA91" i="57"/>
  <c r="AI91" i="57" s="1"/>
  <c r="AA92" i="57"/>
  <c r="AI92" i="57" s="1"/>
  <c r="N91" i="57"/>
  <c r="N92" i="57"/>
  <c r="I91" i="57"/>
  <c r="J91" i="57"/>
  <c r="I92" i="57"/>
  <c r="J92" i="57"/>
  <c r="AF85" i="57"/>
  <c r="AF86" i="57"/>
  <c r="AA35" i="57"/>
  <c r="AA36" i="57"/>
  <c r="AA37" i="57"/>
  <c r="AA38" i="57"/>
  <c r="AA39" i="57"/>
  <c r="AA40" i="57"/>
  <c r="AF40" i="57" s="1"/>
  <c r="AA41" i="57"/>
  <c r="AB41" i="57" s="1"/>
  <c r="AA45" i="57"/>
  <c r="AA46" i="57"/>
  <c r="AA47" i="57"/>
  <c r="AA48" i="57"/>
  <c r="AA49" i="57"/>
  <c r="AA50" i="57"/>
  <c r="AA51" i="57"/>
  <c r="AA55" i="57"/>
  <c r="AB55" i="57" s="1"/>
  <c r="AA56" i="57"/>
  <c r="AA57" i="57"/>
  <c r="AB57" i="57" s="1"/>
  <c r="AA58" i="57"/>
  <c r="AB58" i="57" s="1"/>
  <c r="AA59" i="57"/>
  <c r="AA60" i="57"/>
  <c r="AA61" i="57"/>
  <c r="AA65" i="57"/>
  <c r="AA66" i="57"/>
  <c r="AA67" i="57"/>
  <c r="AA68" i="57"/>
  <c r="AA69" i="57"/>
  <c r="AB69" i="57" s="1"/>
  <c r="AA70" i="57"/>
  <c r="AA71" i="57"/>
  <c r="AA75" i="57"/>
  <c r="AI75" i="57" s="1"/>
  <c r="AA76" i="57"/>
  <c r="AB76" i="57" s="1"/>
  <c r="AA77" i="57"/>
  <c r="AA78" i="57"/>
  <c r="AF78" i="57" s="1"/>
  <c r="AA79" i="57"/>
  <c r="AA82" i="57" s="1"/>
  <c r="AA80" i="57"/>
  <c r="AI80" i="57" s="1"/>
  <c r="AA83" i="57"/>
  <c r="AI83" i="57" s="1"/>
  <c r="AA85" i="57"/>
  <c r="AI85" i="57" s="1"/>
  <c r="AA86" i="57"/>
  <c r="AI86" i="57" s="1"/>
  <c r="AA87" i="57"/>
  <c r="AB87" i="57" s="1"/>
  <c r="N85" i="57"/>
  <c r="N86" i="57"/>
  <c r="N87" i="57"/>
  <c r="N144" i="57" s="1"/>
  <c r="N88" i="57"/>
  <c r="N145" i="57" s="1"/>
  <c r="AH87" i="57"/>
  <c r="AE87" i="57"/>
  <c r="AH83" i="57"/>
  <c r="AH85" i="57"/>
  <c r="AE83" i="57"/>
  <c r="AE85" i="57"/>
  <c r="AB85" i="57"/>
  <c r="L85" i="57"/>
  <c r="M85" i="57"/>
  <c r="L86" i="57"/>
  <c r="M86" i="57"/>
  <c r="L87" i="57"/>
  <c r="M87" i="57"/>
  <c r="I85" i="57"/>
  <c r="J85" i="57"/>
  <c r="I86" i="57"/>
  <c r="J86" i="57"/>
  <c r="I87" i="57"/>
  <c r="J87" i="57"/>
  <c r="I88" i="57"/>
  <c r="J88" i="57"/>
  <c r="R84" i="57"/>
  <c r="Z84" i="57"/>
  <c r="AB83" i="57"/>
  <c r="L83" i="57"/>
  <c r="M83" i="57"/>
  <c r="N83" i="57"/>
  <c r="I83" i="57"/>
  <c r="J83" i="57"/>
  <c r="AG82" i="57"/>
  <c r="AH84" i="57" s="1"/>
  <c r="AD82" i="57"/>
  <c r="AE84" i="57" s="1"/>
  <c r="O82" i="57"/>
  <c r="O84" i="57" s="1"/>
  <c r="P82" i="57"/>
  <c r="P84" i="57" s="1"/>
  <c r="Q82" i="57"/>
  <c r="Q84" i="57" s="1"/>
  <c r="R82" i="57"/>
  <c r="S82" i="57"/>
  <c r="S84" i="57" s="1"/>
  <c r="T82" i="57"/>
  <c r="T84" i="57" s="1"/>
  <c r="U82" i="57"/>
  <c r="U84" i="57" s="1"/>
  <c r="V82" i="57"/>
  <c r="V84" i="57" s="1"/>
  <c r="W82" i="57"/>
  <c r="W84" i="57" s="1"/>
  <c r="X82" i="57"/>
  <c r="X84" i="57" s="1"/>
  <c r="Y82" i="57"/>
  <c r="Y84" i="57" s="1"/>
  <c r="Z82" i="57"/>
  <c r="AI77" i="57"/>
  <c r="AI78" i="57"/>
  <c r="AF77" i="57"/>
  <c r="AH75" i="57"/>
  <c r="AH76" i="57"/>
  <c r="AH77" i="57"/>
  <c r="AH78" i="57"/>
  <c r="AH79" i="57"/>
  <c r="AH80" i="57"/>
  <c r="AE75" i="57"/>
  <c r="AE76" i="57"/>
  <c r="AE77" i="57"/>
  <c r="AE78" i="57"/>
  <c r="AE79" i="57"/>
  <c r="AE80" i="57"/>
  <c r="AB77" i="57"/>
  <c r="AB78" i="57"/>
  <c r="L75" i="57"/>
  <c r="M75" i="57"/>
  <c r="N75" i="57"/>
  <c r="L76" i="57"/>
  <c r="M76" i="57"/>
  <c r="N76" i="57"/>
  <c r="L77" i="57"/>
  <c r="M77" i="57"/>
  <c r="N77" i="57"/>
  <c r="L78" i="57"/>
  <c r="M78" i="57"/>
  <c r="N78" i="57"/>
  <c r="L79" i="57"/>
  <c r="M79" i="57"/>
  <c r="N79" i="57"/>
  <c r="L80" i="57"/>
  <c r="M80" i="57"/>
  <c r="N80" i="57"/>
  <c r="L81" i="57"/>
  <c r="M81" i="57"/>
  <c r="N81" i="57"/>
  <c r="I75" i="57"/>
  <c r="J75" i="57"/>
  <c r="I76" i="57"/>
  <c r="J76" i="57"/>
  <c r="I77" i="57"/>
  <c r="J77" i="57"/>
  <c r="I78" i="57"/>
  <c r="J78" i="57"/>
  <c r="I79" i="57"/>
  <c r="J79" i="57"/>
  <c r="I80" i="57"/>
  <c r="J80" i="57"/>
  <c r="I81" i="57"/>
  <c r="J81" i="57"/>
  <c r="AG73" i="57"/>
  <c r="AH74" i="57" s="1"/>
  <c r="AD73" i="57"/>
  <c r="AE74" i="57" s="1"/>
  <c r="O73" i="57"/>
  <c r="O74" i="57" s="1"/>
  <c r="P73" i="57"/>
  <c r="P74" i="57" s="1"/>
  <c r="Q73" i="57"/>
  <c r="Q74" i="57" s="1"/>
  <c r="R73" i="57"/>
  <c r="R74" i="57" s="1"/>
  <c r="S73" i="57"/>
  <c r="T73" i="57"/>
  <c r="T74" i="57" s="1"/>
  <c r="U73" i="57"/>
  <c r="V73" i="57"/>
  <c r="W73" i="57"/>
  <c r="W74" i="57" s="1"/>
  <c r="X73" i="57"/>
  <c r="X74" i="57" s="1"/>
  <c r="Y73" i="57"/>
  <c r="Y74" i="57" s="1"/>
  <c r="Z73" i="57"/>
  <c r="Z74" i="57" s="1"/>
  <c r="S74" i="57"/>
  <c r="U74" i="57"/>
  <c r="V74" i="57"/>
  <c r="AI65" i="57"/>
  <c r="AI69" i="57"/>
  <c r="AI70" i="57"/>
  <c r="AF69" i="57"/>
  <c r="AF70" i="57"/>
  <c r="AH71" i="57"/>
  <c r="AE71" i="57"/>
  <c r="AH65" i="57"/>
  <c r="AH66" i="57"/>
  <c r="AH67" i="57"/>
  <c r="AH68" i="57"/>
  <c r="AH69" i="57"/>
  <c r="AE65" i="57"/>
  <c r="AE66" i="57"/>
  <c r="AE67" i="57"/>
  <c r="AE68" i="57"/>
  <c r="AE69" i="57"/>
  <c r="L65" i="57"/>
  <c r="M65" i="57"/>
  <c r="N65" i="57"/>
  <c r="L66" i="57"/>
  <c r="M66" i="57"/>
  <c r="N66" i="57"/>
  <c r="L67" i="57"/>
  <c r="M67" i="57"/>
  <c r="N67" i="57"/>
  <c r="L68" i="57"/>
  <c r="M68" i="57"/>
  <c r="N68" i="57"/>
  <c r="L69" i="57"/>
  <c r="M69" i="57"/>
  <c r="N69" i="57"/>
  <c r="L70" i="57"/>
  <c r="M70" i="57"/>
  <c r="N70" i="57"/>
  <c r="L71" i="57"/>
  <c r="M71" i="57"/>
  <c r="N71" i="57"/>
  <c r="L72" i="57"/>
  <c r="M72" i="57"/>
  <c r="N72" i="57"/>
  <c r="I65" i="57"/>
  <c r="J65" i="57"/>
  <c r="I66" i="57"/>
  <c r="J66" i="57"/>
  <c r="I67" i="57"/>
  <c r="J67" i="57"/>
  <c r="I68" i="57"/>
  <c r="J68" i="57"/>
  <c r="I69" i="57"/>
  <c r="J69" i="57"/>
  <c r="I70" i="57"/>
  <c r="J70" i="57"/>
  <c r="I71" i="57"/>
  <c r="J71" i="57"/>
  <c r="I72" i="57"/>
  <c r="J72" i="57"/>
  <c r="AG63" i="57"/>
  <c r="AH64" i="57" s="1"/>
  <c r="AD63" i="57"/>
  <c r="AE64" i="57" s="1"/>
  <c r="O63" i="57"/>
  <c r="P63" i="57"/>
  <c r="P64" i="57" s="1"/>
  <c r="Q63" i="57"/>
  <c r="Q64" i="57" s="1"/>
  <c r="R63" i="57"/>
  <c r="S63" i="57"/>
  <c r="S64" i="57" s="1"/>
  <c r="T63" i="57"/>
  <c r="U63" i="57"/>
  <c r="U64" i="57" s="1"/>
  <c r="V63" i="57"/>
  <c r="V64" i="57" s="1"/>
  <c r="W63" i="57"/>
  <c r="X63" i="57"/>
  <c r="X64" i="57" s="1"/>
  <c r="Y63" i="57"/>
  <c r="Y64" i="57" s="1"/>
  <c r="Z63" i="57"/>
  <c r="Z64" i="57" s="1"/>
  <c r="O64" i="57"/>
  <c r="R64" i="57"/>
  <c r="T64" i="57"/>
  <c r="W64" i="57"/>
  <c r="AI56" i="57"/>
  <c r="AI60" i="57"/>
  <c r="AI61" i="57"/>
  <c r="AF56" i="57"/>
  <c r="AF60" i="57"/>
  <c r="AF61" i="57"/>
  <c r="AH61" i="57"/>
  <c r="AE61" i="57"/>
  <c r="AB61" i="57"/>
  <c r="AH54" i="57"/>
  <c r="AH55" i="57"/>
  <c r="AH56" i="57"/>
  <c r="AH57" i="57"/>
  <c r="AH58" i="57"/>
  <c r="AH59" i="57"/>
  <c r="AE55" i="57"/>
  <c r="AE56" i="57"/>
  <c r="AE57" i="57"/>
  <c r="AE58" i="57"/>
  <c r="AE59" i="57"/>
  <c r="AB56" i="57"/>
  <c r="L55" i="57"/>
  <c r="M55" i="57"/>
  <c r="N55" i="57"/>
  <c r="L56" i="57"/>
  <c r="M56" i="57"/>
  <c r="N56" i="57"/>
  <c r="L57" i="57"/>
  <c r="M57" i="57"/>
  <c r="N57" i="57"/>
  <c r="L58" i="57"/>
  <c r="M58" i="57"/>
  <c r="N58" i="57"/>
  <c r="L59" i="57"/>
  <c r="M59" i="57"/>
  <c r="N59" i="57"/>
  <c r="L60" i="57"/>
  <c r="M60" i="57"/>
  <c r="N60" i="57"/>
  <c r="L61" i="57"/>
  <c r="M61" i="57"/>
  <c r="N61" i="57"/>
  <c r="L62" i="57"/>
  <c r="M62" i="57"/>
  <c r="N62" i="57"/>
  <c r="I55" i="57"/>
  <c r="J55" i="57"/>
  <c r="I56" i="57"/>
  <c r="J56" i="57"/>
  <c r="I57" i="57"/>
  <c r="J57" i="57"/>
  <c r="I58" i="57"/>
  <c r="J58" i="57"/>
  <c r="I59" i="57"/>
  <c r="J59" i="57"/>
  <c r="I60" i="57"/>
  <c r="J60" i="57"/>
  <c r="I61" i="57"/>
  <c r="J61" i="57"/>
  <c r="I62" i="57"/>
  <c r="J62" i="57"/>
  <c r="AG53" i="57"/>
  <c r="AD53" i="57"/>
  <c r="AE54" i="57" s="1"/>
  <c r="O53" i="57"/>
  <c r="O54" i="57" s="1"/>
  <c r="P53" i="57"/>
  <c r="Q53" i="57"/>
  <c r="Q54" i="57" s="1"/>
  <c r="R53" i="57"/>
  <c r="R54" i="57" s="1"/>
  <c r="S53" i="57"/>
  <c r="T53" i="57"/>
  <c r="T54" i="57" s="1"/>
  <c r="U53" i="57"/>
  <c r="V53" i="57"/>
  <c r="V54" i="57" s="1"/>
  <c r="W53" i="57"/>
  <c r="W54" i="57" s="1"/>
  <c r="X53" i="57"/>
  <c r="Y53" i="57"/>
  <c r="Y54" i="57" s="1"/>
  <c r="Z53" i="57"/>
  <c r="Z54" i="57" s="1"/>
  <c r="P54" i="57"/>
  <c r="S54" i="57"/>
  <c r="U54" i="57"/>
  <c r="X54" i="57"/>
  <c r="AI46" i="57"/>
  <c r="AI48" i="57"/>
  <c r="AI51" i="57"/>
  <c r="AF46" i="57"/>
  <c r="AF51" i="57"/>
  <c r="AH51" i="57"/>
  <c r="AE51" i="57"/>
  <c r="AB51" i="57"/>
  <c r="AH45" i="57"/>
  <c r="AH46" i="57"/>
  <c r="AH47" i="57"/>
  <c r="AH48" i="57"/>
  <c r="AH49" i="57"/>
  <c r="AE44" i="57"/>
  <c r="AE45" i="57"/>
  <c r="AE46" i="57"/>
  <c r="AE47" i="57"/>
  <c r="AE48" i="57"/>
  <c r="AE49" i="57"/>
  <c r="AB46" i="57"/>
  <c r="AB47" i="57"/>
  <c r="AB49" i="57"/>
  <c r="L45" i="57"/>
  <c r="M45" i="57"/>
  <c r="N45" i="57"/>
  <c r="L46" i="57"/>
  <c r="M46" i="57"/>
  <c r="N46" i="57"/>
  <c r="L47" i="57"/>
  <c r="M47" i="57"/>
  <c r="N47" i="57"/>
  <c r="L48" i="57"/>
  <c r="M48" i="57"/>
  <c r="N48" i="57"/>
  <c r="L49" i="57"/>
  <c r="M49" i="57"/>
  <c r="N49" i="57"/>
  <c r="L50" i="57"/>
  <c r="M50" i="57"/>
  <c r="N50" i="57"/>
  <c r="L51" i="57"/>
  <c r="M51" i="57"/>
  <c r="N51" i="57"/>
  <c r="L52" i="57"/>
  <c r="M52" i="57"/>
  <c r="N52" i="57"/>
  <c r="I45" i="57"/>
  <c r="J45" i="57"/>
  <c r="I46" i="57"/>
  <c r="J46" i="57"/>
  <c r="I47" i="57"/>
  <c r="J47" i="57"/>
  <c r="I48" i="57"/>
  <c r="J48" i="57"/>
  <c r="I49" i="57"/>
  <c r="J49" i="57"/>
  <c r="I50" i="57"/>
  <c r="J50" i="57"/>
  <c r="I51" i="57"/>
  <c r="J51" i="57"/>
  <c r="I52" i="57"/>
  <c r="J52" i="57"/>
  <c r="AG43" i="57"/>
  <c r="AH44" i="57" s="1"/>
  <c r="AD43" i="57"/>
  <c r="O43" i="57"/>
  <c r="O44" i="57" s="1"/>
  <c r="P43" i="57"/>
  <c r="P44" i="57" s="1"/>
  <c r="Q43" i="57"/>
  <c r="R43" i="57"/>
  <c r="R44" i="57" s="1"/>
  <c r="S43" i="57"/>
  <c r="T43" i="57"/>
  <c r="T44" i="57" s="1"/>
  <c r="U43" i="57"/>
  <c r="U44" i="57" s="1"/>
  <c r="V43" i="57"/>
  <c r="V44" i="57" s="1"/>
  <c r="W43" i="57"/>
  <c r="W44" i="57" s="1"/>
  <c r="X43" i="57"/>
  <c r="Y43" i="57"/>
  <c r="Z43" i="57"/>
  <c r="Z44" i="57" s="1"/>
  <c r="Q44" i="57"/>
  <c r="S44" i="57"/>
  <c r="X44" i="57"/>
  <c r="Y44" i="57"/>
  <c r="AI35" i="57"/>
  <c r="AI38" i="57"/>
  <c r="AI40" i="57"/>
  <c r="AI41" i="57"/>
  <c r="AF35" i="57"/>
  <c r="AF38" i="57"/>
  <c r="AF41" i="57"/>
  <c r="AH41" i="57"/>
  <c r="AE41" i="57"/>
  <c r="AH35" i="57"/>
  <c r="AH36" i="57"/>
  <c r="AH37" i="57"/>
  <c r="AH38" i="57"/>
  <c r="AH39" i="57"/>
  <c r="AE35" i="57"/>
  <c r="AE36" i="57"/>
  <c r="AE37" i="57"/>
  <c r="AE38" i="57"/>
  <c r="AE39" i="57"/>
  <c r="AB35" i="57"/>
  <c r="AB37" i="57"/>
  <c r="AB38" i="57"/>
  <c r="L35" i="57"/>
  <c r="M35" i="57"/>
  <c r="N35" i="57"/>
  <c r="L36" i="57"/>
  <c r="M36" i="57"/>
  <c r="N36" i="57"/>
  <c r="L37" i="57"/>
  <c r="M37" i="57"/>
  <c r="N37" i="57"/>
  <c r="L38" i="57"/>
  <c r="M38" i="57"/>
  <c r="N38" i="57"/>
  <c r="L39" i="57"/>
  <c r="M39" i="57"/>
  <c r="N39" i="57"/>
  <c r="L40" i="57"/>
  <c r="M40" i="57"/>
  <c r="N40" i="57"/>
  <c r="L41" i="57"/>
  <c r="M41" i="57"/>
  <c r="N41" i="57"/>
  <c r="L42" i="57"/>
  <c r="M42" i="57"/>
  <c r="N42" i="57"/>
  <c r="I35" i="57"/>
  <c r="J35" i="57"/>
  <c r="I36" i="57"/>
  <c r="J36" i="57"/>
  <c r="I37" i="57"/>
  <c r="J37" i="57"/>
  <c r="I38" i="57"/>
  <c r="J38" i="57"/>
  <c r="I39" i="57"/>
  <c r="J39" i="57"/>
  <c r="I40" i="57"/>
  <c r="J40" i="57"/>
  <c r="I41" i="57"/>
  <c r="J41" i="57"/>
  <c r="I42" i="57"/>
  <c r="J42" i="57"/>
  <c r="AG32" i="57"/>
  <c r="AD32" i="57"/>
  <c r="O32" i="57"/>
  <c r="P32" i="57"/>
  <c r="Q32" i="57"/>
  <c r="R32" i="57"/>
  <c r="S32" i="57"/>
  <c r="T32" i="57"/>
  <c r="U32" i="57"/>
  <c r="V32" i="57"/>
  <c r="W32" i="57"/>
  <c r="X32" i="57"/>
  <c r="Y32" i="57"/>
  <c r="Z32" i="57"/>
  <c r="AG31" i="57"/>
  <c r="AD31" i="57"/>
  <c r="O31" i="57"/>
  <c r="P31" i="57"/>
  <c r="Q31" i="57"/>
  <c r="R31" i="57"/>
  <c r="S31" i="57"/>
  <c r="T31" i="57"/>
  <c r="U31" i="57"/>
  <c r="V31" i="57"/>
  <c r="W31" i="57"/>
  <c r="X31" i="57"/>
  <c r="Y31" i="57"/>
  <c r="Z31" i="57"/>
  <c r="AA31" i="57"/>
  <c r="N26" i="57"/>
  <c r="N27" i="57"/>
  <c r="N28" i="57"/>
  <c r="N29" i="57"/>
  <c r="B23" i="57"/>
  <c r="AG16" i="57"/>
  <c r="AG19" i="57"/>
  <c r="AG20" i="57"/>
  <c r="AD19" i="57"/>
  <c r="AD20" i="57"/>
  <c r="G19" i="57"/>
  <c r="G20" i="57"/>
  <c r="N19" i="57"/>
  <c r="O19" i="57"/>
  <c r="P19" i="57"/>
  <c r="Q19" i="57"/>
  <c r="R19" i="57"/>
  <c r="S19" i="57"/>
  <c r="T19" i="57"/>
  <c r="U19" i="57"/>
  <c r="V19" i="57"/>
  <c r="W19" i="57"/>
  <c r="X19" i="57"/>
  <c r="Y19" i="57"/>
  <c r="Z19" i="57"/>
  <c r="N20" i="57"/>
  <c r="O20" i="57"/>
  <c r="P20" i="57"/>
  <c r="Q20" i="57"/>
  <c r="R20" i="57"/>
  <c r="S20" i="57"/>
  <c r="T20" i="57"/>
  <c r="U20" i="57"/>
  <c r="V20" i="57"/>
  <c r="W20" i="57"/>
  <c r="X20" i="57"/>
  <c r="Y20" i="57"/>
  <c r="Z20" i="57"/>
  <c r="B17" i="57"/>
  <c r="B18" i="57"/>
  <c r="B19" i="57"/>
  <c r="O16" i="57"/>
  <c r="P16" i="57"/>
  <c r="Q16" i="57"/>
  <c r="R16" i="57"/>
  <c r="S16" i="57"/>
  <c r="T16" i="57"/>
  <c r="U16" i="57"/>
  <c r="V16" i="57"/>
  <c r="W16" i="57"/>
  <c r="X16" i="57"/>
  <c r="Y16" i="57"/>
  <c r="O17" i="57"/>
  <c r="P17" i="57"/>
  <c r="Q17" i="57"/>
  <c r="R17" i="57"/>
  <c r="S17" i="57"/>
  <c r="T17" i="57"/>
  <c r="U17" i="57"/>
  <c r="V17" i="57"/>
  <c r="W17" i="57"/>
  <c r="X17" i="57"/>
  <c r="Y17" i="57"/>
  <c r="Z17" i="57"/>
  <c r="AA17" i="57" s="1"/>
  <c r="AA11" i="57" s="1"/>
  <c r="AA18" i="57" s="1"/>
  <c r="A14" i="57"/>
  <c r="AG12" i="57"/>
  <c r="AG13" i="57"/>
  <c r="AD12" i="57"/>
  <c r="AD13" i="57"/>
  <c r="B12" i="57"/>
  <c r="B13" i="57"/>
  <c r="O11" i="57"/>
  <c r="P11" i="57"/>
  <c r="Q11" i="57"/>
  <c r="R11" i="57"/>
  <c r="S11" i="57"/>
  <c r="T11" i="57"/>
  <c r="U11" i="57"/>
  <c r="V11" i="57"/>
  <c r="W11" i="57"/>
  <c r="X11" i="57"/>
  <c r="Y11" i="57"/>
  <c r="Z11" i="57"/>
  <c r="O12" i="57"/>
  <c r="P12" i="57"/>
  <c r="Q12" i="57"/>
  <c r="R12" i="57"/>
  <c r="S12" i="57"/>
  <c r="T12" i="57"/>
  <c r="U12" i="57"/>
  <c r="V12" i="57"/>
  <c r="W12" i="57"/>
  <c r="X12" i="57"/>
  <c r="Y12" i="57"/>
  <c r="Z12" i="57"/>
  <c r="AA12" i="57"/>
  <c r="O13" i="57"/>
  <c r="P13" i="57"/>
  <c r="Q13" i="57"/>
  <c r="R13" i="57"/>
  <c r="S13" i="57"/>
  <c r="T13" i="57"/>
  <c r="U13" i="57"/>
  <c r="V13" i="57"/>
  <c r="W13" i="57"/>
  <c r="X13" i="57"/>
  <c r="Y13" i="57"/>
  <c r="Z13" i="57"/>
  <c r="AA13" i="57"/>
  <c r="C10" i="57"/>
  <c r="D10" i="57"/>
  <c r="Z16" i="57" s="1"/>
  <c r="C9" i="57"/>
  <c r="C1" i="57"/>
  <c r="C2" i="57"/>
  <c r="C3" i="57"/>
  <c r="C4" i="57"/>
  <c r="C5" i="57"/>
  <c r="C6" i="57"/>
  <c r="C7" i="57"/>
  <c r="C8" i="57"/>
  <c r="E6" i="57"/>
  <c r="E4" i="57"/>
  <c r="F4" i="57"/>
  <c r="B3" i="57"/>
  <c r="B120" i="53"/>
  <c r="B114" i="53"/>
  <c r="B115" i="53"/>
  <c r="B116" i="53"/>
  <c r="A111" i="53"/>
  <c r="AG90" i="53"/>
  <c r="AD90" i="53"/>
  <c r="O90" i="53"/>
  <c r="P90" i="53"/>
  <c r="Q90" i="53"/>
  <c r="R90" i="53"/>
  <c r="S90" i="53"/>
  <c r="T90" i="53"/>
  <c r="U90" i="53"/>
  <c r="V90" i="53"/>
  <c r="W90" i="53"/>
  <c r="X90" i="53"/>
  <c r="Y90" i="53"/>
  <c r="Z90" i="53"/>
  <c r="AA90" i="53"/>
  <c r="N91" i="53"/>
  <c r="B88" i="53"/>
  <c r="B89" i="53"/>
  <c r="N87" i="53"/>
  <c r="N90" i="53" s="1"/>
  <c r="N88" i="53"/>
  <c r="AH87" i="53"/>
  <c r="AH88" i="53"/>
  <c r="AE87" i="53"/>
  <c r="AE88" i="53"/>
  <c r="I87" i="53"/>
  <c r="AA87" i="53" s="1"/>
  <c r="J87" i="53"/>
  <c r="I88" i="53"/>
  <c r="AA88" i="53" s="1"/>
  <c r="J88" i="53"/>
  <c r="N82" i="53"/>
  <c r="N83" i="53"/>
  <c r="N84" i="53"/>
  <c r="N85" i="53"/>
  <c r="I85" i="53"/>
  <c r="AA85" i="53" s="1"/>
  <c r="AI85" i="53" s="1"/>
  <c r="J85" i="53"/>
  <c r="B83" i="53"/>
  <c r="B84" i="53"/>
  <c r="B85" i="53"/>
  <c r="AH83" i="53"/>
  <c r="AH84" i="53"/>
  <c r="AH85" i="53"/>
  <c r="AL85" i="53"/>
  <c r="AE83" i="53"/>
  <c r="AE84" i="53"/>
  <c r="AE85" i="53"/>
  <c r="AF85" i="53"/>
  <c r="AA84" i="53"/>
  <c r="I83" i="53"/>
  <c r="AA83" i="53" s="1"/>
  <c r="J83" i="53"/>
  <c r="L83" i="53"/>
  <c r="M83" i="53"/>
  <c r="I84" i="53"/>
  <c r="J84" i="53"/>
  <c r="L84" i="53"/>
  <c r="M84" i="53"/>
  <c r="I82" i="53"/>
  <c r="J82" i="53"/>
  <c r="A80" i="53"/>
  <c r="AH76" i="53"/>
  <c r="AH77" i="53"/>
  <c r="AH78" i="53"/>
  <c r="AH79" i="53"/>
  <c r="AH80" i="53"/>
  <c r="AE76" i="53"/>
  <c r="AE77" i="53"/>
  <c r="AE78" i="53"/>
  <c r="AE79" i="53"/>
  <c r="AE80" i="53"/>
  <c r="AA78" i="53"/>
  <c r="AI78" i="53" s="1"/>
  <c r="AB79" i="53"/>
  <c r="I76" i="53"/>
  <c r="J76" i="53"/>
  <c r="L76" i="53"/>
  <c r="M76" i="53"/>
  <c r="N76" i="53"/>
  <c r="I77" i="53"/>
  <c r="K77" i="53" s="1"/>
  <c r="J77" i="53"/>
  <c r="L77" i="53"/>
  <c r="M77" i="53"/>
  <c r="N77" i="53"/>
  <c r="I78" i="53"/>
  <c r="K78" i="53" s="1"/>
  <c r="J78" i="53"/>
  <c r="L78" i="53"/>
  <c r="M78" i="53"/>
  <c r="N78" i="53"/>
  <c r="I79" i="53"/>
  <c r="AA79" i="53" s="1"/>
  <c r="J79" i="53"/>
  <c r="L79" i="53"/>
  <c r="M79" i="53"/>
  <c r="N79" i="53"/>
  <c r="I80" i="53"/>
  <c r="J80" i="53"/>
  <c r="L80" i="53"/>
  <c r="M80" i="53"/>
  <c r="N80" i="53"/>
  <c r="N74" i="53"/>
  <c r="N75" i="53"/>
  <c r="I74" i="53"/>
  <c r="J74" i="53"/>
  <c r="I75" i="53"/>
  <c r="J75" i="53"/>
  <c r="AD72" i="53"/>
  <c r="AE72" i="53" s="1"/>
  <c r="AG72" i="53"/>
  <c r="AG91" i="53" s="1"/>
  <c r="N72" i="53"/>
  <c r="O72" i="53"/>
  <c r="O91" i="53" s="1"/>
  <c r="P72" i="53"/>
  <c r="P91" i="53" s="1"/>
  <c r="Q72" i="53"/>
  <c r="Q91" i="53" s="1"/>
  <c r="R72" i="53"/>
  <c r="R91" i="53" s="1"/>
  <c r="S72" i="53"/>
  <c r="S91" i="53" s="1"/>
  <c r="T72" i="53"/>
  <c r="T91" i="53" s="1"/>
  <c r="U72" i="53"/>
  <c r="U91" i="53" s="1"/>
  <c r="V72" i="53"/>
  <c r="V91" i="53" s="1"/>
  <c r="W72" i="53"/>
  <c r="W91" i="53" s="1"/>
  <c r="X72" i="53"/>
  <c r="X91" i="53" s="1"/>
  <c r="Y72" i="53"/>
  <c r="Y91" i="53" s="1"/>
  <c r="Z72" i="53"/>
  <c r="Z91" i="53" s="1"/>
  <c r="AH71" i="53"/>
  <c r="AI71" i="53"/>
  <c r="AB62" i="53"/>
  <c r="AB63" i="53"/>
  <c r="AB64" i="53"/>
  <c r="AN64" i="53" s="1"/>
  <c r="AB65" i="53"/>
  <c r="AN65" i="53" s="1"/>
  <c r="AB66" i="53"/>
  <c r="AB67" i="53"/>
  <c r="AB68" i="53"/>
  <c r="AB69" i="53"/>
  <c r="AB70" i="53"/>
  <c r="AB71" i="53"/>
  <c r="N60" i="53"/>
  <c r="N61" i="53"/>
  <c r="N62" i="53"/>
  <c r="N63" i="53"/>
  <c r="N64" i="53"/>
  <c r="N65" i="53"/>
  <c r="N66" i="53"/>
  <c r="N67" i="53"/>
  <c r="N68" i="53"/>
  <c r="N69" i="53"/>
  <c r="N70" i="53"/>
  <c r="N71" i="53"/>
  <c r="I71" i="53"/>
  <c r="J71" i="53"/>
  <c r="K71" i="53"/>
  <c r="I72" i="53"/>
  <c r="K72" i="53" s="1"/>
  <c r="J72" i="53"/>
  <c r="AA66" i="53"/>
  <c r="AF66" i="53" s="1"/>
  <c r="AH62" i="53"/>
  <c r="AH63" i="53"/>
  <c r="AL63" i="53"/>
  <c r="AN63" i="53"/>
  <c r="AH64" i="53"/>
  <c r="AH65" i="53"/>
  <c r="AK65" i="53"/>
  <c r="AH66" i="53"/>
  <c r="AH67" i="53"/>
  <c r="AM67" i="53"/>
  <c r="AH68" i="53"/>
  <c r="AN68" i="53" s="1"/>
  <c r="AH69" i="53"/>
  <c r="AL69" i="53"/>
  <c r="AH70" i="53"/>
  <c r="AE62" i="53"/>
  <c r="AE63" i="53"/>
  <c r="AM63" i="53" s="1"/>
  <c r="AE64" i="53"/>
  <c r="AE65" i="53"/>
  <c r="AE66" i="53"/>
  <c r="AE67" i="53"/>
  <c r="AE68" i="53"/>
  <c r="AM68" i="53" s="1"/>
  <c r="AE69" i="53"/>
  <c r="AE70" i="53"/>
  <c r="AE71" i="53"/>
  <c r="AF71" i="53"/>
  <c r="I62" i="53"/>
  <c r="J62" i="53"/>
  <c r="L62" i="53"/>
  <c r="M62" i="53"/>
  <c r="I63" i="53"/>
  <c r="K63" i="53" s="1"/>
  <c r="J63" i="53"/>
  <c r="L63" i="53"/>
  <c r="M63" i="53"/>
  <c r="I64" i="53"/>
  <c r="K64" i="53" s="1"/>
  <c r="J64" i="53"/>
  <c r="L64" i="53"/>
  <c r="M64" i="53"/>
  <c r="I65" i="53"/>
  <c r="AA65" i="53" s="1"/>
  <c r="J65" i="53"/>
  <c r="K65" i="53"/>
  <c r="L65" i="53"/>
  <c r="M65" i="53"/>
  <c r="I66" i="53"/>
  <c r="K66" i="53" s="1"/>
  <c r="J66" i="53"/>
  <c r="L66" i="53"/>
  <c r="M66" i="53"/>
  <c r="I67" i="53"/>
  <c r="K67" i="53" s="1"/>
  <c r="J67" i="53"/>
  <c r="L67" i="53"/>
  <c r="M67" i="53"/>
  <c r="I68" i="53"/>
  <c r="J68" i="53"/>
  <c r="L68" i="53"/>
  <c r="M68" i="53"/>
  <c r="I69" i="53"/>
  <c r="AA69" i="53" s="1"/>
  <c r="J69" i="53"/>
  <c r="K69" i="53"/>
  <c r="L69" i="53"/>
  <c r="M69" i="53"/>
  <c r="I70" i="53"/>
  <c r="J70" i="53"/>
  <c r="L70" i="53"/>
  <c r="M70" i="53"/>
  <c r="I60" i="53"/>
  <c r="J60" i="53"/>
  <c r="I61" i="53"/>
  <c r="J61" i="53"/>
  <c r="B55" i="53"/>
  <c r="B56" i="53"/>
  <c r="B50" i="53"/>
  <c r="B51" i="53"/>
  <c r="B52" i="53"/>
  <c r="A47" i="53"/>
  <c r="AH35" i="53"/>
  <c r="AH36" i="53"/>
  <c r="AH37" i="53"/>
  <c r="AH38" i="53"/>
  <c r="AH39" i="53"/>
  <c r="AL39" i="53"/>
  <c r="AH40" i="53"/>
  <c r="AH41" i="53"/>
  <c r="AH42" i="53"/>
  <c r="AL42" i="53"/>
  <c r="AH43" i="53"/>
  <c r="AH44" i="53"/>
  <c r="AI44" i="53"/>
  <c r="AK44" i="53"/>
  <c r="AH45" i="53"/>
  <c r="AH46" i="53"/>
  <c r="AH47" i="53"/>
  <c r="AH48" i="53"/>
  <c r="AH49" i="53"/>
  <c r="AK49" i="53"/>
  <c r="AH50" i="53"/>
  <c r="AH51" i="53"/>
  <c r="AH52" i="53"/>
  <c r="AH53" i="53"/>
  <c r="AK53" i="53"/>
  <c r="AL53" i="53"/>
  <c r="AH54" i="53"/>
  <c r="AL54" i="53"/>
  <c r="AH55" i="53"/>
  <c r="AH56" i="53"/>
  <c r="AH57" i="53"/>
  <c r="AK57" i="53"/>
  <c r="AH58" i="53"/>
  <c r="AL58" i="53"/>
  <c r="AE35" i="53"/>
  <c r="AE36" i="53"/>
  <c r="AE37" i="53"/>
  <c r="AE38" i="53"/>
  <c r="AE39" i="53"/>
  <c r="AE40" i="53"/>
  <c r="AE41" i="53"/>
  <c r="AE42" i="53"/>
  <c r="AE43" i="53"/>
  <c r="AE44" i="53"/>
  <c r="AE45" i="53"/>
  <c r="AE46" i="53"/>
  <c r="AE47" i="53"/>
  <c r="AE48" i="53"/>
  <c r="AE49" i="53"/>
  <c r="AE50" i="53"/>
  <c r="AE51" i="53"/>
  <c r="AE52" i="53"/>
  <c r="AE53" i="53"/>
  <c r="AE54" i="53"/>
  <c r="AE55" i="53"/>
  <c r="AE56" i="53"/>
  <c r="AE57" i="53"/>
  <c r="AE58" i="53"/>
  <c r="AA44" i="53"/>
  <c r="AF44" i="53" s="1"/>
  <c r="AA48" i="53"/>
  <c r="AF48" i="53" s="1"/>
  <c r="I35" i="53"/>
  <c r="K35" i="53" s="1"/>
  <c r="J35" i="53"/>
  <c r="L35" i="53"/>
  <c r="M35" i="53"/>
  <c r="N35" i="53"/>
  <c r="I36" i="53"/>
  <c r="AA36" i="53" s="1"/>
  <c r="AF36" i="53" s="1"/>
  <c r="J36" i="53"/>
  <c r="K36" i="53"/>
  <c r="L36" i="53"/>
  <c r="M36" i="53"/>
  <c r="N36" i="53"/>
  <c r="I37" i="53"/>
  <c r="AA37" i="53" s="1"/>
  <c r="J37" i="53"/>
  <c r="L37" i="53"/>
  <c r="M37" i="53"/>
  <c r="N37" i="53"/>
  <c r="I38" i="53"/>
  <c r="K38" i="53" s="1"/>
  <c r="J38" i="53"/>
  <c r="L38" i="53"/>
  <c r="M38" i="53"/>
  <c r="N38" i="53"/>
  <c r="I39" i="53"/>
  <c r="K39" i="53" s="1"/>
  <c r="J39" i="53"/>
  <c r="L39" i="53"/>
  <c r="M39" i="53"/>
  <c r="N39" i="53"/>
  <c r="I40" i="53"/>
  <c r="AA40" i="53" s="1"/>
  <c r="AF40" i="53" s="1"/>
  <c r="J40" i="53"/>
  <c r="K40" i="53"/>
  <c r="L40" i="53"/>
  <c r="M40" i="53"/>
  <c r="N40" i="53"/>
  <c r="I41" i="53"/>
  <c r="AA41" i="53" s="1"/>
  <c r="J41" i="53"/>
  <c r="L41" i="53"/>
  <c r="M41" i="53"/>
  <c r="N41" i="53"/>
  <c r="I42" i="53"/>
  <c r="K42" i="53" s="1"/>
  <c r="J42" i="53"/>
  <c r="L42" i="53"/>
  <c r="M42" i="53"/>
  <c r="N42" i="53"/>
  <c r="I43" i="53"/>
  <c r="K43" i="53" s="1"/>
  <c r="J43" i="53"/>
  <c r="L43" i="53"/>
  <c r="M43" i="53"/>
  <c r="N43" i="53"/>
  <c r="I44" i="53"/>
  <c r="K44" i="53" s="1"/>
  <c r="J44" i="53"/>
  <c r="L44" i="53"/>
  <c r="M44" i="53"/>
  <c r="N44" i="53"/>
  <c r="I45" i="53"/>
  <c r="AA45" i="53" s="1"/>
  <c r="AI45" i="53" s="1"/>
  <c r="J45" i="53"/>
  <c r="L45" i="53"/>
  <c r="M45" i="53"/>
  <c r="N45" i="53"/>
  <c r="I46" i="53"/>
  <c r="K46" i="53" s="1"/>
  <c r="J46" i="53"/>
  <c r="L46" i="53"/>
  <c r="M46" i="53"/>
  <c r="N46" i="53"/>
  <c r="I47" i="53"/>
  <c r="K47" i="53" s="1"/>
  <c r="J47" i="53"/>
  <c r="L47" i="53"/>
  <c r="M47" i="53"/>
  <c r="N47" i="53"/>
  <c r="I48" i="53"/>
  <c r="K48" i="53" s="1"/>
  <c r="J48" i="53"/>
  <c r="L48" i="53"/>
  <c r="M48" i="53"/>
  <c r="N48" i="53"/>
  <c r="I49" i="53"/>
  <c r="AA49" i="53" s="1"/>
  <c r="J49" i="53"/>
  <c r="L49" i="53"/>
  <c r="M49" i="53"/>
  <c r="N49" i="53"/>
  <c r="I50" i="53"/>
  <c r="K50" i="53" s="1"/>
  <c r="J50" i="53"/>
  <c r="L50" i="53"/>
  <c r="M50" i="53"/>
  <c r="N50" i="53"/>
  <c r="I51" i="53"/>
  <c r="J51" i="53"/>
  <c r="L51" i="53"/>
  <c r="M51" i="53"/>
  <c r="N51" i="53"/>
  <c r="I52" i="53"/>
  <c r="AA52" i="53" s="1"/>
  <c r="J52" i="53"/>
  <c r="K52" i="53"/>
  <c r="L52" i="53"/>
  <c r="M52" i="53"/>
  <c r="N52" i="53"/>
  <c r="I53" i="53"/>
  <c r="AA53" i="53" s="1"/>
  <c r="AI53" i="53" s="1"/>
  <c r="J53" i="53"/>
  <c r="L53" i="53"/>
  <c r="M53" i="53"/>
  <c r="N53" i="53"/>
  <c r="I54" i="53"/>
  <c r="K54" i="53" s="1"/>
  <c r="J54" i="53"/>
  <c r="L54" i="53"/>
  <c r="M54" i="53"/>
  <c r="N54" i="53"/>
  <c r="I55" i="53"/>
  <c r="K55" i="53" s="1"/>
  <c r="J55" i="53"/>
  <c r="L55" i="53"/>
  <c r="M55" i="53"/>
  <c r="N55" i="53"/>
  <c r="I56" i="53"/>
  <c r="AA56" i="53" s="1"/>
  <c r="AF56" i="53" s="1"/>
  <c r="J56" i="53"/>
  <c r="K56" i="53"/>
  <c r="L56" i="53"/>
  <c r="M56" i="53"/>
  <c r="N56" i="53"/>
  <c r="I57" i="53"/>
  <c r="AA57" i="53" s="1"/>
  <c r="AB57" i="53" s="1"/>
  <c r="AM57" i="53" s="1"/>
  <c r="J57" i="53"/>
  <c r="L57" i="53"/>
  <c r="M57" i="53"/>
  <c r="N57" i="53"/>
  <c r="I58" i="53"/>
  <c r="K58" i="53" s="1"/>
  <c r="J58" i="53"/>
  <c r="L58" i="53"/>
  <c r="M58" i="53"/>
  <c r="N58" i="53"/>
  <c r="N33" i="53"/>
  <c r="N34" i="53"/>
  <c r="I33" i="53"/>
  <c r="J33" i="53"/>
  <c r="I34" i="53"/>
  <c r="J34" i="53"/>
  <c r="AL32" i="53"/>
  <c r="AG32" i="53"/>
  <c r="AD32" i="53"/>
  <c r="AK32" i="53" s="1"/>
  <c r="O32" i="53"/>
  <c r="P32" i="53"/>
  <c r="Q32" i="53"/>
  <c r="R32" i="53"/>
  <c r="S32" i="53"/>
  <c r="T32" i="53"/>
  <c r="U32" i="53"/>
  <c r="V32" i="53"/>
  <c r="W32" i="53"/>
  <c r="X32" i="53"/>
  <c r="Y32" i="53"/>
  <c r="Z32" i="53"/>
  <c r="AJ32" i="53" s="1"/>
  <c r="AJ31" i="53"/>
  <c r="AK31" i="53"/>
  <c r="AM31" i="53" s="1"/>
  <c r="AL31" i="53"/>
  <c r="AN31" i="53" s="1"/>
  <c r="AG31" i="53"/>
  <c r="AD31" i="53"/>
  <c r="O31" i="53"/>
  <c r="P31" i="53"/>
  <c r="Q31" i="53"/>
  <c r="R31" i="53"/>
  <c r="S31" i="53"/>
  <c r="T31" i="53"/>
  <c r="U31" i="53"/>
  <c r="V31" i="53"/>
  <c r="W31" i="53"/>
  <c r="X31" i="53"/>
  <c r="Y31" i="53"/>
  <c r="Z31" i="53"/>
  <c r="AA31" i="53"/>
  <c r="N26" i="53"/>
  <c r="N27" i="53"/>
  <c r="N28" i="53"/>
  <c r="N29" i="53"/>
  <c r="B29" i="53"/>
  <c r="B22" i="53"/>
  <c r="B23" i="53"/>
  <c r="AG16" i="53"/>
  <c r="AG19" i="53"/>
  <c r="AG20" i="53"/>
  <c r="AL45" i="53" s="1"/>
  <c r="AD19" i="53"/>
  <c r="AD20" i="53"/>
  <c r="AK46" i="53" s="1"/>
  <c r="G19" i="53"/>
  <c r="G20" i="53"/>
  <c r="N19" i="53"/>
  <c r="O19" i="53"/>
  <c r="P19" i="53"/>
  <c r="Q19" i="53"/>
  <c r="R19" i="53"/>
  <c r="S19" i="53"/>
  <c r="T19" i="53"/>
  <c r="U19" i="53"/>
  <c r="V19" i="53"/>
  <c r="W19" i="53"/>
  <c r="X19" i="53"/>
  <c r="Y19" i="53"/>
  <c r="Z19" i="53"/>
  <c r="N20" i="53"/>
  <c r="O20" i="53"/>
  <c r="P20" i="53"/>
  <c r="Q20" i="53"/>
  <c r="R20" i="53"/>
  <c r="S20" i="53"/>
  <c r="T20" i="53"/>
  <c r="U20" i="53"/>
  <c r="V20" i="53"/>
  <c r="W20" i="53"/>
  <c r="X20" i="53"/>
  <c r="Y20" i="53"/>
  <c r="Z20" i="53"/>
  <c r="B17" i="53"/>
  <c r="B18" i="53"/>
  <c r="B19" i="53"/>
  <c r="O16" i="53"/>
  <c r="P16" i="53"/>
  <c r="Q16" i="53"/>
  <c r="R16" i="53"/>
  <c r="S16" i="53"/>
  <c r="T16" i="53"/>
  <c r="U16" i="53"/>
  <c r="V16" i="53"/>
  <c r="W16" i="53"/>
  <c r="X16" i="53"/>
  <c r="Y16" i="53"/>
  <c r="O17" i="53"/>
  <c r="P17" i="53"/>
  <c r="Q17" i="53"/>
  <c r="R17" i="53"/>
  <c r="S17" i="53"/>
  <c r="T17" i="53"/>
  <c r="U17" i="53"/>
  <c r="V17" i="53"/>
  <c r="W17" i="53"/>
  <c r="X17" i="53"/>
  <c r="Y17" i="53"/>
  <c r="Z17" i="53"/>
  <c r="AA17" i="53" s="1"/>
  <c r="AA11" i="53" s="1"/>
  <c r="A14" i="53"/>
  <c r="AG12" i="53"/>
  <c r="AG13" i="53"/>
  <c r="AD12" i="53"/>
  <c r="AD13" i="53"/>
  <c r="B12" i="53"/>
  <c r="B13" i="53"/>
  <c r="O11" i="53"/>
  <c r="P11" i="53"/>
  <c r="Q11" i="53"/>
  <c r="R11" i="53"/>
  <c r="S11" i="53"/>
  <c r="T11" i="53"/>
  <c r="U11" i="53"/>
  <c r="V11" i="53"/>
  <c r="W11" i="53"/>
  <c r="X11" i="53"/>
  <c r="Y11" i="53"/>
  <c r="Z11" i="53"/>
  <c r="O12" i="53"/>
  <c r="P12" i="53"/>
  <c r="Q12" i="53"/>
  <c r="R12" i="53"/>
  <c r="S12" i="53"/>
  <c r="T12" i="53"/>
  <c r="U12" i="53"/>
  <c r="V12" i="53"/>
  <c r="W12" i="53"/>
  <c r="X12" i="53"/>
  <c r="Y12" i="53"/>
  <c r="Z12" i="53"/>
  <c r="AA12" i="53"/>
  <c r="O13" i="53"/>
  <c r="P13" i="53"/>
  <c r="Q13" i="53"/>
  <c r="R13" i="53"/>
  <c r="S13" i="53"/>
  <c r="T13" i="53"/>
  <c r="U13" i="53"/>
  <c r="V13" i="53"/>
  <c r="W13" i="53"/>
  <c r="X13" i="53"/>
  <c r="Y13" i="53"/>
  <c r="Z13" i="53"/>
  <c r="AA13" i="53"/>
  <c r="C10" i="53"/>
  <c r="D10" i="53"/>
  <c r="C9" i="53"/>
  <c r="C1" i="53"/>
  <c r="C2" i="53"/>
  <c r="C3" i="53"/>
  <c r="C4" i="53"/>
  <c r="C5" i="53"/>
  <c r="C6" i="53"/>
  <c r="C7" i="53"/>
  <c r="C8" i="53"/>
  <c r="E6" i="53"/>
  <c r="B62" i="53" s="1"/>
  <c r="E4" i="53"/>
  <c r="F4" i="53"/>
  <c r="B3" i="53"/>
  <c r="H2" i="53"/>
  <c r="N1" i="53"/>
  <c r="N1" i="57" s="1"/>
  <c r="AG143" i="56"/>
  <c r="AG144" i="56"/>
  <c r="AG145" i="56"/>
  <c r="AG146" i="56"/>
  <c r="AD143" i="56"/>
  <c r="AD144" i="56"/>
  <c r="AD145" i="56"/>
  <c r="AD146" i="56"/>
  <c r="O143" i="56"/>
  <c r="P143" i="56"/>
  <c r="Q143" i="56"/>
  <c r="R143" i="56"/>
  <c r="S143" i="56"/>
  <c r="T143" i="56"/>
  <c r="U143" i="56"/>
  <c r="V143" i="56"/>
  <c r="W143" i="56"/>
  <c r="X143" i="56"/>
  <c r="Y143" i="56"/>
  <c r="Z143" i="56"/>
  <c r="O144" i="56"/>
  <c r="P144" i="56"/>
  <c r="Q144" i="56"/>
  <c r="R144" i="56"/>
  <c r="S144" i="56"/>
  <c r="T144" i="56"/>
  <c r="U144" i="56"/>
  <c r="V144" i="56"/>
  <c r="W144" i="56"/>
  <c r="X144" i="56"/>
  <c r="Y144" i="56"/>
  <c r="Z144" i="56"/>
  <c r="O145" i="56"/>
  <c r="P145" i="56"/>
  <c r="Q145" i="56"/>
  <c r="R145" i="56"/>
  <c r="S145" i="56"/>
  <c r="T145" i="56"/>
  <c r="U145" i="56"/>
  <c r="V145" i="56"/>
  <c r="W145" i="56"/>
  <c r="X145" i="56"/>
  <c r="Y145" i="56"/>
  <c r="Z145" i="56"/>
  <c r="O146" i="56"/>
  <c r="P146" i="56"/>
  <c r="Q146" i="56"/>
  <c r="R146" i="56"/>
  <c r="S146" i="56"/>
  <c r="T146" i="56"/>
  <c r="U146" i="56"/>
  <c r="V146" i="56"/>
  <c r="W146" i="56"/>
  <c r="X146" i="56"/>
  <c r="Y146" i="56"/>
  <c r="Z146" i="56"/>
  <c r="AA146" i="56"/>
  <c r="AI131" i="56"/>
  <c r="AI133" i="56"/>
  <c r="AI134" i="56"/>
  <c r="AI135" i="56"/>
  <c r="AI137" i="56"/>
  <c r="AI138" i="56"/>
  <c r="AI139" i="56"/>
  <c r="AG141" i="56"/>
  <c r="AD141" i="56"/>
  <c r="O141" i="56"/>
  <c r="P141" i="56"/>
  <c r="Q141" i="56"/>
  <c r="R141" i="56"/>
  <c r="S141" i="56"/>
  <c r="T141" i="56"/>
  <c r="U141" i="56"/>
  <c r="V141" i="56"/>
  <c r="W141" i="56"/>
  <c r="X141" i="56"/>
  <c r="Y141" i="56"/>
  <c r="Z141" i="56"/>
  <c r="AH140" i="56"/>
  <c r="AE140" i="56"/>
  <c r="AA140" i="56"/>
  <c r="AB140" i="56"/>
  <c r="AF130" i="56"/>
  <c r="AF131" i="56"/>
  <c r="AF133" i="56"/>
  <c r="AF135" i="56"/>
  <c r="AF136" i="56"/>
  <c r="AF137" i="56"/>
  <c r="AF139" i="56"/>
  <c r="AH138" i="56"/>
  <c r="AE138" i="56"/>
  <c r="AA138" i="56"/>
  <c r="AF138" i="56" s="1"/>
  <c r="AB138" i="56"/>
  <c r="AH136" i="56"/>
  <c r="AE136" i="56"/>
  <c r="AA136" i="56"/>
  <c r="AI136" i="56" s="1"/>
  <c r="AB136" i="56"/>
  <c r="AH134" i="56"/>
  <c r="AE134" i="56"/>
  <c r="AA134" i="56"/>
  <c r="AF134" i="56" s="1"/>
  <c r="AB134" i="56"/>
  <c r="AH132" i="56"/>
  <c r="AE132" i="56"/>
  <c r="AA132" i="56"/>
  <c r="AI132" i="56" s="1"/>
  <c r="AB132" i="56"/>
  <c r="AH130" i="56"/>
  <c r="AE130" i="56"/>
  <c r="AA130" i="56"/>
  <c r="AI130" i="56" s="1"/>
  <c r="AB130" i="56"/>
  <c r="L130" i="56"/>
  <c r="M130" i="56"/>
  <c r="N130" i="56"/>
  <c r="L131" i="56"/>
  <c r="M131" i="56"/>
  <c r="N131" i="56"/>
  <c r="L132" i="56"/>
  <c r="M132" i="56"/>
  <c r="N132" i="56"/>
  <c r="L133" i="56"/>
  <c r="M133" i="56"/>
  <c r="N133" i="56"/>
  <c r="L134" i="56"/>
  <c r="M134" i="56"/>
  <c r="N134" i="56"/>
  <c r="L135" i="56"/>
  <c r="M135" i="56"/>
  <c r="N135" i="56"/>
  <c r="L136" i="56"/>
  <c r="M136" i="56"/>
  <c r="N136" i="56"/>
  <c r="L137" i="56"/>
  <c r="M137" i="56"/>
  <c r="N137" i="56"/>
  <c r="L138" i="56"/>
  <c r="M138" i="56"/>
  <c r="N138" i="56"/>
  <c r="L139" i="56"/>
  <c r="M139" i="56"/>
  <c r="N139" i="56"/>
  <c r="L140" i="56"/>
  <c r="M140" i="56"/>
  <c r="N140" i="56"/>
  <c r="N129" i="56"/>
  <c r="AG121" i="56"/>
  <c r="AG122" i="56"/>
  <c r="AG123" i="56"/>
  <c r="AG124" i="56"/>
  <c r="AH124" i="56" s="1"/>
  <c r="AG125" i="56"/>
  <c r="AD121" i="56"/>
  <c r="AD122" i="56"/>
  <c r="AE122" i="56" s="1"/>
  <c r="AD123" i="56"/>
  <c r="AD124" i="56"/>
  <c r="AD125" i="56"/>
  <c r="AE125" i="56" s="1"/>
  <c r="AH121" i="56"/>
  <c r="AH122" i="56"/>
  <c r="AH123" i="56"/>
  <c r="AH125" i="56"/>
  <c r="AE123" i="56"/>
  <c r="AE124" i="56"/>
  <c r="L121" i="56"/>
  <c r="M121" i="56"/>
  <c r="N121" i="56"/>
  <c r="O121" i="56"/>
  <c r="O126" i="56" s="1"/>
  <c r="P121" i="56"/>
  <c r="Q121" i="56"/>
  <c r="R121" i="56"/>
  <c r="S121" i="56"/>
  <c r="T121" i="56"/>
  <c r="U121" i="56"/>
  <c r="V121" i="56"/>
  <c r="W121" i="56"/>
  <c r="W126" i="56" s="1"/>
  <c r="W127" i="56" s="1"/>
  <c r="X121" i="56"/>
  <c r="Y121" i="56"/>
  <c r="Z121" i="56"/>
  <c r="L122" i="56"/>
  <c r="M122" i="56"/>
  <c r="N122" i="56"/>
  <c r="O122" i="56"/>
  <c r="P122" i="56"/>
  <c r="Q122" i="56"/>
  <c r="R122" i="56"/>
  <c r="S122" i="56"/>
  <c r="T122" i="56"/>
  <c r="U122" i="56"/>
  <c r="V122" i="56"/>
  <c r="W122" i="56"/>
  <c r="X122" i="56"/>
  <c r="Y122" i="56"/>
  <c r="Z122" i="56"/>
  <c r="L123" i="56"/>
  <c r="M123" i="56"/>
  <c r="N123" i="56"/>
  <c r="O123" i="56"/>
  <c r="P123" i="56"/>
  <c r="Q123" i="56"/>
  <c r="R123" i="56"/>
  <c r="R126" i="56" s="1"/>
  <c r="R127" i="56" s="1"/>
  <c r="S123" i="56"/>
  <c r="T123" i="56"/>
  <c r="U123" i="56"/>
  <c r="V123" i="56"/>
  <c r="W123" i="56"/>
  <c r="X123" i="56"/>
  <c r="Y123" i="56"/>
  <c r="Z123" i="56"/>
  <c r="Z126" i="56" s="1"/>
  <c r="Z127" i="56" s="1"/>
  <c r="L124" i="56"/>
  <c r="M124" i="56"/>
  <c r="N124" i="56"/>
  <c r="O124" i="56"/>
  <c r="P124" i="56"/>
  <c r="Q124" i="56"/>
  <c r="R124" i="56"/>
  <c r="S124" i="56"/>
  <c r="T124" i="56"/>
  <c r="U124" i="56"/>
  <c r="V124" i="56"/>
  <c r="W124" i="56"/>
  <c r="X124" i="56"/>
  <c r="Y124" i="56"/>
  <c r="Z124" i="56"/>
  <c r="L125" i="56"/>
  <c r="M125" i="56"/>
  <c r="N125" i="56"/>
  <c r="O125" i="56"/>
  <c r="P125" i="56"/>
  <c r="Q125" i="56"/>
  <c r="R125" i="56"/>
  <c r="S125" i="56"/>
  <c r="T125" i="56"/>
  <c r="AA125" i="56" s="1"/>
  <c r="U125" i="56"/>
  <c r="V125" i="56"/>
  <c r="W125" i="56"/>
  <c r="X125" i="56"/>
  <c r="Y125" i="56"/>
  <c r="Z125" i="56"/>
  <c r="L126" i="56"/>
  <c r="M126" i="56"/>
  <c r="N126" i="56"/>
  <c r="AH114" i="56"/>
  <c r="AI114" i="56"/>
  <c r="AH115" i="56"/>
  <c r="AH116" i="56"/>
  <c r="AH117" i="56"/>
  <c r="AI117" i="56"/>
  <c r="AH118" i="56"/>
  <c r="AH119" i="56"/>
  <c r="AE114" i="56"/>
  <c r="AE115" i="56"/>
  <c r="AE116" i="56"/>
  <c r="AE117" i="56"/>
  <c r="AE118" i="56"/>
  <c r="AE119" i="56"/>
  <c r="AA114" i="56"/>
  <c r="AF114" i="56" s="1"/>
  <c r="AA115" i="56"/>
  <c r="AA116" i="56"/>
  <c r="AA117" i="56"/>
  <c r="AF117" i="56" s="1"/>
  <c r="AA118" i="56"/>
  <c r="AI118" i="56" s="1"/>
  <c r="AA119" i="56"/>
  <c r="L114" i="56"/>
  <c r="M114" i="56"/>
  <c r="N114" i="56"/>
  <c r="L115" i="56"/>
  <c r="M115" i="56"/>
  <c r="N115" i="56"/>
  <c r="L116" i="56"/>
  <c r="M116" i="56"/>
  <c r="N116" i="56"/>
  <c r="L117" i="56"/>
  <c r="M117" i="56"/>
  <c r="N117" i="56"/>
  <c r="L118" i="56"/>
  <c r="M118" i="56"/>
  <c r="N118" i="56"/>
  <c r="L119" i="56"/>
  <c r="M119" i="56"/>
  <c r="N119" i="56"/>
  <c r="AH106" i="56"/>
  <c r="AH107" i="56"/>
  <c r="AI107" i="56"/>
  <c r="AH108" i="56"/>
  <c r="AH109" i="56"/>
  <c r="AH110" i="56"/>
  <c r="AI110" i="56"/>
  <c r="AH111" i="56"/>
  <c r="AE106" i="56"/>
  <c r="AE107" i="56"/>
  <c r="AE108" i="56"/>
  <c r="AE109" i="56"/>
  <c r="AE110" i="56"/>
  <c r="AE111" i="56"/>
  <c r="AA106" i="56"/>
  <c r="AF106" i="56" s="1"/>
  <c r="AA107" i="56"/>
  <c r="AF107" i="56" s="1"/>
  <c r="AB107" i="56"/>
  <c r="AA108" i="56"/>
  <c r="AA109" i="56"/>
  <c r="AF109" i="56" s="1"/>
  <c r="AA110" i="56"/>
  <c r="AF110" i="56" s="1"/>
  <c r="AB110" i="56"/>
  <c r="AA111" i="56"/>
  <c r="AI111" i="56" s="1"/>
  <c r="L106" i="56"/>
  <c r="M106" i="56"/>
  <c r="N106" i="56"/>
  <c r="L107" i="56"/>
  <c r="M107" i="56"/>
  <c r="N107" i="56"/>
  <c r="L108" i="56"/>
  <c r="M108" i="56"/>
  <c r="N108" i="56"/>
  <c r="L109" i="56"/>
  <c r="M109" i="56"/>
  <c r="N109" i="56"/>
  <c r="L110" i="56"/>
  <c r="M110" i="56"/>
  <c r="N110" i="56"/>
  <c r="L111" i="56"/>
  <c r="M111" i="56"/>
  <c r="N111" i="56"/>
  <c r="AH98" i="56"/>
  <c r="AI98" i="56"/>
  <c r="AH99" i="56"/>
  <c r="AI99" i="56"/>
  <c r="AH100" i="56"/>
  <c r="AH101" i="56"/>
  <c r="AH102" i="56"/>
  <c r="AI102" i="56"/>
  <c r="AH103" i="56"/>
  <c r="AE98" i="56"/>
  <c r="AE99" i="56"/>
  <c r="AE100" i="56"/>
  <c r="AE101" i="56"/>
  <c r="AE102" i="56"/>
  <c r="AE103" i="56"/>
  <c r="AA98" i="56"/>
  <c r="AF98" i="56" s="1"/>
  <c r="AB98" i="56"/>
  <c r="AA99" i="56"/>
  <c r="AF99" i="56" s="1"/>
  <c r="AA100" i="56"/>
  <c r="AI100" i="56" s="1"/>
  <c r="AB100" i="56"/>
  <c r="AA101" i="56"/>
  <c r="AA102" i="56"/>
  <c r="AF102" i="56" s="1"/>
  <c r="AA103" i="56"/>
  <c r="AI103" i="56" s="1"/>
  <c r="L98" i="56"/>
  <c r="M98" i="56"/>
  <c r="N98" i="56"/>
  <c r="L99" i="56"/>
  <c r="M99" i="56"/>
  <c r="N99" i="56"/>
  <c r="L100" i="56"/>
  <c r="M100" i="56"/>
  <c r="N100" i="56"/>
  <c r="L101" i="56"/>
  <c r="M101" i="56"/>
  <c r="N101" i="56"/>
  <c r="L102" i="56"/>
  <c r="M102" i="56"/>
  <c r="N102" i="56"/>
  <c r="L103" i="56"/>
  <c r="M103" i="56"/>
  <c r="N103" i="56"/>
  <c r="AI91" i="56"/>
  <c r="AD93" i="56"/>
  <c r="AD94" i="56"/>
  <c r="AG93" i="56"/>
  <c r="AG94" i="56"/>
  <c r="O93" i="56"/>
  <c r="P93" i="56"/>
  <c r="Q93" i="56"/>
  <c r="R93" i="56"/>
  <c r="S93" i="56"/>
  <c r="T93" i="56"/>
  <c r="U93" i="56"/>
  <c r="V93" i="56"/>
  <c r="W93" i="56"/>
  <c r="X93" i="56"/>
  <c r="Y93" i="56"/>
  <c r="Z93" i="56"/>
  <c r="O94" i="56"/>
  <c r="P94" i="56"/>
  <c r="Q94" i="56"/>
  <c r="R94" i="56"/>
  <c r="S94" i="56"/>
  <c r="T94" i="56"/>
  <c r="U94" i="56"/>
  <c r="V94" i="56"/>
  <c r="W94" i="56"/>
  <c r="X94" i="56"/>
  <c r="Y94" i="56"/>
  <c r="Z94" i="56"/>
  <c r="AA91" i="56"/>
  <c r="AF91" i="56" s="1"/>
  <c r="AA92" i="56"/>
  <c r="AI92" i="56" s="1"/>
  <c r="N91" i="56"/>
  <c r="N92" i="56"/>
  <c r="I91" i="56"/>
  <c r="J91" i="56"/>
  <c r="I92" i="56"/>
  <c r="J92" i="56"/>
  <c r="AI86" i="56"/>
  <c r="AI87" i="56"/>
  <c r="AA35" i="56"/>
  <c r="AA36" i="56"/>
  <c r="AF36" i="56" s="1"/>
  <c r="AA37" i="56"/>
  <c r="AF37" i="56" s="1"/>
  <c r="AA38" i="56"/>
  <c r="AA39" i="56"/>
  <c r="AA40" i="56"/>
  <c r="AI40" i="56" s="1"/>
  <c r="AA41" i="56"/>
  <c r="AB41" i="56" s="1"/>
  <c r="AA45" i="56"/>
  <c r="AB45" i="56" s="1"/>
  <c r="AA46" i="56"/>
  <c r="AI46" i="56" s="1"/>
  <c r="AA47" i="56"/>
  <c r="AB47" i="56" s="1"/>
  <c r="AA48" i="56"/>
  <c r="AB48" i="56" s="1"/>
  <c r="AA49" i="56"/>
  <c r="AA50" i="56"/>
  <c r="AI50" i="56" s="1"/>
  <c r="AA51" i="56"/>
  <c r="AF51" i="56" s="1"/>
  <c r="AA55" i="56"/>
  <c r="AA56" i="56"/>
  <c r="AB56" i="56" s="1"/>
  <c r="AA57" i="56"/>
  <c r="AB57" i="56" s="1"/>
  <c r="AA58" i="56"/>
  <c r="AA59" i="56"/>
  <c r="AB59" i="56" s="1"/>
  <c r="AA60" i="56"/>
  <c r="AA61" i="56"/>
  <c r="AF61" i="56" s="1"/>
  <c r="AA65" i="56"/>
  <c r="AA66" i="56"/>
  <c r="AA67" i="56"/>
  <c r="AF67" i="56" s="1"/>
  <c r="AA68" i="56"/>
  <c r="AF68" i="56" s="1"/>
  <c r="AA69" i="56"/>
  <c r="AA70" i="56"/>
  <c r="AF70" i="56" s="1"/>
  <c r="AA71" i="56"/>
  <c r="AA75" i="56"/>
  <c r="AF75" i="56" s="1"/>
  <c r="AA76" i="56"/>
  <c r="AA77" i="56"/>
  <c r="AA78" i="56"/>
  <c r="AA79" i="56"/>
  <c r="AF79" i="56" s="1"/>
  <c r="AA80" i="56"/>
  <c r="AA82" i="56"/>
  <c r="AA83" i="56"/>
  <c r="AA85" i="56"/>
  <c r="AA88" i="56" s="1"/>
  <c r="AI88" i="56" s="1"/>
  <c r="AA86" i="56"/>
  <c r="AF86" i="56" s="1"/>
  <c r="AA87" i="56"/>
  <c r="N85" i="56"/>
  <c r="N143" i="56" s="1"/>
  <c r="N86" i="56"/>
  <c r="N87" i="56"/>
  <c r="N144" i="56" s="1"/>
  <c r="N88" i="56"/>
  <c r="N145" i="56" s="1"/>
  <c r="AH87" i="56"/>
  <c r="AE87" i="56"/>
  <c r="AB87" i="56"/>
  <c r="AH83" i="56"/>
  <c r="AH85" i="56"/>
  <c r="AE83" i="56"/>
  <c r="AE85" i="56"/>
  <c r="L85" i="56"/>
  <c r="M85" i="56"/>
  <c r="L86" i="56"/>
  <c r="M86" i="56"/>
  <c r="L87" i="56"/>
  <c r="M87" i="56"/>
  <c r="I85" i="56"/>
  <c r="J85" i="56"/>
  <c r="I86" i="56"/>
  <c r="J86" i="56"/>
  <c r="I87" i="56"/>
  <c r="J87" i="56"/>
  <c r="I88" i="56"/>
  <c r="J88" i="56"/>
  <c r="T84" i="56"/>
  <c r="W84" i="56"/>
  <c r="L83" i="56"/>
  <c r="M83" i="56"/>
  <c r="N83" i="56"/>
  <c r="I83" i="56"/>
  <c r="J83" i="56"/>
  <c r="AG82" i="56"/>
  <c r="AH84" i="56" s="1"/>
  <c r="AD82" i="56"/>
  <c r="AE84" i="56" s="1"/>
  <c r="O82" i="56"/>
  <c r="O84" i="56" s="1"/>
  <c r="P82" i="56"/>
  <c r="P84" i="56" s="1"/>
  <c r="Q82" i="56"/>
  <c r="Q84" i="56" s="1"/>
  <c r="R82" i="56"/>
  <c r="R84" i="56" s="1"/>
  <c r="S82" i="56"/>
  <c r="S84" i="56" s="1"/>
  <c r="T82" i="56"/>
  <c r="U82" i="56"/>
  <c r="U84" i="56" s="1"/>
  <c r="V82" i="56"/>
  <c r="V84" i="56" s="1"/>
  <c r="W82" i="56"/>
  <c r="X82" i="56"/>
  <c r="X84" i="56" s="1"/>
  <c r="Y82" i="56"/>
  <c r="Y84" i="56" s="1"/>
  <c r="Z82" i="56"/>
  <c r="Z84" i="56" s="1"/>
  <c r="AI75" i="56"/>
  <c r="AI76" i="56"/>
  <c r="AI77" i="56"/>
  <c r="AI78" i="56"/>
  <c r="AI79" i="56"/>
  <c r="AI80" i="56"/>
  <c r="AF76" i="56"/>
  <c r="AF78" i="56"/>
  <c r="AH75" i="56"/>
  <c r="AH76" i="56"/>
  <c r="AH77" i="56"/>
  <c r="AH78" i="56"/>
  <c r="AH79" i="56"/>
  <c r="AH80" i="56"/>
  <c r="AE74" i="56"/>
  <c r="AE75" i="56"/>
  <c r="AE76" i="56"/>
  <c r="AE77" i="56"/>
  <c r="AE78" i="56"/>
  <c r="AE79" i="56"/>
  <c r="AE80" i="56"/>
  <c r="AB76" i="56"/>
  <c r="AB78" i="56"/>
  <c r="L75" i="56"/>
  <c r="M75" i="56"/>
  <c r="N75" i="56"/>
  <c r="L76" i="56"/>
  <c r="M76" i="56"/>
  <c r="N76" i="56"/>
  <c r="L77" i="56"/>
  <c r="M77" i="56"/>
  <c r="N77" i="56"/>
  <c r="L78" i="56"/>
  <c r="M78" i="56"/>
  <c r="N78" i="56"/>
  <c r="L79" i="56"/>
  <c r="M79" i="56"/>
  <c r="N79" i="56"/>
  <c r="L80" i="56"/>
  <c r="M80" i="56"/>
  <c r="N80" i="56"/>
  <c r="L81" i="56"/>
  <c r="M81" i="56"/>
  <c r="N81" i="56"/>
  <c r="I75" i="56"/>
  <c r="J75" i="56"/>
  <c r="I76" i="56"/>
  <c r="J76" i="56"/>
  <c r="I77" i="56"/>
  <c r="J77" i="56"/>
  <c r="I78" i="56"/>
  <c r="J78" i="56"/>
  <c r="I79" i="56"/>
  <c r="J79" i="56"/>
  <c r="I80" i="56"/>
  <c r="J80" i="56"/>
  <c r="I81" i="56"/>
  <c r="J81" i="56"/>
  <c r="AG73" i="56"/>
  <c r="AH74" i="56" s="1"/>
  <c r="AD73" i="56"/>
  <c r="O73" i="56"/>
  <c r="O74" i="56" s="1"/>
  <c r="P73" i="56"/>
  <c r="P74" i="56" s="1"/>
  <c r="Q73" i="56"/>
  <c r="R73" i="56"/>
  <c r="R74" i="56" s="1"/>
  <c r="S73" i="56"/>
  <c r="S74" i="56" s="1"/>
  <c r="T73" i="56"/>
  <c r="T74" i="56" s="1"/>
  <c r="U73" i="56"/>
  <c r="V73" i="56"/>
  <c r="W73" i="56"/>
  <c r="W74" i="56" s="1"/>
  <c r="X73" i="56"/>
  <c r="X74" i="56" s="1"/>
  <c r="Y73" i="56"/>
  <c r="Z73" i="56"/>
  <c r="Z74" i="56" s="1"/>
  <c r="Q74" i="56"/>
  <c r="U74" i="56"/>
  <c r="V74" i="56"/>
  <c r="Y74" i="56"/>
  <c r="AI65" i="56"/>
  <c r="AI66" i="56"/>
  <c r="AI67" i="56"/>
  <c r="AI68" i="56"/>
  <c r="AI69" i="56"/>
  <c r="AI70" i="56"/>
  <c r="AF65" i="56"/>
  <c r="AF66" i="56"/>
  <c r="AH71" i="56"/>
  <c r="AE71" i="56"/>
  <c r="AB71" i="56"/>
  <c r="AH65" i="56"/>
  <c r="AH66" i="56"/>
  <c r="AH67" i="56"/>
  <c r="AH68" i="56"/>
  <c r="AH69" i="56"/>
  <c r="AE65" i="56"/>
  <c r="AE66" i="56"/>
  <c r="AE67" i="56"/>
  <c r="AE68" i="56"/>
  <c r="AE69" i="56"/>
  <c r="AB65" i="56"/>
  <c r="AB66" i="56"/>
  <c r="AB68" i="56"/>
  <c r="L65" i="56"/>
  <c r="M65" i="56"/>
  <c r="N65" i="56"/>
  <c r="L66" i="56"/>
  <c r="M66" i="56"/>
  <c r="N66" i="56"/>
  <c r="L67" i="56"/>
  <c r="M67" i="56"/>
  <c r="N67" i="56"/>
  <c r="L68" i="56"/>
  <c r="M68" i="56"/>
  <c r="N68" i="56"/>
  <c r="L69" i="56"/>
  <c r="M69" i="56"/>
  <c r="N69" i="56"/>
  <c r="L70" i="56"/>
  <c r="M70" i="56"/>
  <c r="N70" i="56"/>
  <c r="L71" i="56"/>
  <c r="M71" i="56"/>
  <c r="N71" i="56"/>
  <c r="L72" i="56"/>
  <c r="M72" i="56"/>
  <c r="N72" i="56"/>
  <c r="I65" i="56"/>
  <c r="J65" i="56"/>
  <c r="I66" i="56"/>
  <c r="J66" i="56"/>
  <c r="I67" i="56"/>
  <c r="J67" i="56"/>
  <c r="I68" i="56"/>
  <c r="J68" i="56"/>
  <c r="I69" i="56"/>
  <c r="J69" i="56"/>
  <c r="I70" i="56"/>
  <c r="J70" i="56"/>
  <c r="I71" i="56"/>
  <c r="J71" i="56"/>
  <c r="I72" i="56"/>
  <c r="J72" i="56"/>
  <c r="AG63" i="56"/>
  <c r="AH64" i="56" s="1"/>
  <c r="AD63" i="56"/>
  <c r="AE64" i="56" s="1"/>
  <c r="O63" i="56"/>
  <c r="O64" i="56" s="1"/>
  <c r="P63" i="56"/>
  <c r="P64" i="56" s="1"/>
  <c r="Q63" i="56"/>
  <c r="R63" i="56"/>
  <c r="S63" i="56"/>
  <c r="S64" i="56" s="1"/>
  <c r="T63" i="56"/>
  <c r="U63" i="56"/>
  <c r="U64" i="56" s="1"/>
  <c r="V63" i="56"/>
  <c r="V64" i="56" s="1"/>
  <c r="W63" i="56"/>
  <c r="W64" i="56" s="1"/>
  <c r="X63" i="56"/>
  <c r="X64" i="56" s="1"/>
  <c r="Y63" i="56"/>
  <c r="Z63" i="56"/>
  <c r="Z64" i="56" s="1"/>
  <c r="Q64" i="56"/>
  <c r="R64" i="56"/>
  <c r="T64" i="56"/>
  <c r="Y64" i="56"/>
  <c r="AI55" i="56"/>
  <c r="AI57" i="56"/>
  <c r="AI58" i="56"/>
  <c r="AI59" i="56"/>
  <c r="AF55" i="56"/>
  <c r="AF58" i="56"/>
  <c r="AF59" i="56"/>
  <c r="AH61" i="56"/>
  <c r="AE61" i="56"/>
  <c r="AH55" i="56"/>
  <c r="AH56" i="56"/>
  <c r="AH57" i="56"/>
  <c r="AH58" i="56"/>
  <c r="AH59" i="56"/>
  <c r="AE55" i="56"/>
  <c r="AE56" i="56"/>
  <c r="AE57" i="56"/>
  <c r="AE58" i="56"/>
  <c r="AE59" i="56"/>
  <c r="AB55" i="56"/>
  <c r="AB58" i="56"/>
  <c r="L55" i="56"/>
  <c r="M55" i="56"/>
  <c r="N55" i="56"/>
  <c r="L56" i="56"/>
  <c r="M56" i="56"/>
  <c r="N56" i="56"/>
  <c r="L57" i="56"/>
  <c r="M57" i="56"/>
  <c r="N57" i="56"/>
  <c r="L58" i="56"/>
  <c r="M58" i="56"/>
  <c r="N58" i="56"/>
  <c r="L59" i="56"/>
  <c r="M59" i="56"/>
  <c r="N59" i="56"/>
  <c r="L60" i="56"/>
  <c r="M60" i="56"/>
  <c r="N60" i="56"/>
  <c r="L61" i="56"/>
  <c r="M61" i="56"/>
  <c r="N61" i="56"/>
  <c r="L62" i="56"/>
  <c r="M62" i="56"/>
  <c r="N62" i="56"/>
  <c r="I55" i="56"/>
  <c r="J55" i="56"/>
  <c r="I56" i="56"/>
  <c r="J56" i="56"/>
  <c r="I57" i="56"/>
  <c r="J57" i="56"/>
  <c r="I58" i="56"/>
  <c r="J58" i="56"/>
  <c r="I59" i="56"/>
  <c r="J59" i="56"/>
  <c r="I60" i="56"/>
  <c r="J60" i="56"/>
  <c r="I61" i="56"/>
  <c r="J61" i="56"/>
  <c r="I62" i="56"/>
  <c r="J62" i="56"/>
  <c r="AG53" i="56"/>
  <c r="AH54" i="56" s="1"/>
  <c r="AD53" i="56"/>
  <c r="AE54" i="56" s="1"/>
  <c r="O53" i="56"/>
  <c r="O54" i="56" s="1"/>
  <c r="P53" i="56"/>
  <c r="P54" i="56" s="1"/>
  <c r="Q53" i="56"/>
  <c r="R53" i="56"/>
  <c r="R54" i="56" s="1"/>
  <c r="S53" i="56"/>
  <c r="S54" i="56" s="1"/>
  <c r="T53" i="56"/>
  <c r="T54" i="56" s="1"/>
  <c r="U53" i="56"/>
  <c r="U54" i="56" s="1"/>
  <c r="V53" i="56"/>
  <c r="W53" i="56"/>
  <c r="W54" i="56" s="1"/>
  <c r="X53" i="56"/>
  <c r="Y53" i="56"/>
  <c r="Z53" i="56"/>
  <c r="Z54" i="56" s="1"/>
  <c r="Q54" i="56"/>
  <c r="V54" i="56"/>
  <c r="X54" i="56"/>
  <c r="Y54" i="56"/>
  <c r="AI48" i="56"/>
  <c r="AF46" i="56"/>
  <c r="AF47" i="56"/>
  <c r="AF48" i="56"/>
  <c r="AH51" i="56"/>
  <c r="AE51" i="56"/>
  <c r="AH45" i="56"/>
  <c r="AH46" i="56"/>
  <c r="AH47" i="56"/>
  <c r="AH48" i="56"/>
  <c r="AH49" i="56"/>
  <c r="AE45" i="56"/>
  <c r="AE46" i="56"/>
  <c r="AE47" i="56"/>
  <c r="AE48" i="56"/>
  <c r="AE49" i="56"/>
  <c r="AB46" i="56"/>
  <c r="L45" i="56"/>
  <c r="M45" i="56"/>
  <c r="N45" i="56"/>
  <c r="L46" i="56"/>
  <c r="M46" i="56"/>
  <c r="N46" i="56"/>
  <c r="L47" i="56"/>
  <c r="M47" i="56"/>
  <c r="N47" i="56"/>
  <c r="L48" i="56"/>
  <c r="M48" i="56"/>
  <c r="N48" i="56"/>
  <c r="L49" i="56"/>
  <c r="M49" i="56"/>
  <c r="N49" i="56"/>
  <c r="L50" i="56"/>
  <c r="M50" i="56"/>
  <c r="N50" i="56"/>
  <c r="L51" i="56"/>
  <c r="M51" i="56"/>
  <c r="N51" i="56"/>
  <c r="L52" i="56"/>
  <c r="M52" i="56"/>
  <c r="N52" i="56"/>
  <c r="I45" i="56"/>
  <c r="J45" i="56"/>
  <c r="I46" i="56"/>
  <c r="J46" i="56"/>
  <c r="I47" i="56"/>
  <c r="J47" i="56"/>
  <c r="I48" i="56"/>
  <c r="J48" i="56"/>
  <c r="I49" i="56"/>
  <c r="J49" i="56"/>
  <c r="I50" i="56"/>
  <c r="J50" i="56"/>
  <c r="I51" i="56"/>
  <c r="J51" i="56"/>
  <c r="I52" i="56"/>
  <c r="J52" i="56"/>
  <c r="AG43" i="56"/>
  <c r="AH44" i="56" s="1"/>
  <c r="AD43" i="56"/>
  <c r="AE44" i="56" s="1"/>
  <c r="O43" i="56"/>
  <c r="O44" i="56" s="1"/>
  <c r="P43" i="56"/>
  <c r="P44" i="56" s="1"/>
  <c r="Q43" i="56"/>
  <c r="Q44" i="56" s="1"/>
  <c r="R43" i="56"/>
  <c r="S43" i="56"/>
  <c r="S44" i="56" s="1"/>
  <c r="T43" i="56"/>
  <c r="T44" i="56" s="1"/>
  <c r="U43" i="56"/>
  <c r="U44" i="56" s="1"/>
  <c r="V43" i="56"/>
  <c r="V44" i="56" s="1"/>
  <c r="W43" i="56"/>
  <c r="X43" i="56"/>
  <c r="X44" i="56" s="1"/>
  <c r="Y43" i="56"/>
  <c r="Z43" i="56"/>
  <c r="R44" i="56"/>
  <c r="W44" i="56"/>
  <c r="Y44" i="56"/>
  <c r="Z44" i="56"/>
  <c r="AI35" i="56"/>
  <c r="AI37" i="56"/>
  <c r="AI38" i="56"/>
  <c r="AF35" i="56"/>
  <c r="AF38" i="56"/>
  <c r="AH41" i="56"/>
  <c r="AE41" i="56"/>
  <c r="AH35" i="56"/>
  <c r="AH36" i="56"/>
  <c r="AH37" i="56"/>
  <c r="AH38" i="56"/>
  <c r="AH39" i="56"/>
  <c r="AE35" i="56"/>
  <c r="AE36" i="56"/>
  <c r="AE37" i="56"/>
  <c r="AE38" i="56"/>
  <c r="AE39" i="56"/>
  <c r="AB35" i="56"/>
  <c r="AB37" i="56"/>
  <c r="AB38" i="56"/>
  <c r="AB39" i="56"/>
  <c r="L35" i="56"/>
  <c r="M35" i="56"/>
  <c r="N35" i="56"/>
  <c r="L36" i="56"/>
  <c r="M36" i="56"/>
  <c r="N36" i="56"/>
  <c r="L37" i="56"/>
  <c r="M37" i="56"/>
  <c r="N37" i="56"/>
  <c r="L38" i="56"/>
  <c r="M38" i="56"/>
  <c r="N38" i="56"/>
  <c r="L39" i="56"/>
  <c r="M39" i="56"/>
  <c r="N39" i="56"/>
  <c r="L40" i="56"/>
  <c r="M40" i="56"/>
  <c r="N40" i="56"/>
  <c r="L41" i="56"/>
  <c r="M41" i="56"/>
  <c r="N41" i="56"/>
  <c r="L42" i="56"/>
  <c r="M42" i="56"/>
  <c r="N42" i="56"/>
  <c r="I35" i="56"/>
  <c r="J35" i="56"/>
  <c r="I36" i="56"/>
  <c r="J36" i="56"/>
  <c r="I37" i="56"/>
  <c r="J37" i="56"/>
  <c r="I38" i="56"/>
  <c r="J38" i="56"/>
  <c r="I39" i="56"/>
  <c r="J39" i="56"/>
  <c r="I40" i="56"/>
  <c r="J40" i="56"/>
  <c r="I41" i="56"/>
  <c r="J41" i="56"/>
  <c r="I42" i="56"/>
  <c r="J42" i="56"/>
  <c r="AG32" i="56"/>
  <c r="AD32" i="56"/>
  <c r="O32" i="56"/>
  <c r="P32" i="56"/>
  <c r="Q32" i="56"/>
  <c r="R32" i="56"/>
  <c r="S32" i="56"/>
  <c r="T32" i="56"/>
  <c r="U32" i="56"/>
  <c r="V32" i="56"/>
  <c r="W32" i="56"/>
  <c r="X32" i="56"/>
  <c r="Y32" i="56"/>
  <c r="Z32" i="56"/>
  <c r="AG31" i="56"/>
  <c r="AD31" i="56"/>
  <c r="O31" i="56"/>
  <c r="P31" i="56"/>
  <c r="Q31" i="56"/>
  <c r="R31" i="56"/>
  <c r="S31" i="56"/>
  <c r="T31" i="56"/>
  <c r="U31" i="56"/>
  <c r="V31" i="56"/>
  <c r="W31" i="56"/>
  <c r="X31" i="56"/>
  <c r="Y31" i="56"/>
  <c r="Z31" i="56"/>
  <c r="AA31" i="56"/>
  <c r="N26" i="56"/>
  <c r="N27" i="56"/>
  <c r="N28" i="56"/>
  <c r="N29" i="56"/>
  <c r="B23" i="56"/>
  <c r="AG16" i="56"/>
  <c r="AG19" i="56"/>
  <c r="AG20" i="56"/>
  <c r="AD19" i="56"/>
  <c r="AD20" i="56"/>
  <c r="G19" i="56"/>
  <c r="G20" i="56"/>
  <c r="N19" i="56"/>
  <c r="O19" i="56"/>
  <c r="P19" i="56"/>
  <c r="Q19" i="56"/>
  <c r="R19" i="56"/>
  <c r="S19" i="56"/>
  <c r="T19" i="56"/>
  <c r="U19" i="56"/>
  <c r="V19" i="56"/>
  <c r="W19" i="56"/>
  <c r="X19" i="56"/>
  <c r="Y19" i="56"/>
  <c r="Z19" i="56"/>
  <c r="N20" i="56"/>
  <c r="O20" i="56"/>
  <c r="P20" i="56"/>
  <c r="Q20" i="56"/>
  <c r="R20" i="56"/>
  <c r="S20" i="56"/>
  <c r="T20" i="56"/>
  <c r="U20" i="56"/>
  <c r="V20" i="56"/>
  <c r="W20" i="56"/>
  <c r="X20" i="56"/>
  <c r="Y20" i="56"/>
  <c r="Z20" i="56"/>
  <c r="B17" i="56"/>
  <c r="B18" i="56"/>
  <c r="B19" i="56"/>
  <c r="O16" i="56"/>
  <c r="P16" i="56"/>
  <c r="Q16" i="56"/>
  <c r="R16" i="56"/>
  <c r="S16" i="56"/>
  <c r="T16" i="56"/>
  <c r="U16" i="56"/>
  <c r="V16" i="56"/>
  <c r="W16" i="56"/>
  <c r="X16" i="56"/>
  <c r="Y16" i="56"/>
  <c r="O17" i="56"/>
  <c r="P17" i="56"/>
  <c r="Q17" i="56"/>
  <c r="R17" i="56"/>
  <c r="S17" i="56"/>
  <c r="T17" i="56"/>
  <c r="U17" i="56"/>
  <c r="V17" i="56"/>
  <c r="W17" i="56"/>
  <c r="X17" i="56"/>
  <c r="Y17" i="56"/>
  <c r="Z17" i="56"/>
  <c r="AA17" i="56" s="1"/>
  <c r="AA11" i="56" s="1"/>
  <c r="AA18" i="56" s="1"/>
  <c r="A14" i="56"/>
  <c r="AG12" i="56"/>
  <c r="AG13" i="56"/>
  <c r="AD12" i="56"/>
  <c r="AD13" i="56"/>
  <c r="B12" i="56"/>
  <c r="B13" i="56"/>
  <c r="O11" i="56"/>
  <c r="P11" i="56"/>
  <c r="Q11" i="56"/>
  <c r="R11" i="56"/>
  <c r="S11" i="56"/>
  <c r="T11" i="56"/>
  <c r="U11" i="56"/>
  <c r="V11" i="56"/>
  <c r="W11" i="56"/>
  <c r="X11" i="56"/>
  <c r="Y11" i="56"/>
  <c r="Z11" i="56"/>
  <c r="O12" i="56"/>
  <c r="P12" i="56"/>
  <c r="Q12" i="56"/>
  <c r="R12" i="56"/>
  <c r="S12" i="56"/>
  <c r="T12" i="56"/>
  <c r="U12" i="56"/>
  <c r="V12" i="56"/>
  <c r="W12" i="56"/>
  <c r="X12" i="56"/>
  <c r="Y12" i="56"/>
  <c r="Z12" i="56"/>
  <c r="AA12" i="56"/>
  <c r="O13" i="56"/>
  <c r="P13" i="56"/>
  <c r="Q13" i="56"/>
  <c r="R13" i="56"/>
  <c r="S13" i="56"/>
  <c r="T13" i="56"/>
  <c r="U13" i="56"/>
  <c r="V13" i="56"/>
  <c r="W13" i="56"/>
  <c r="X13" i="56"/>
  <c r="Y13" i="56"/>
  <c r="Z13" i="56"/>
  <c r="AA13" i="56"/>
  <c r="C10" i="56"/>
  <c r="D10" i="56"/>
  <c r="Z16" i="56" s="1"/>
  <c r="C9" i="56"/>
  <c r="C1" i="56"/>
  <c r="C2" i="56"/>
  <c r="C3" i="56"/>
  <c r="C4" i="56"/>
  <c r="C5" i="56"/>
  <c r="C6" i="56"/>
  <c r="C7" i="56"/>
  <c r="C8" i="56"/>
  <c r="E6" i="56"/>
  <c r="E4" i="56"/>
  <c r="F4" i="56"/>
  <c r="B3" i="56"/>
  <c r="B120" i="52"/>
  <c r="B114" i="52"/>
  <c r="B115" i="52"/>
  <c r="B116" i="52"/>
  <c r="A111" i="52"/>
  <c r="AG90" i="52"/>
  <c r="AD90" i="52"/>
  <c r="O90" i="52"/>
  <c r="P90" i="52"/>
  <c r="Q90" i="52"/>
  <c r="R90" i="52"/>
  <c r="S90" i="52"/>
  <c r="T90" i="52"/>
  <c r="U90" i="52"/>
  <c r="V90" i="52"/>
  <c r="W90" i="52"/>
  <c r="X90" i="52"/>
  <c r="Y90" i="52"/>
  <c r="Z90" i="52"/>
  <c r="V91" i="52"/>
  <c r="B88" i="52"/>
  <c r="B89" i="52"/>
  <c r="N87" i="52"/>
  <c r="N90" i="52" s="1"/>
  <c r="N88" i="52"/>
  <c r="N91" i="52" s="1"/>
  <c r="AH87" i="52"/>
  <c r="AH88" i="52"/>
  <c r="AE87" i="52"/>
  <c r="AE88" i="52"/>
  <c r="I87" i="52"/>
  <c r="AA87" i="52" s="1"/>
  <c r="J87" i="52"/>
  <c r="I88" i="52"/>
  <c r="AA88" i="52" s="1"/>
  <c r="J88" i="52"/>
  <c r="N82" i="52"/>
  <c r="N83" i="52"/>
  <c r="N84" i="52"/>
  <c r="N85" i="52"/>
  <c r="I85" i="52"/>
  <c r="AA85" i="52" s="1"/>
  <c r="J85" i="52"/>
  <c r="B83" i="52"/>
  <c r="B84" i="52"/>
  <c r="B85" i="52"/>
  <c r="AH83" i="52"/>
  <c r="AK83" i="52"/>
  <c r="AH84" i="52"/>
  <c r="AH85" i="52"/>
  <c r="AE83" i="52"/>
  <c r="AF83" i="52"/>
  <c r="AE84" i="52"/>
  <c r="AE85" i="52"/>
  <c r="AA83" i="52"/>
  <c r="AI83" i="52" s="1"/>
  <c r="I83" i="52"/>
  <c r="J83" i="52"/>
  <c r="K83" i="52"/>
  <c r="L83" i="52"/>
  <c r="M83" i="52"/>
  <c r="I84" i="52"/>
  <c r="K84" i="52" s="1"/>
  <c r="J84" i="52"/>
  <c r="L84" i="52"/>
  <c r="M84" i="52"/>
  <c r="I82" i="52"/>
  <c r="J82" i="52"/>
  <c r="A80" i="52"/>
  <c r="AH76" i="52"/>
  <c r="AH77" i="52"/>
  <c r="AH78" i="52"/>
  <c r="AH79" i="52"/>
  <c r="AK79" i="52"/>
  <c r="AH80" i="52"/>
  <c r="AE76" i="52"/>
  <c r="AE77" i="52"/>
  <c r="AE78" i="52"/>
  <c r="AF78" i="52"/>
  <c r="AE79" i="52"/>
  <c r="AE80" i="52"/>
  <c r="AA78" i="52"/>
  <c r="AI78" i="52" s="1"/>
  <c r="AA80" i="52"/>
  <c r="AF80" i="52" s="1"/>
  <c r="I76" i="52"/>
  <c r="J76" i="52"/>
  <c r="L76" i="52"/>
  <c r="M76" i="52"/>
  <c r="N76" i="52"/>
  <c r="I77" i="52"/>
  <c r="AA77" i="52" s="1"/>
  <c r="J77" i="52"/>
  <c r="L77" i="52"/>
  <c r="M77" i="52"/>
  <c r="N77" i="52"/>
  <c r="I78" i="52"/>
  <c r="J78" i="52"/>
  <c r="K78" i="52"/>
  <c r="L78" i="52"/>
  <c r="M78" i="52"/>
  <c r="N78" i="52"/>
  <c r="I79" i="52"/>
  <c r="AA79" i="52" s="1"/>
  <c r="J79" i="52"/>
  <c r="L79" i="52"/>
  <c r="M79" i="52"/>
  <c r="N79" i="52"/>
  <c r="I80" i="52"/>
  <c r="J80" i="52"/>
  <c r="K80" i="52"/>
  <c r="L80" i="52"/>
  <c r="M80" i="52"/>
  <c r="N80" i="52"/>
  <c r="N74" i="52"/>
  <c r="N75" i="52"/>
  <c r="I74" i="52"/>
  <c r="J74" i="52"/>
  <c r="I75" i="52"/>
  <c r="J75" i="52"/>
  <c r="AD72" i="52"/>
  <c r="AD91" i="52" s="1"/>
  <c r="AG72" i="52"/>
  <c r="AG91" i="52" s="1"/>
  <c r="N72" i="52"/>
  <c r="O72" i="52"/>
  <c r="O91" i="52" s="1"/>
  <c r="P72" i="52"/>
  <c r="P91" i="52" s="1"/>
  <c r="Q72" i="52"/>
  <c r="Q91" i="52" s="1"/>
  <c r="R72" i="52"/>
  <c r="R91" i="52" s="1"/>
  <c r="S72" i="52"/>
  <c r="S91" i="52" s="1"/>
  <c r="T72" i="52"/>
  <c r="T91" i="52" s="1"/>
  <c r="U72" i="52"/>
  <c r="U91" i="52" s="1"/>
  <c r="V72" i="52"/>
  <c r="W72" i="52"/>
  <c r="W91" i="52" s="1"/>
  <c r="X72" i="52"/>
  <c r="X91" i="52" s="1"/>
  <c r="Y72" i="52"/>
  <c r="Y91" i="52" s="1"/>
  <c r="Z72" i="52"/>
  <c r="Z91" i="52" s="1"/>
  <c r="AH71" i="52"/>
  <c r="AI71" i="52"/>
  <c r="AB62" i="52"/>
  <c r="AB63" i="52"/>
  <c r="AN63" i="52" s="1"/>
  <c r="AB64" i="52"/>
  <c r="AB65" i="52"/>
  <c r="AM65" i="52" s="1"/>
  <c r="AB66" i="52"/>
  <c r="AB67" i="52"/>
  <c r="AN67" i="52" s="1"/>
  <c r="AB68" i="52"/>
  <c r="AB69" i="52"/>
  <c r="AM69" i="52" s="1"/>
  <c r="AB70" i="52"/>
  <c r="AB71" i="52"/>
  <c r="N60" i="52"/>
  <c r="N61" i="52"/>
  <c r="N62" i="52"/>
  <c r="N63" i="52"/>
  <c r="N64" i="52"/>
  <c r="N65" i="52"/>
  <c r="N66" i="52"/>
  <c r="N67" i="52"/>
  <c r="N68" i="52"/>
  <c r="N69" i="52"/>
  <c r="N70" i="52"/>
  <c r="N71" i="52"/>
  <c r="I71" i="52"/>
  <c r="K71" i="52" s="1"/>
  <c r="J71" i="52"/>
  <c r="I72" i="52"/>
  <c r="K72" i="52" s="1"/>
  <c r="J72" i="52"/>
  <c r="AA64" i="52"/>
  <c r="AI64" i="52" s="1"/>
  <c r="AA66" i="52"/>
  <c r="AH62" i="52"/>
  <c r="AN62" i="52" s="1"/>
  <c r="AM62" i="52"/>
  <c r="AH63" i="52"/>
  <c r="AH64" i="52"/>
  <c r="AH65" i="52"/>
  <c r="AK65" i="52"/>
  <c r="AH66" i="52"/>
  <c r="AH67" i="52"/>
  <c r="AH68" i="52"/>
  <c r="AH69" i="52"/>
  <c r="AN69" i="52" s="1"/>
  <c r="AK69" i="52"/>
  <c r="AH70" i="52"/>
  <c r="AE62" i="52"/>
  <c r="AE63" i="52"/>
  <c r="AM63" i="52" s="1"/>
  <c r="AE64" i="52"/>
  <c r="AE65" i="52"/>
  <c r="AE66" i="52"/>
  <c r="AE67" i="52"/>
  <c r="AE68" i="52"/>
  <c r="AE69" i="52"/>
  <c r="AE70" i="52"/>
  <c r="AM70" i="52" s="1"/>
  <c r="AE71" i="52"/>
  <c r="AF71" i="52"/>
  <c r="I62" i="52"/>
  <c r="AA62" i="52" s="1"/>
  <c r="J62" i="52"/>
  <c r="K62" i="52"/>
  <c r="L62" i="52"/>
  <c r="M62" i="52"/>
  <c r="I63" i="52"/>
  <c r="AA63" i="52" s="1"/>
  <c r="J63" i="52"/>
  <c r="L63" i="52"/>
  <c r="M63" i="52"/>
  <c r="I64" i="52"/>
  <c r="K64" i="52" s="1"/>
  <c r="J64" i="52"/>
  <c r="L64" i="52"/>
  <c r="M64" i="52"/>
  <c r="I65" i="52"/>
  <c r="J65" i="52"/>
  <c r="L65" i="52"/>
  <c r="M65" i="52"/>
  <c r="I66" i="52"/>
  <c r="J66" i="52"/>
  <c r="K66" i="52"/>
  <c r="L66" i="52"/>
  <c r="M66" i="52"/>
  <c r="I67" i="52"/>
  <c r="K67" i="52" s="1"/>
  <c r="J67" i="52"/>
  <c r="L67" i="52"/>
  <c r="M67" i="52"/>
  <c r="I68" i="52"/>
  <c r="K68" i="52" s="1"/>
  <c r="J68" i="52"/>
  <c r="L68" i="52"/>
  <c r="M68" i="52"/>
  <c r="I69" i="52"/>
  <c r="AA69" i="52" s="1"/>
  <c r="J69" i="52"/>
  <c r="K69" i="52"/>
  <c r="L69" i="52"/>
  <c r="M69" i="52"/>
  <c r="I70" i="52"/>
  <c r="AA70" i="52" s="1"/>
  <c r="J70" i="52"/>
  <c r="K70" i="52"/>
  <c r="L70" i="52"/>
  <c r="M70" i="52"/>
  <c r="I60" i="52"/>
  <c r="J60" i="52"/>
  <c r="I61" i="52"/>
  <c r="J61" i="52"/>
  <c r="B55" i="52"/>
  <c r="B56" i="52"/>
  <c r="B50" i="52"/>
  <c r="B51" i="52"/>
  <c r="B52" i="52"/>
  <c r="A47" i="52"/>
  <c r="AH35" i="52"/>
  <c r="AH36" i="52"/>
  <c r="AH37" i="52"/>
  <c r="AK37" i="52"/>
  <c r="AH38" i="52"/>
  <c r="AH39" i="52"/>
  <c r="AH40" i="52"/>
  <c r="AK40" i="52"/>
  <c r="AH41" i="52"/>
  <c r="AK41" i="52"/>
  <c r="AH42" i="52"/>
  <c r="AH43" i="52"/>
  <c r="AH44" i="52"/>
  <c r="AH45" i="52"/>
  <c r="AH46" i="52"/>
  <c r="AL46" i="52"/>
  <c r="AH47" i="52"/>
  <c r="AH48" i="52"/>
  <c r="AH49" i="52"/>
  <c r="AK49" i="52"/>
  <c r="AH50" i="52"/>
  <c r="AH51" i="52"/>
  <c r="AH52" i="52"/>
  <c r="AH53" i="52"/>
  <c r="AK53" i="52"/>
  <c r="AH54" i="52"/>
  <c r="AH55" i="52"/>
  <c r="AH56" i="52"/>
  <c r="AK56" i="52"/>
  <c r="AH57" i="52"/>
  <c r="AK57" i="52"/>
  <c r="AH58" i="52"/>
  <c r="AE35" i="52"/>
  <c r="AE36" i="52"/>
  <c r="AE37" i="52"/>
  <c r="AE38" i="52"/>
  <c r="AE39" i="52"/>
  <c r="AE40" i="52"/>
  <c r="AE41" i="52"/>
  <c r="AE42" i="52"/>
  <c r="AE43" i="52"/>
  <c r="AE44" i="52"/>
  <c r="AE45" i="52"/>
  <c r="AE46" i="52"/>
  <c r="AE47" i="52"/>
  <c r="AE48" i="52"/>
  <c r="AE49" i="52"/>
  <c r="AE50" i="52"/>
  <c r="AE51" i="52"/>
  <c r="AE52" i="52"/>
  <c r="AE53" i="52"/>
  <c r="AE54" i="52"/>
  <c r="AE55" i="52"/>
  <c r="AE56" i="52"/>
  <c r="AE57" i="52"/>
  <c r="AE58" i="52"/>
  <c r="AA46" i="52"/>
  <c r="AI46" i="52" s="1"/>
  <c r="AA54" i="52"/>
  <c r="AI54" i="52" s="1"/>
  <c r="I35" i="52"/>
  <c r="J35" i="52"/>
  <c r="L35" i="52"/>
  <c r="M35" i="52"/>
  <c r="N35" i="52"/>
  <c r="I36" i="52"/>
  <c r="K36" i="52" s="1"/>
  <c r="J36" i="52"/>
  <c r="L36" i="52"/>
  <c r="M36" i="52"/>
  <c r="N36" i="52"/>
  <c r="I37" i="52"/>
  <c r="AA37" i="52" s="1"/>
  <c r="J37" i="52"/>
  <c r="L37" i="52"/>
  <c r="M37" i="52"/>
  <c r="N37" i="52"/>
  <c r="I38" i="52"/>
  <c r="K38" i="52" s="1"/>
  <c r="J38" i="52"/>
  <c r="L38" i="52"/>
  <c r="M38" i="52"/>
  <c r="N38" i="52"/>
  <c r="I39" i="52"/>
  <c r="AA39" i="52" s="1"/>
  <c r="J39" i="52"/>
  <c r="K39" i="52"/>
  <c r="L39" i="52"/>
  <c r="M39" i="52"/>
  <c r="N39" i="52"/>
  <c r="I40" i="52"/>
  <c r="K40" i="52" s="1"/>
  <c r="J40" i="52"/>
  <c r="L40" i="52"/>
  <c r="M40" i="52"/>
  <c r="N40" i="52"/>
  <c r="I41" i="52"/>
  <c r="AA41" i="52" s="1"/>
  <c r="J41" i="52"/>
  <c r="K41" i="52"/>
  <c r="L41" i="52"/>
  <c r="M41" i="52"/>
  <c r="N41" i="52"/>
  <c r="I42" i="52"/>
  <c r="J42" i="52"/>
  <c r="L42" i="52"/>
  <c r="M42" i="52"/>
  <c r="N42" i="52"/>
  <c r="I43" i="52"/>
  <c r="AA43" i="52" s="1"/>
  <c r="J43" i="52"/>
  <c r="K43" i="52"/>
  <c r="L43" i="52"/>
  <c r="M43" i="52"/>
  <c r="N43" i="52"/>
  <c r="I44" i="52"/>
  <c r="K44" i="52" s="1"/>
  <c r="J44" i="52"/>
  <c r="L44" i="52"/>
  <c r="M44" i="52"/>
  <c r="N44" i="52"/>
  <c r="I45" i="52"/>
  <c r="J45" i="52"/>
  <c r="L45" i="52"/>
  <c r="M45" i="52"/>
  <c r="N45" i="52"/>
  <c r="I46" i="52"/>
  <c r="K46" i="52" s="1"/>
  <c r="J46" i="52"/>
  <c r="L46" i="52"/>
  <c r="M46" i="52"/>
  <c r="N46" i="52"/>
  <c r="I47" i="52"/>
  <c r="AA47" i="52" s="1"/>
  <c r="J47" i="52"/>
  <c r="K47" i="52"/>
  <c r="L47" i="52"/>
  <c r="M47" i="52"/>
  <c r="N47" i="52"/>
  <c r="I48" i="52"/>
  <c r="K48" i="52" s="1"/>
  <c r="J48" i="52"/>
  <c r="L48" i="52"/>
  <c r="M48" i="52"/>
  <c r="N48" i="52"/>
  <c r="I49" i="52"/>
  <c r="AA49" i="52" s="1"/>
  <c r="J49" i="52"/>
  <c r="K49" i="52"/>
  <c r="L49" i="52"/>
  <c r="M49" i="52"/>
  <c r="N49" i="52"/>
  <c r="I50" i="52"/>
  <c r="K50" i="52" s="1"/>
  <c r="J50" i="52"/>
  <c r="L50" i="52"/>
  <c r="M50" i="52"/>
  <c r="N50" i="52"/>
  <c r="I51" i="52"/>
  <c r="J51" i="52"/>
  <c r="L51" i="52"/>
  <c r="M51" i="52"/>
  <c r="N51" i="52"/>
  <c r="I52" i="52"/>
  <c r="K52" i="52" s="1"/>
  <c r="J52" i="52"/>
  <c r="L52" i="52"/>
  <c r="M52" i="52"/>
  <c r="N52" i="52"/>
  <c r="I53" i="52"/>
  <c r="AA53" i="52" s="1"/>
  <c r="J53" i="52"/>
  <c r="L53" i="52"/>
  <c r="M53" i="52"/>
  <c r="N53" i="52"/>
  <c r="I54" i="52"/>
  <c r="K54" i="52" s="1"/>
  <c r="J54" i="52"/>
  <c r="L54" i="52"/>
  <c r="M54" i="52"/>
  <c r="N54" i="52"/>
  <c r="I55" i="52"/>
  <c r="AA55" i="52" s="1"/>
  <c r="J55" i="52"/>
  <c r="L55" i="52"/>
  <c r="M55" i="52"/>
  <c r="N55" i="52"/>
  <c r="I56" i="52"/>
  <c r="K56" i="52" s="1"/>
  <c r="J56" i="52"/>
  <c r="L56" i="52"/>
  <c r="M56" i="52"/>
  <c r="N56" i="52"/>
  <c r="I57" i="52"/>
  <c r="AA57" i="52" s="1"/>
  <c r="J57" i="52"/>
  <c r="K57" i="52"/>
  <c r="L57" i="52"/>
  <c r="M57" i="52"/>
  <c r="N57" i="52"/>
  <c r="I58" i="52"/>
  <c r="K58" i="52" s="1"/>
  <c r="J58" i="52"/>
  <c r="L58" i="52"/>
  <c r="M58" i="52"/>
  <c r="N58" i="52"/>
  <c r="N33" i="52"/>
  <c r="N34" i="52"/>
  <c r="I33" i="52"/>
  <c r="J33" i="52"/>
  <c r="I34" i="52"/>
  <c r="J34" i="52"/>
  <c r="AG32" i="52"/>
  <c r="AL32" i="52" s="1"/>
  <c r="AD32" i="52"/>
  <c r="AK32" i="52" s="1"/>
  <c r="O32" i="52"/>
  <c r="P32" i="52"/>
  <c r="Q32" i="52"/>
  <c r="R32" i="52"/>
  <c r="S32" i="52"/>
  <c r="T32" i="52"/>
  <c r="U32" i="52"/>
  <c r="V32" i="52"/>
  <c r="W32" i="52"/>
  <c r="X32" i="52"/>
  <c r="Y32" i="52"/>
  <c r="Z32" i="52"/>
  <c r="AJ32" i="52" s="1"/>
  <c r="AJ31" i="52"/>
  <c r="AK31" i="52"/>
  <c r="AL31" i="52"/>
  <c r="AN31" i="52" s="1"/>
  <c r="AM31" i="52"/>
  <c r="AG31" i="52"/>
  <c r="AD31" i="52"/>
  <c r="O31" i="52"/>
  <c r="P31" i="52"/>
  <c r="Q31" i="52"/>
  <c r="R31" i="52"/>
  <c r="S31" i="52"/>
  <c r="T31" i="52"/>
  <c r="U31" i="52"/>
  <c r="V31" i="52"/>
  <c r="W31" i="52"/>
  <c r="X31" i="52"/>
  <c r="Y31" i="52"/>
  <c r="Z31" i="52"/>
  <c r="AA31" i="52"/>
  <c r="N26" i="52"/>
  <c r="N27" i="52"/>
  <c r="N28" i="52"/>
  <c r="N29" i="52"/>
  <c r="B22" i="52"/>
  <c r="B23" i="52"/>
  <c r="AG16" i="52"/>
  <c r="AG19" i="52"/>
  <c r="AG20" i="52"/>
  <c r="AL88" i="52" s="1"/>
  <c r="AD19" i="52"/>
  <c r="AD20" i="52"/>
  <c r="AK87" i="52" s="1"/>
  <c r="G19" i="52"/>
  <c r="G20" i="52"/>
  <c r="N19" i="52"/>
  <c r="O19" i="52"/>
  <c r="P19" i="52"/>
  <c r="Q19" i="52"/>
  <c r="R19" i="52"/>
  <c r="S19" i="52"/>
  <c r="T19" i="52"/>
  <c r="U19" i="52"/>
  <c r="V19" i="52"/>
  <c r="W19" i="52"/>
  <c r="X19" i="52"/>
  <c r="Y19" i="52"/>
  <c r="Z19" i="52"/>
  <c r="N20" i="52"/>
  <c r="O20" i="52"/>
  <c r="P20" i="52"/>
  <c r="Q20" i="52"/>
  <c r="R20" i="52"/>
  <c r="S20" i="52"/>
  <c r="T20" i="52"/>
  <c r="U20" i="52"/>
  <c r="V20" i="52"/>
  <c r="W20" i="52"/>
  <c r="X20" i="52"/>
  <c r="Y20" i="52"/>
  <c r="Z20" i="52"/>
  <c r="B17" i="52"/>
  <c r="B18" i="52"/>
  <c r="B19" i="52"/>
  <c r="O16" i="52"/>
  <c r="P16" i="52"/>
  <c r="Q16" i="52"/>
  <c r="R16" i="52"/>
  <c r="S16" i="52"/>
  <c r="T16" i="52"/>
  <c r="U16" i="52"/>
  <c r="V16" i="52"/>
  <c r="W16" i="52"/>
  <c r="X16" i="52"/>
  <c r="Y16" i="52"/>
  <c r="AA16" i="52"/>
  <c r="O17" i="52"/>
  <c r="P17" i="52"/>
  <c r="Q17" i="52"/>
  <c r="R17" i="52"/>
  <c r="S17" i="52"/>
  <c r="T17" i="52"/>
  <c r="U17" i="52"/>
  <c r="V17" i="52"/>
  <c r="W17" i="52"/>
  <c r="X17" i="52"/>
  <c r="Y17" i="52"/>
  <c r="Z17" i="52"/>
  <c r="AA17" i="52"/>
  <c r="AA11" i="52" s="1"/>
  <c r="A14" i="52"/>
  <c r="AG12" i="52"/>
  <c r="AG13" i="52"/>
  <c r="AD12" i="52"/>
  <c r="AD13" i="52"/>
  <c r="B12" i="52"/>
  <c r="B13" i="52"/>
  <c r="O11" i="52"/>
  <c r="P11" i="52"/>
  <c r="Q11" i="52"/>
  <c r="R11" i="52"/>
  <c r="S11" i="52"/>
  <c r="T11" i="52"/>
  <c r="U11" i="52"/>
  <c r="V11" i="52"/>
  <c r="W11" i="52"/>
  <c r="X11" i="52"/>
  <c r="Y11" i="52"/>
  <c r="Z11" i="52"/>
  <c r="O12" i="52"/>
  <c r="P12" i="52"/>
  <c r="Q12" i="52"/>
  <c r="R12" i="52"/>
  <c r="S12" i="52"/>
  <c r="T12" i="52"/>
  <c r="U12" i="52"/>
  <c r="V12" i="52"/>
  <c r="W12" i="52"/>
  <c r="X12" i="52"/>
  <c r="Y12" i="52"/>
  <c r="Z12" i="52"/>
  <c r="AA12" i="52"/>
  <c r="O13" i="52"/>
  <c r="P13" i="52"/>
  <c r="Q13" i="52"/>
  <c r="R13" i="52"/>
  <c r="S13" i="52"/>
  <c r="T13" i="52"/>
  <c r="U13" i="52"/>
  <c r="V13" i="52"/>
  <c r="W13" i="52"/>
  <c r="X13" i="52"/>
  <c r="Y13" i="52"/>
  <c r="Z13" i="52"/>
  <c r="AA13" i="52"/>
  <c r="C10" i="52"/>
  <c r="D10" i="52"/>
  <c r="C9" i="52"/>
  <c r="C1" i="52"/>
  <c r="C2" i="52"/>
  <c r="C3" i="52"/>
  <c r="C4" i="52"/>
  <c r="C5" i="52"/>
  <c r="C6" i="52"/>
  <c r="C7" i="52"/>
  <c r="C8" i="52"/>
  <c r="E6" i="52"/>
  <c r="E4" i="52"/>
  <c r="F4" i="52"/>
  <c r="B3" i="52"/>
  <c r="H2" i="52" s="1"/>
  <c r="N1" i="52"/>
  <c r="N1" i="56" s="1"/>
  <c r="AG143" i="55"/>
  <c r="AG144" i="55"/>
  <c r="AG145" i="55"/>
  <c r="AG146" i="55"/>
  <c r="AD143" i="55"/>
  <c r="AD144" i="55"/>
  <c r="AD145" i="55"/>
  <c r="AD146" i="55"/>
  <c r="O143" i="55"/>
  <c r="P143" i="55"/>
  <c r="Q143" i="55"/>
  <c r="R143" i="55"/>
  <c r="S143" i="55"/>
  <c r="T143" i="55"/>
  <c r="U143" i="55"/>
  <c r="V143" i="55"/>
  <c r="W143" i="55"/>
  <c r="X143" i="55"/>
  <c r="Y143" i="55"/>
  <c r="Z143" i="55"/>
  <c r="O144" i="55"/>
  <c r="P144" i="55"/>
  <c r="Q144" i="55"/>
  <c r="R144" i="55"/>
  <c r="S144" i="55"/>
  <c r="T144" i="55"/>
  <c r="U144" i="55"/>
  <c r="V144" i="55"/>
  <c r="W144" i="55"/>
  <c r="X144" i="55"/>
  <c r="Y144" i="55"/>
  <c r="Z144" i="55"/>
  <c r="O145" i="55"/>
  <c r="P145" i="55"/>
  <c r="Q145" i="55"/>
  <c r="R145" i="55"/>
  <c r="S145" i="55"/>
  <c r="T145" i="55"/>
  <c r="U145" i="55"/>
  <c r="V145" i="55"/>
  <c r="W145" i="55"/>
  <c r="X145" i="55"/>
  <c r="Y145" i="55"/>
  <c r="Z145" i="55"/>
  <c r="O146" i="55"/>
  <c r="P146" i="55"/>
  <c r="Q146" i="55"/>
  <c r="R146" i="55"/>
  <c r="S146" i="55"/>
  <c r="T146" i="55"/>
  <c r="U146" i="55"/>
  <c r="V146" i="55"/>
  <c r="W146" i="55"/>
  <c r="X146" i="55"/>
  <c r="Y146" i="55"/>
  <c r="Z146" i="55"/>
  <c r="AI131" i="55"/>
  <c r="AI132" i="55"/>
  <c r="AI133" i="55"/>
  <c r="AI135" i="55"/>
  <c r="AI137" i="55"/>
  <c r="AI139" i="55"/>
  <c r="AI140" i="55"/>
  <c r="AG141" i="55"/>
  <c r="AD141" i="55"/>
  <c r="O141" i="55"/>
  <c r="P141" i="55"/>
  <c r="Q141" i="55"/>
  <c r="R141" i="55"/>
  <c r="S141" i="55"/>
  <c r="T141" i="55"/>
  <c r="U141" i="55"/>
  <c r="V141" i="55"/>
  <c r="W141" i="55"/>
  <c r="X141" i="55"/>
  <c r="Y141" i="55"/>
  <c r="Z141" i="55"/>
  <c r="AH140" i="55"/>
  <c r="AE140" i="55"/>
  <c r="AA140" i="55"/>
  <c r="AB140" i="55"/>
  <c r="AF131" i="55"/>
  <c r="AF133" i="55"/>
  <c r="AF135" i="55"/>
  <c r="AF137" i="55"/>
  <c r="AF139" i="55"/>
  <c r="AH138" i="55"/>
  <c r="AE138" i="55"/>
  <c r="AA138" i="55"/>
  <c r="AB138" i="55"/>
  <c r="AH136" i="55"/>
  <c r="AE136" i="55"/>
  <c r="AA136" i="55"/>
  <c r="AI136" i="55" s="1"/>
  <c r="AB136" i="55"/>
  <c r="AH134" i="55"/>
  <c r="AE134" i="55"/>
  <c r="AA134" i="55"/>
  <c r="AI134" i="55" s="1"/>
  <c r="AB134" i="55"/>
  <c r="AH132" i="55"/>
  <c r="AE132" i="55"/>
  <c r="AA132" i="55"/>
  <c r="AF132" i="55" s="1"/>
  <c r="AB132" i="55"/>
  <c r="AH130" i="55"/>
  <c r="AE130" i="55"/>
  <c r="AA130" i="55"/>
  <c r="AB130" i="55"/>
  <c r="L130" i="55"/>
  <c r="M130" i="55"/>
  <c r="N130" i="55"/>
  <c r="L131" i="55"/>
  <c r="M131" i="55"/>
  <c r="N131" i="55"/>
  <c r="L132" i="55"/>
  <c r="M132" i="55"/>
  <c r="N132" i="55"/>
  <c r="L133" i="55"/>
  <c r="M133" i="55"/>
  <c r="N133" i="55"/>
  <c r="L134" i="55"/>
  <c r="M134" i="55"/>
  <c r="N134" i="55"/>
  <c r="L135" i="55"/>
  <c r="M135" i="55"/>
  <c r="N135" i="55"/>
  <c r="L136" i="55"/>
  <c r="M136" i="55"/>
  <c r="N136" i="55"/>
  <c r="L137" i="55"/>
  <c r="M137" i="55"/>
  <c r="N137" i="55"/>
  <c r="L138" i="55"/>
  <c r="M138" i="55"/>
  <c r="N138" i="55"/>
  <c r="L139" i="55"/>
  <c r="M139" i="55"/>
  <c r="N139" i="55"/>
  <c r="L140" i="55"/>
  <c r="M140" i="55"/>
  <c r="N140" i="55"/>
  <c r="N129" i="55"/>
  <c r="AG121" i="55"/>
  <c r="AG122" i="55"/>
  <c r="AG123" i="55"/>
  <c r="AH123" i="55" s="1"/>
  <c r="AG124" i="55"/>
  <c r="AH124" i="55" s="1"/>
  <c r="AG125" i="55"/>
  <c r="AH125" i="55" s="1"/>
  <c r="AD121" i="55"/>
  <c r="AD122" i="55"/>
  <c r="AD123" i="55"/>
  <c r="AD124" i="55"/>
  <c r="AE124" i="55" s="1"/>
  <c r="AD125" i="55"/>
  <c r="AH121" i="55"/>
  <c r="AE121" i="55"/>
  <c r="AE123" i="55"/>
  <c r="AE125" i="55"/>
  <c r="L121" i="55"/>
  <c r="M121" i="55"/>
  <c r="N121" i="55"/>
  <c r="O121" i="55"/>
  <c r="P121" i="55"/>
  <c r="Q121" i="55"/>
  <c r="Q126" i="55" s="1"/>
  <c r="Q127" i="55" s="1"/>
  <c r="R121" i="55"/>
  <c r="S121" i="55"/>
  <c r="T121" i="55"/>
  <c r="U121" i="55"/>
  <c r="V121" i="55"/>
  <c r="W121" i="55"/>
  <c r="X121" i="55"/>
  <c r="Y121" i="55"/>
  <c r="Y126" i="55" s="1"/>
  <c r="Y127" i="55" s="1"/>
  <c r="Z121" i="55"/>
  <c r="L122" i="55"/>
  <c r="M122" i="55"/>
  <c r="N122" i="55"/>
  <c r="O122" i="55"/>
  <c r="P122" i="55"/>
  <c r="Q122" i="55"/>
  <c r="R122" i="55"/>
  <c r="S122" i="55"/>
  <c r="T122" i="55"/>
  <c r="U122" i="55"/>
  <c r="V122" i="55"/>
  <c r="W122" i="55"/>
  <c r="X122" i="55"/>
  <c r="Y122" i="55"/>
  <c r="Z122" i="55"/>
  <c r="L123" i="55"/>
  <c r="M123" i="55"/>
  <c r="N123" i="55"/>
  <c r="O123" i="55"/>
  <c r="P123" i="55"/>
  <c r="Q123" i="55"/>
  <c r="R123" i="55"/>
  <c r="S123" i="55"/>
  <c r="S126" i="55" s="1"/>
  <c r="S127" i="55" s="1"/>
  <c r="T123" i="55"/>
  <c r="U123" i="55"/>
  <c r="V123" i="55"/>
  <c r="W123" i="55"/>
  <c r="X123" i="55"/>
  <c r="Y123" i="55"/>
  <c r="Z123" i="55"/>
  <c r="L124" i="55"/>
  <c r="M124" i="55"/>
  <c r="N124" i="55"/>
  <c r="O124" i="55"/>
  <c r="P124" i="55"/>
  <c r="Q124" i="55"/>
  <c r="R124" i="55"/>
  <c r="S124" i="55"/>
  <c r="T124" i="55"/>
  <c r="U124" i="55"/>
  <c r="V124" i="55"/>
  <c r="W124" i="55"/>
  <c r="X124" i="55"/>
  <c r="Y124" i="55"/>
  <c r="Z124" i="55"/>
  <c r="L125" i="55"/>
  <c r="M125" i="55"/>
  <c r="N125" i="55"/>
  <c r="O125" i="55"/>
  <c r="P125" i="55"/>
  <c r="Q125" i="55"/>
  <c r="R125" i="55"/>
  <c r="S125" i="55"/>
  <c r="T125" i="55"/>
  <c r="U125" i="55"/>
  <c r="V125" i="55"/>
  <c r="W125" i="55"/>
  <c r="X125" i="55"/>
  <c r="Y125" i="55"/>
  <c r="Z125" i="55"/>
  <c r="L126" i="55"/>
  <c r="M126" i="55"/>
  <c r="N126" i="55"/>
  <c r="AH114" i="55"/>
  <c r="AH116" i="55"/>
  <c r="AI116" i="55"/>
  <c r="AH117" i="55"/>
  <c r="AH118" i="55"/>
  <c r="AI119" i="55"/>
  <c r="AE114" i="55"/>
  <c r="AE116" i="55"/>
  <c r="AF116" i="55"/>
  <c r="AE117" i="55"/>
  <c r="AE118" i="55"/>
  <c r="AE119" i="55"/>
  <c r="AA114" i="55"/>
  <c r="AI114" i="55" s="1"/>
  <c r="AA115" i="55"/>
  <c r="AF115" i="55" s="1"/>
  <c r="AA116" i="55"/>
  <c r="AB116" i="55"/>
  <c r="AA117" i="55"/>
  <c r="AA118" i="55"/>
  <c r="AI118" i="55" s="1"/>
  <c r="AA119" i="55"/>
  <c r="AF119" i="55" s="1"/>
  <c r="L114" i="55"/>
  <c r="M114" i="55"/>
  <c r="N114" i="55"/>
  <c r="L115" i="55"/>
  <c r="M115" i="55"/>
  <c r="N115" i="55"/>
  <c r="L116" i="55"/>
  <c r="M116" i="55"/>
  <c r="N116" i="55"/>
  <c r="L117" i="55"/>
  <c r="M117" i="55"/>
  <c r="N117" i="55"/>
  <c r="L118" i="55"/>
  <c r="M118" i="55"/>
  <c r="N118" i="55"/>
  <c r="L119" i="55"/>
  <c r="M119" i="55"/>
  <c r="N119" i="55"/>
  <c r="AH106" i="55"/>
  <c r="AH108" i="55"/>
  <c r="AH109" i="55"/>
  <c r="AH110" i="55"/>
  <c r="AE106" i="55"/>
  <c r="AE108" i="55"/>
  <c r="AE109" i="55"/>
  <c r="AE110" i="55"/>
  <c r="AA106" i="55"/>
  <c r="AA107" i="55"/>
  <c r="AI107" i="55" s="1"/>
  <c r="AA108" i="55"/>
  <c r="AB108" i="55"/>
  <c r="AA109" i="55"/>
  <c r="AA110" i="55"/>
  <c r="AA111" i="55"/>
  <c r="AI111" i="55" s="1"/>
  <c r="L106" i="55"/>
  <c r="M106" i="55"/>
  <c r="N106" i="55"/>
  <c r="L107" i="55"/>
  <c r="M107" i="55"/>
  <c r="N107" i="55"/>
  <c r="L108" i="55"/>
  <c r="M108" i="55"/>
  <c r="N108" i="55"/>
  <c r="L109" i="55"/>
  <c r="M109" i="55"/>
  <c r="N109" i="55"/>
  <c r="L110" i="55"/>
  <c r="M110" i="55"/>
  <c r="N110" i="55"/>
  <c r="L111" i="55"/>
  <c r="M111" i="55"/>
  <c r="N111" i="55"/>
  <c r="AH98" i="55"/>
  <c r="AI98" i="55"/>
  <c r="AH99" i="55"/>
  <c r="AH100" i="55"/>
  <c r="AH101" i="55"/>
  <c r="AI101" i="55"/>
  <c r="AH102" i="55"/>
  <c r="AH103" i="55"/>
  <c r="AE98" i="55"/>
  <c r="AF98" i="55"/>
  <c r="AE100" i="55"/>
  <c r="AE101" i="55"/>
  <c r="AE102" i="55"/>
  <c r="AA98" i="55"/>
  <c r="AB98" i="55"/>
  <c r="AA99" i="55"/>
  <c r="AA100" i="55"/>
  <c r="AI100" i="55" s="1"/>
  <c r="AA101" i="55"/>
  <c r="AF101" i="55" s="1"/>
  <c r="AA102" i="55"/>
  <c r="AF102" i="55" s="1"/>
  <c r="AA103" i="55"/>
  <c r="L98" i="55"/>
  <c r="M98" i="55"/>
  <c r="N98" i="55"/>
  <c r="L99" i="55"/>
  <c r="M99" i="55"/>
  <c r="N99" i="55"/>
  <c r="L100" i="55"/>
  <c r="M100" i="55"/>
  <c r="N100" i="55"/>
  <c r="L101" i="55"/>
  <c r="M101" i="55"/>
  <c r="N101" i="55"/>
  <c r="L102" i="55"/>
  <c r="M102" i="55"/>
  <c r="N102" i="55"/>
  <c r="L103" i="55"/>
  <c r="M103" i="55"/>
  <c r="N103" i="55"/>
  <c r="AI91" i="55"/>
  <c r="AD93" i="55"/>
  <c r="AD94" i="55"/>
  <c r="AG93" i="55"/>
  <c r="AG94" i="55"/>
  <c r="O93" i="55"/>
  <c r="P93" i="55"/>
  <c r="Q93" i="55"/>
  <c r="R93" i="55"/>
  <c r="S93" i="55"/>
  <c r="T93" i="55"/>
  <c r="U93" i="55"/>
  <c r="V93" i="55"/>
  <c r="W93" i="55"/>
  <c r="X93" i="55"/>
  <c r="Y93" i="55"/>
  <c r="Z93" i="55"/>
  <c r="O94" i="55"/>
  <c r="P94" i="55"/>
  <c r="Q94" i="55"/>
  <c r="R94" i="55"/>
  <c r="S94" i="55"/>
  <c r="T94" i="55"/>
  <c r="U94" i="55"/>
  <c r="V94" i="55"/>
  <c r="W94" i="55"/>
  <c r="X94" i="55"/>
  <c r="Y94" i="55"/>
  <c r="Z94" i="55"/>
  <c r="AA94" i="55"/>
  <c r="AF91" i="55"/>
  <c r="AA91" i="55"/>
  <c r="AA92" i="55"/>
  <c r="AI92" i="55" s="1"/>
  <c r="N91" i="55"/>
  <c r="N92" i="55"/>
  <c r="I91" i="55"/>
  <c r="J91" i="55"/>
  <c r="I92" i="55"/>
  <c r="J92" i="55"/>
  <c r="AF87" i="55"/>
  <c r="AA35" i="55"/>
  <c r="AB35" i="55" s="1"/>
  <c r="AA36" i="55"/>
  <c r="AA37" i="55"/>
  <c r="AB37" i="55" s="1"/>
  <c r="AA38" i="55"/>
  <c r="AB38" i="55" s="1"/>
  <c r="AA39" i="55"/>
  <c r="AA40" i="55"/>
  <c r="AI40" i="55" s="1"/>
  <c r="AA41" i="55"/>
  <c r="AA45" i="55"/>
  <c r="AF45" i="55" s="1"/>
  <c r="AA46" i="55"/>
  <c r="AI46" i="55" s="1"/>
  <c r="AA47" i="55"/>
  <c r="AA48" i="55"/>
  <c r="AF48" i="55" s="1"/>
  <c r="AA49" i="55"/>
  <c r="AA50" i="55"/>
  <c r="AI50" i="55" s="1"/>
  <c r="AA51" i="55"/>
  <c r="AI51" i="55" s="1"/>
  <c r="AA55" i="55"/>
  <c r="AA56" i="55"/>
  <c r="AB56" i="55" s="1"/>
  <c r="AA57" i="55"/>
  <c r="AB57" i="55" s="1"/>
  <c r="AA58" i="55"/>
  <c r="AA59" i="55"/>
  <c r="AA60" i="55"/>
  <c r="AA61" i="55"/>
  <c r="AA65" i="55"/>
  <c r="AA66" i="55"/>
  <c r="AF66" i="55" s="1"/>
  <c r="AA67" i="55"/>
  <c r="AI67" i="55" s="1"/>
  <c r="AA68" i="55"/>
  <c r="AI68" i="55" s="1"/>
  <c r="AA69" i="55"/>
  <c r="AA70" i="55"/>
  <c r="AI70" i="55" s="1"/>
  <c r="AA71" i="55"/>
  <c r="AA75" i="55"/>
  <c r="AB75" i="55" s="1"/>
  <c r="AA76" i="55"/>
  <c r="AA77" i="55"/>
  <c r="AI77" i="55" s="1"/>
  <c r="AA78" i="55"/>
  <c r="AI78" i="55" s="1"/>
  <c r="AA79" i="55"/>
  <c r="AI79" i="55" s="1"/>
  <c r="AA80" i="55"/>
  <c r="AA81" i="55" s="1"/>
  <c r="AA83" i="55"/>
  <c r="AF83" i="55" s="1"/>
  <c r="AA85" i="55"/>
  <c r="AA86" i="55"/>
  <c r="AI86" i="55" s="1"/>
  <c r="AA87" i="55"/>
  <c r="AI87" i="55" s="1"/>
  <c r="N85" i="55"/>
  <c r="N143" i="55" s="1"/>
  <c r="N86" i="55"/>
  <c r="N87" i="55"/>
  <c r="N144" i="55" s="1"/>
  <c r="N88" i="55"/>
  <c r="N145" i="55" s="1"/>
  <c r="AE83" i="55"/>
  <c r="L85" i="55"/>
  <c r="M85" i="55"/>
  <c r="L86" i="55"/>
  <c r="M86" i="55"/>
  <c r="L87" i="55"/>
  <c r="M87" i="55"/>
  <c r="I85" i="55"/>
  <c r="J85" i="55"/>
  <c r="I86" i="55"/>
  <c r="J86" i="55"/>
  <c r="I87" i="55"/>
  <c r="J87" i="55"/>
  <c r="I88" i="55"/>
  <c r="J88" i="55"/>
  <c r="S84" i="55"/>
  <c r="AI83" i="55"/>
  <c r="L83" i="55"/>
  <c r="M83" i="55"/>
  <c r="N83" i="55"/>
  <c r="I83" i="55"/>
  <c r="J83" i="55"/>
  <c r="AG82" i="55"/>
  <c r="AH84" i="55" s="1"/>
  <c r="AD82" i="55"/>
  <c r="AE84" i="55" s="1"/>
  <c r="O82" i="55"/>
  <c r="O84" i="55" s="1"/>
  <c r="P82" i="55"/>
  <c r="P84" i="55" s="1"/>
  <c r="Q82" i="55"/>
  <c r="Q84" i="55" s="1"/>
  <c r="R82" i="55"/>
  <c r="R84" i="55" s="1"/>
  <c r="S82" i="55"/>
  <c r="T82" i="55"/>
  <c r="T84" i="55" s="1"/>
  <c r="U82" i="55"/>
  <c r="U84" i="55" s="1"/>
  <c r="V82" i="55"/>
  <c r="V84" i="55" s="1"/>
  <c r="W82" i="55"/>
  <c r="W84" i="55" s="1"/>
  <c r="X82" i="55"/>
  <c r="X84" i="55" s="1"/>
  <c r="Y82" i="55"/>
  <c r="Y84" i="55" s="1"/>
  <c r="Z82" i="55"/>
  <c r="Z84" i="55" s="1"/>
  <c r="AI75" i="55"/>
  <c r="AI76" i="55"/>
  <c r="AF76" i="55"/>
  <c r="AF77" i="55"/>
  <c r="AH74" i="55"/>
  <c r="AH75" i="55"/>
  <c r="AH76" i="55"/>
  <c r="AH77" i="55"/>
  <c r="AH78" i="55"/>
  <c r="AH79" i="55"/>
  <c r="AH80" i="55"/>
  <c r="AE75" i="55"/>
  <c r="AE76" i="55"/>
  <c r="AE77" i="55"/>
  <c r="AE78" i="55"/>
  <c r="AE79" i="55"/>
  <c r="AE80" i="55"/>
  <c r="AB76" i="55"/>
  <c r="AB77" i="55"/>
  <c r="L75" i="55"/>
  <c r="M75" i="55"/>
  <c r="N75" i="55"/>
  <c r="L76" i="55"/>
  <c r="M76" i="55"/>
  <c r="N76" i="55"/>
  <c r="L77" i="55"/>
  <c r="M77" i="55"/>
  <c r="N77" i="55"/>
  <c r="L78" i="55"/>
  <c r="M78" i="55"/>
  <c r="N78" i="55"/>
  <c r="L79" i="55"/>
  <c r="M79" i="55"/>
  <c r="N79" i="55"/>
  <c r="L80" i="55"/>
  <c r="M80" i="55"/>
  <c r="N80" i="55"/>
  <c r="L81" i="55"/>
  <c r="M81" i="55"/>
  <c r="N81" i="55"/>
  <c r="I75" i="55"/>
  <c r="J75" i="55"/>
  <c r="I76" i="55"/>
  <c r="J76" i="55"/>
  <c r="I77" i="55"/>
  <c r="J77" i="55"/>
  <c r="I78" i="55"/>
  <c r="J78" i="55"/>
  <c r="I79" i="55"/>
  <c r="J79" i="55"/>
  <c r="I80" i="55"/>
  <c r="J80" i="55"/>
  <c r="I81" i="55"/>
  <c r="J81" i="55"/>
  <c r="AG73" i="55"/>
  <c r="AD73" i="55"/>
  <c r="AE74" i="55" s="1"/>
  <c r="O73" i="55"/>
  <c r="O74" i="55" s="1"/>
  <c r="P73" i="55"/>
  <c r="P74" i="55" s="1"/>
  <c r="Q73" i="55"/>
  <c r="Q74" i="55" s="1"/>
  <c r="R73" i="55"/>
  <c r="S73" i="55"/>
  <c r="S74" i="55" s="1"/>
  <c r="T73" i="55"/>
  <c r="T74" i="55" s="1"/>
  <c r="U73" i="55"/>
  <c r="V73" i="55"/>
  <c r="V74" i="55" s="1"/>
  <c r="W73" i="55"/>
  <c r="W74" i="55" s="1"/>
  <c r="X73" i="55"/>
  <c r="X74" i="55" s="1"/>
  <c r="Y73" i="55"/>
  <c r="Y74" i="55" s="1"/>
  <c r="Z73" i="55"/>
  <c r="R74" i="55"/>
  <c r="U74" i="55"/>
  <c r="Z74" i="55"/>
  <c r="AI66" i="55"/>
  <c r="AF68" i="55"/>
  <c r="AF71" i="55"/>
  <c r="AH71" i="55"/>
  <c r="AE71" i="55"/>
  <c r="AH65" i="55"/>
  <c r="AH66" i="55"/>
  <c r="AH67" i="55"/>
  <c r="AH68" i="55"/>
  <c r="AH69" i="55"/>
  <c r="AE64" i="55"/>
  <c r="AE65" i="55"/>
  <c r="AE66" i="55"/>
  <c r="AE67" i="55"/>
  <c r="AE68" i="55"/>
  <c r="AE69" i="55"/>
  <c r="AB66" i="55"/>
  <c r="AB67" i="55"/>
  <c r="AB68" i="55"/>
  <c r="L65" i="55"/>
  <c r="M65" i="55"/>
  <c r="N65" i="55"/>
  <c r="L66" i="55"/>
  <c r="M66" i="55"/>
  <c r="N66" i="55"/>
  <c r="L67" i="55"/>
  <c r="M67" i="55"/>
  <c r="N67" i="55"/>
  <c r="L68" i="55"/>
  <c r="M68" i="55"/>
  <c r="N68" i="55"/>
  <c r="L69" i="55"/>
  <c r="M69" i="55"/>
  <c r="N69" i="55"/>
  <c r="L70" i="55"/>
  <c r="M70" i="55"/>
  <c r="N70" i="55"/>
  <c r="L71" i="55"/>
  <c r="M71" i="55"/>
  <c r="N71" i="55"/>
  <c r="L72" i="55"/>
  <c r="M72" i="55"/>
  <c r="N72" i="55"/>
  <c r="I65" i="55"/>
  <c r="J65" i="55"/>
  <c r="I66" i="55"/>
  <c r="J66" i="55"/>
  <c r="I67" i="55"/>
  <c r="J67" i="55"/>
  <c r="I68" i="55"/>
  <c r="J68" i="55"/>
  <c r="I69" i="55"/>
  <c r="J69" i="55"/>
  <c r="I70" i="55"/>
  <c r="J70" i="55"/>
  <c r="I71" i="55"/>
  <c r="J71" i="55"/>
  <c r="I72" i="55"/>
  <c r="J72" i="55"/>
  <c r="AG63" i="55"/>
  <c r="AH64" i="55" s="1"/>
  <c r="AD63" i="55"/>
  <c r="O63" i="55"/>
  <c r="O64" i="55" s="1"/>
  <c r="P63" i="55"/>
  <c r="Q63" i="55"/>
  <c r="Q64" i="55" s="1"/>
  <c r="R63" i="55"/>
  <c r="R64" i="55" s="1"/>
  <c r="S63" i="55"/>
  <c r="S64" i="55" s="1"/>
  <c r="T63" i="55"/>
  <c r="T64" i="55" s="1"/>
  <c r="U63" i="55"/>
  <c r="V63" i="55"/>
  <c r="W63" i="55"/>
  <c r="W64" i="55" s="1"/>
  <c r="X63" i="55"/>
  <c r="Y63" i="55"/>
  <c r="Y64" i="55" s="1"/>
  <c r="Z63" i="55"/>
  <c r="Z64" i="55" s="1"/>
  <c r="P64" i="55"/>
  <c r="U64" i="55"/>
  <c r="V64" i="55"/>
  <c r="X64" i="55"/>
  <c r="AI55" i="55"/>
  <c r="AI57" i="55"/>
  <c r="AI58" i="55"/>
  <c r="AI59" i="55"/>
  <c r="AI60" i="55"/>
  <c r="AF55" i="55"/>
  <c r="AF57" i="55"/>
  <c r="AF58" i="55"/>
  <c r="AF60" i="55"/>
  <c r="AH61" i="55"/>
  <c r="AE61" i="55"/>
  <c r="AB61" i="55"/>
  <c r="AH55" i="55"/>
  <c r="AH56" i="55"/>
  <c r="AH57" i="55"/>
  <c r="AH58" i="55"/>
  <c r="AH59" i="55"/>
  <c r="AE55" i="55"/>
  <c r="AE56" i="55"/>
  <c r="AE57" i="55"/>
  <c r="AE58" i="55"/>
  <c r="AE59" i="55"/>
  <c r="AB55" i="55"/>
  <c r="AB58" i="55"/>
  <c r="L55" i="55"/>
  <c r="M55" i="55"/>
  <c r="N55" i="55"/>
  <c r="L56" i="55"/>
  <c r="M56" i="55"/>
  <c r="N56" i="55"/>
  <c r="L57" i="55"/>
  <c r="M57" i="55"/>
  <c r="N57" i="55"/>
  <c r="L58" i="55"/>
  <c r="M58" i="55"/>
  <c r="N58" i="55"/>
  <c r="L59" i="55"/>
  <c r="M59" i="55"/>
  <c r="N59" i="55"/>
  <c r="L60" i="55"/>
  <c r="M60" i="55"/>
  <c r="N60" i="55"/>
  <c r="L61" i="55"/>
  <c r="M61" i="55"/>
  <c r="N61" i="55"/>
  <c r="L62" i="55"/>
  <c r="M62" i="55"/>
  <c r="N62" i="55"/>
  <c r="I55" i="55"/>
  <c r="J55" i="55"/>
  <c r="I56" i="55"/>
  <c r="J56" i="55"/>
  <c r="I57" i="55"/>
  <c r="J57" i="55"/>
  <c r="I58" i="55"/>
  <c r="J58" i="55"/>
  <c r="I59" i="55"/>
  <c r="J59" i="55"/>
  <c r="I60" i="55"/>
  <c r="J60" i="55"/>
  <c r="I61" i="55"/>
  <c r="J61" i="55"/>
  <c r="I62" i="55"/>
  <c r="J62" i="55"/>
  <c r="AG53" i="55"/>
  <c r="AH54" i="55" s="1"/>
  <c r="AD53" i="55"/>
  <c r="AE54" i="55" s="1"/>
  <c r="O53" i="55"/>
  <c r="O54" i="55" s="1"/>
  <c r="P53" i="55"/>
  <c r="P54" i="55" s="1"/>
  <c r="Q53" i="55"/>
  <c r="Q54" i="55" s="1"/>
  <c r="R53" i="55"/>
  <c r="R54" i="55" s="1"/>
  <c r="S53" i="55"/>
  <c r="S54" i="55" s="1"/>
  <c r="T53" i="55"/>
  <c r="T54" i="55" s="1"/>
  <c r="U53" i="55"/>
  <c r="U54" i="55" s="1"/>
  <c r="V53" i="55"/>
  <c r="W53" i="55"/>
  <c r="W54" i="55" s="1"/>
  <c r="X53" i="55"/>
  <c r="X54" i="55" s="1"/>
  <c r="Y53" i="55"/>
  <c r="Y54" i="55" s="1"/>
  <c r="Z53" i="55"/>
  <c r="Z54" i="55" s="1"/>
  <c r="V54" i="55"/>
  <c r="AI45" i="55"/>
  <c r="AI47" i="55"/>
  <c r="AI48" i="55"/>
  <c r="AF47" i="55"/>
  <c r="AF50" i="55"/>
  <c r="AH51" i="55"/>
  <c r="AE51" i="55"/>
  <c r="AB51" i="55"/>
  <c r="AH44" i="55"/>
  <c r="AH46" i="55"/>
  <c r="AH48" i="55"/>
  <c r="AH49" i="55"/>
  <c r="AE46" i="55"/>
  <c r="L45" i="55"/>
  <c r="M45" i="55"/>
  <c r="N45" i="55"/>
  <c r="L46" i="55"/>
  <c r="M46" i="55"/>
  <c r="N46" i="55"/>
  <c r="L47" i="55"/>
  <c r="M47" i="55"/>
  <c r="N47" i="55"/>
  <c r="L48" i="55"/>
  <c r="M48" i="55"/>
  <c r="N48" i="55"/>
  <c r="L49" i="55"/>
  <c r="M49" i="55"/>
  <c r="N49" i="55"/>
  <c r="L50" i="55"/>
  <c r="M50" i="55"/>
  <c r="N50" i="55"/>
  <c r="L51" i="55"/>
  <c r="M51" i="55"/>
  <c r="N51" i="55"/>
  <c r="L52" i="55"/>
  <c r="M52" i="55"/>
  <c r="N52" i="55"/>
  <c r="I45" i="55"/>
  <c r="J45" i="55"/>
  <c r="I46" i="55"/>
  <c r="J46" i="55"/>
  <c r="I47" i="55"/>
  <c r="J47" i="55"/>
  <c r="I48" i="55"/>
  <c r="J48" i="55"/>
  <c r="I49" i="55"/>
  <c r="J49" i="55"/>
  <c r="I50" i="55"/>
  <c r="J50" i="55"/>
  <c r="I51" i="55"/>
  <c r="J51" i="55"/>
  <c r="I52" i="55"/>
  <c r="J52" i="55"/>
  <c r="AG43" i="55"/>
  <c r="AD43" i="55"/>
  <c r="AE44" i="55" s="1"/>
  <c r="O43" i="55"/>
  <c r="P43" i="55"/>
  <c r="Q43" i="55"/>
  <c r="Q44" i="55" s="1"/>
  <c r="R43" i="55"/>
  <c r="R44" i="55" s="1"/>
  <c r="S43" i="55"/>
  <c r="S44" i="55" s="1"/>
  <c r="T43" i="55"/>
  <c r="T44" i="55" s="1"/>
  <c r="U43" i="55"/>
  <c r="V43" i="55"/>
  <c r="V44" i="55" s="1"/>
  <c r="W43" i="55"/>
  <c r="X43" i="55"/>
  <c r="Y43" i="55"/>
  <c r="Y44" i="55" s="1"/>
  <c r="Z43" i="55"/>
  <c r="O44" i="55"/>
  <c r="P44" i="55"/>
  <c r="U44" i="55"/>
  <c r="W44" i="55"/>
  <c r="X44" i="55"/>
  <c r="Z44" i="55"/>
  <c r="AI35" i="55"/>
  <c r="AI36" i="55"/>
  <c r="AF35" i="55"/>
  <c r="AF36" i="55"/>
  <c r="AF40" i="55"/>
  <c r="AH41" i="55"/>
  <c r="AE41" i="55"/>
  <c r="AH35" i="55"/>
  <c r="AH36" i="55"/>
  <c r="AH37" i="55"/>
  <c r="AH38" i="55"/>
  <c r="AE35" i="55"/>
  <c r="AE36" i="55"/>
  <c r="AE37" i="55"/>
  <c r="AE38" i="55"/>
  <c r="AE39" i="55"/>
  <c r="AB36" i="55"/>
  <c r="L35" i="55"/>
  <c r="M35" i="55"/>
  <c r="N35" i="55"/>
  <c r="L36" i="55"/>
  <c r="M36" i="55"/>
  <c r="N36" i="55"/>
  <c r="L37" i="55"/>
  <c r="M37" i="55"/>
  <c r="N37" i="55"/>
  <c r="L38" i="55"/>
  <c r="M38" i="55"/>
  <c r="N38" i="55"/>
  <c r="L39" i="55"/>
  <c r="M39" i="55"/>
  <c r="N39" i="55"/>
  <c r="L40" i="55"/>
  <c r="M40" i="55"/>
  <c r="N40" i="55"/>
  <c r="L41" i="55"/>
  <c r="M41" i="55"/>
  <c r="N41" i="55"/>
  <c r="L42" i="55"/>
  <c r="M42" i="55"/>
  <c r="N42" i="55"/>
  <c r="I35" i="55"/>
  <c r="J35" i="55"/>
  <c r="I36" i="55"/>
  <c r="J36" i="55"/>
  <c r="I37" i="55"/>
  <c r="J37" i="55"/>
  <c r="I38" i="55"/>
  <c r="J38" i="55"/>
  <c r="I39" i="55"/>
  <c r="J39" i="55"/>
  <c r="I40" i="55"/>
  <c r="J40" i="55"/>
  <c r="I41" i="55"/>
  <c r="J41" i="55"/>
  <c r="I42" i="55"/>
  <c r="J42" i="55"/>
  <c r="AG32" i="55"/>
  <c r="AD32" i="55"/>
  <c r="O32" i="55"/>
  <c r="P32" i="55"/>
  <c r="Q32" i="55"/>
  <c r="R32" i="55"/>
  <c r="S32" i="55"/>
  <c r="T32" i="55"/>
  <c r="U32" i="55"/>
  <c r="V32" i="55"/>
  <c r="W32" i="55"/>
  <c r="X32" i="55"/>
  <c r="Y32" i="55"/>
  <c r="Z32" i="55"/>
  <c r="AG31" i="55"/>
  <c r="AD31" i="55"/>
  <c r="O31" i="55"/>
  <c r="P31" i="55"/>
  <c r="Q31" i="55"/>
  <c r="R31" i="55"/>
  <c r="S31" i="55"/>
  <c r="T31" i="55"/>
  <c r="U31" i="55"/>
  <c r="V31" i="55"/>
  <c r="W31" i="55"/>
  <c r="X31" i="55"/>
  <c r="Y31" i="55"/>
  <c r="Z31" i="55"/>
  <c r="AA31" i="55"/>
  <c r="N26" i="55"/>
  <c r="N27" i="55"/>
  <c r="N28" i="55"/>
  <c r="N29" i="55"/>
  <c r="B23" i="55"/>
  <c r="AG16" i="55"/>
  <c r="AG19" i="55"/>
  <c r="AG20" i="55"/>
  <c r="AH87" i="55" s="1"/>
  <c r="AD19" i="55"/>
  <c r="AE115" i="55" s="1"/>
  <c r="AD20" i="55"/>
  <c r="AE87" i="55" s="1"/>
  <c r="G19" i="55"/>
  <c r="G20" i="55"/>
  <c r="N19" i="55"/>
  <c r="O19" i="55"/>
  <c r="P19" i="55"/>
  <c r="Q19" i="55"/>
  <c r="R19" i="55"/>
  <c r="S19" i="55"/>
  <c r="T19" i="55"/>
  <c r="U19" i="55"/>
  <c r="V19" i="55"/>
  <c r="W19" i="55"/>
  <c r="X19" i="55"/>
  <c r="Y19" i="55"/>
  <c r="Z19" i="55"/>
  <c r="N20" i="55"/>
  <c r="O20" i="55"/>
  <c r="P20" i="55"/>
  <c r="Q20" i="55"/>
  <c r="R20" i="55"/>
  <c r="S20" i="55"/>
  <c r="T20" i="55"/>
  <c r="U20" i="55"/>
  <c r="V20" i="55"/>
  <c r="W20" i="55"/>
  <c r="X20" i="55"/>
  <c r="Y20" i="55"/>
  <c r="Z20" i="55"/>
  <c r="B17" i="55"/>
  <c r="B18" i="55"/>
  <c r="B19" i="55"/>
  <c r="AA18" i="55"/>
  <c r="O16" i="55"/>
  <c r="P16" i="55"/>
  <c r="Q16" i="55"/>
  <c r="R16" i="55"/>
  <c r="S16" i="55"/>
  <c r="T16" i="55"/>
  <c r="U16" i="55"/>
  <c r="V16" i="55"/>
  <c r="W16" i="55"/>
  <c r="X16" i="55"/>
  <c r="Y16" i="55"/>
  <c r="O17" i="55"/>
  <c r="P17" i="55"/>
  <c r="Q17" i="55"/>
  <c r="R17" i="55"/>
  <c r="S17" i="55"/>
  <c r="T17" i="55"/>
  <c r="U17" i="55"/>
  <c r="V17" i="55"/>
  <c r="W17" i="55"/>
  <c r="X17" i="55"/>
  <c r="Y17" i="55"/>
  <c r="Z17" i="55"/>
  <c r="AA17" i="55" s="1"/>
  <c r="AA11" i="55" s="1"/>
  <c r="A14" i="55"/>
  <c r="AG12" i="55"/>
  <c r="AG13" i="55"/>
  <c r="AD12" i="55"/>
  <c r="AD13" i="55"/>
  <c r="B12" i="55"/>
  <c r="B13" i="55"/>
  <c r="O11" i="55"/>
  <c r="P11" i="55"/>
  <c r="Q11" i="55"/>
  <c r="R11" i="55"/>
  <c r="S11" i="55"/>
  <c r="T11" i="55"/>
  <c r="U11" i="55"/>
  <c r="V11" i="55"/>
  <c r="W11" i="55"/>
  <c r="X11" i="55"/>
  <c r="Y11" i="55"/>
  <c r="Z11" i="55"/>
  <c r="O12" i="55"/>
  <c r="P12" i="55"/>
  <c r="Q12" i="55"/>
  <c r="R12" i="55"/>
  <c r="S12" i="55"/>
  <c r="T12" i="55"/>
  <c r="U12" i="55"/>
  <c r="V12" i="55"/>
  <c r="W12" i="55"/>
  <c r="X12" i="55"/>
  <c r="Y12" i="55"/>
  <c r="Z12" i="55"/>
  <c r="AA12" i="55"/>
  <c r="O13" i="55"/>
  <c r="P13" i="55"/>
  <c r="Q13" i="55"/>
  <c r="R13" i="55"/>
  <c r="S13" i="55"/>
  <c r="T13" i="55"/>
  <c r="U13" i="55"/>
  <c r="V13" i="55"/>
  <c r="W13" i="55"/>
  <c r="X13" i="55"/>
  <c r="Y13" i="55"/>
  <c r="Z13" i="55"/>
  <c r="AA13" i="55"/>
  <c r="C10" i="55"/>
  <c r="D10" i="55"/>
  <c r="AA16" i="55" s="1"/>
  <c r="C9" i="55"/>
  <c r="C1" i="55"/>
  <c r="C2" i="55"/>
  <c r="C3" i="55"/>
  <c r="C4" i="55"/>
  <c r="C5" i="55"/>
  <c r="C6" i="55"/>
  <c r="C7" i="55"/>
  <c r="C8" i="55"/>
  <c r="E6" i="55"/>
  <c r="E4" i="55"/>
  <c r="F4" i="55"/>
  <c r="B3" i="55"/>
  <c r="B120" i="51"/>
  <c r="B114" i="51"/>
  <c r="B115" i="51"/>
  <c r="B116" i="51"/>
  <c r="A111" i="51"/>
  <c r="AG108" i="51"/>
  <c r="AD108" i="51"/>
  <c r="AD109" i="51"/>
  <c r="O108" i="51"/>
  <c r="P108" i="51"/>
  <c r="Q108" i="51"/>
  <c r="R108" i="51"/>
  <c r="S108" i="51"/>
  <c r="T108" i="51"/>
  <c r="U108" i="51"/>
  <c r="V108" i="51"/>
  <c r="W108" i="51"/>
  <c r="X108" i="51"/>
  <c r="Y108" i="51"/>
  <c r="Z108" i="51"/>
  <c r="O109" i="51"/>
  <c r="W109" i="51"/>
  <c r="N105" i="51"/>
  <c r="N108" i="51" s="1"/>
  <c r="N106" i="51"/>
  <c r="N109" i="51" s="1"/>
  <c r="I105" i="51"/>
  <c r="AA105" i="51" s="1"/>
  <c r="AI105" i="51" s="1"/>
  <c r="J105" i="51"/>
  <c r="I106" i="51"/>
  <c r="AA106" i="51" s="1"/>
  <c r="AF106" i="51" s="1"/>
  <c r="J106" i="51"/>
  <c r="N90" i="51"/>
  <c r="N91" i="51"/>
  <c r="N92" i="51"/>
  <c r="N93" i="51"/>
  <c r="N94" i="51"/>
  <c r="N95" i="51"/>
  <c r="N96" i="51"/>
  <c r="N97" i="51"/>
  <c r="N98" i="51"/>
  <c r="N99" i="51"/>
  <c r="N100" i="51"/>
  <c r="N101" i="51"/>
  <c r="N102" i="51"/>
  <c r="N103" i="51"/>
  <c r="I103" i="51"/>
  <c r="AA103" i="51" s="1"/>
  <c r="J103" i="51"/>
  <c r="AH91" i="51"/>
  <c r="AL91" i="51"/>
  <c r="AH93" i="51"/>
  <c r="AH94" i="51"/>
  <c r="AH95" i="51"/>
  <c r="AH97" i="51"/>
  <c r="AH98" i="51"/>
  <c r="AL99" i="51"/>
  <c r="AH100" i="51"/>
  <c r="AL100" i="51"/>
  <c r="AH101" i="51"/>
  <c r="AH102" i="51"/>
  <c r="AE101" i="51"/>
  <c r="AE102" i="51"/>
  <c r="AF103" i="51"/>
  <c r="AA94" i="51"/>
  <c r="AF94" i="51" s="1"/>
  <c r="AA96" i="51"/>
  <c r="AA98" i="51"/>
  <c r="I91" i="51"/>
  <c r="J91" i="51"/>
  <c r="L91" i="51"/>
  <c r="M91" i="51"/>
  <c r="I92" i="51"/>
  <c r="K92" i="51" s="1"/>
  <c r="J92" i="51"/>
  <c r="L92" i="51"/>
  <c r="M92" i="51"/>
  <c r="I93" i="51"/>
  <c r="AA93" i="51" s="1"/>
  <c r="AI93" i="51" s="1"/>
  <c r="J93" i="51"/>
  <c r="K93" i="51"/>
  <c r="L93" i="51"/>
  <c r="M93" i="51"/>
  <c r="I94" i="51"/>
  <c r="K94" i="51" s="1"/>
  <c r="J94" i="51"/>
  <c r="L94" i="51"/>
  <c r="M94" i="51"/>
  <c r="I95" i="51"/>
  <c r="AA95" i="51" s="1"/>
  <c r="AF95" i="51" s="1"/>
  <c r="J95" i="51"/>
  <c r="L95" i="51"/>
  <c r="M95" i="51"/>
  <c r="I96" i="51"/>
  <c r="J96" i="51"/>
  <c r="L96" i="51"/>
  <c r="M96" i="51"/>
  <c r="I97" i="51"/>
  <c r="J97" i="51"/>
  <c r="L97" i="51"/>
  <c r="M97" i="51"/>
  <c r="I98" i="51"/>
  <c r="J98" i="51"/>
  <c r="K98" i="51" s="1"/>
  <c r="L98" i="51"/>
  <c r="M98" i="51"/>
  <c r="I99" i="51"/>
  <c r="J99" i="51"/>
  <c r="L99" i="51"/>
  <c r="M99" i="51"/>
  <c r="I100" i="51"/>
  <c r="J100" i="51"/>
  <c r="L100" i="51"/>
  <c r="M100" i="51"/>
  <c r="I101" i="51"/>
  <c r="AA101" i="51" s="1"/>
  <c r="J101" i="51"/>
  <c r="K101" i="51" s="1"/>
  <c r="L101" i="51"/>
  <c r="M101" i="51"/>
  <c r="I102" i="51"/>
  <c r="K102" i="51" s="1"/>
  <c r="J102" i="51"/>
  <c r="L102" i="51"/>
  <c r="M102" i="51"/>
  <c r="I90" i="51"/>
  <c r="J90" i="51"/>
  <c r="B88" i="51"/>
  <c r="B89" i="51"/>
  <c r="B83" i="51"/>
  <c r="B84" i="51"/>
  <c r="B85" i="51"/>
  <c r="A80" i="51"/>
  <c r="AH76" i="51"/>
  <c r="AH77" i="51"/>
  <c r="AI77" i="51"/>
  <c r="AH78" i="51"/>
  <c r="AL84" i="51"/>
  <c r="AL87" i="51"/>
  <c r="AE76" i="51"/>
  <c r="AE77" i="51"/>
  <c r="AF77" i="51"/>
  <c r="AE78" i="51"/>
  <c r="AF80" i="51"/>
  <c r="AA77" i="51"/>
  <c r="AB77" i="51"/>
  <c r="AN77" i="51" s="1"/>
  <c r="AA86" i="51"/>
  <c r="I76" i="51"/>
  <c r="AA76" i="51" s="1"/>
  <c r="AI76" i="51" s="1"/>
  <c r="J76" i="51"/>
  <c r="K76" i="51"/>
  <c r="L76" i="51"/>
  <c r="M76" i="51"/>
  <c r="N76" i="51"/>
  <c r="I77" i="51"/>
  <c r="J77" i="51"/>
  <c r="K77" i="51"/>
  <c r="L77" i="51"/>
  <c r="M77" i="51"/>
  <c r="N77" i="51"/>
  <c r="I78" i="51"/>
  <c r="K78" i="51" s="1"/>
  <c r="J78" i="51"/>
  <c r="L78" i="51"/>
  <c r="M78" i="51"/>
  <c r="N78" i="51"/>
  <c r="I79" i="51"/>
  <c r="J79" i="51"/>
  <c r="L79" i="51"/>
  <c r="M79" i="51"/>
  <c r="N79" i="51"/>
  <c r="I80" i="51"/>
  <c r="AA80" i="51" s="1"/>
  <c r="J80" i="51"/>
  <c r="K80" i="51"/>
  <c r="L80" i="51"/>
  <c r="M80" i="51"/>
  <c r="N80" i="51"/>
  <c r="I81" i="51"/>
  <c r="K81" i="51" s="1"/>
  <c r="J81" i="51"/>
  <c r="L81" i="51"/>
  <c r="M81" i="51"/>
  <c r="N81" i="51"/>
  <c r="I82" i="51"/>
  <c r="K82" i="51" s="1"/>
  <c r="J82" i="51"/>
  <c r="L82" i="51"/>
  <c r="M82" i="51"/>
  <c r="N82" i="51"/>
  <c r="I83" i="51"/>
  <c r="J83" i="51"/>
  <c r="L83" i="51"/>
  <c r="M83" i="51"/>
  <c r="N83" i="51"/>
  <c r="I84" i="51"/>
  <c r="J84" i="51"/>
  <c r="L84" i="51"/>
  <c r="M84" i="51"/>
  <c r="N84" i="51"/>
  <c r="I85" i="51"/>
  <c r="AA85" i="51" s="1"/>
  <c r="AF85" i="51" s="1"/>
  <c r="J85" i="51"/>
  <c r="L85" i="51"/>
  <c r="M85" i="51"/>
  <c r="N85" i="51"/>
  <c r="I86" i="51"/>
  <c r="K86" i="51" s="1"/>
  <c r="J86" i="51"/>
  <c r="L86" i="51"/>
  <c r="M86" i="51"/>
  <c r="N86" i="51"/>
  <c r="I87" i="51"/>
  <c r="J87" i="51"/>
  <c r="L87" i="51"/>
  <c r="M87" i="51"/>
  <c r="N87" i="51"/>
  <c r="I88" i="51"/>
  <c r="AA88" i="51" s="1"/>
  <c r="J88" i="51"/>
  <c r="L88" i="51"/>
  <c r="M88" i="51"/>
  <c r="N88" i="51"/>
  <c r="N74" i="51"/>
  <c r="N75" i="51"/>
  <c r="I74" i="51"/>
  <c r="J74" i="51"/>
  <c r="I75" i="51"/>
  <c r="J75" i="51"/>
  <c r="AD72" i="51"/>
  <c r="AG72" i="51"/>
  <c r="AH72" i="51" s="1"/>
  <c r="N72" i="51"/>
  <c r="O72" i="51"/>
  <c r="P72" i="51"/>
  <c r="P109" i="51" s="1"/>
  <c r="Q72" i="51"/>
  <c r="Q109" i="51" s="1"/>
  <c r="R72" i="51"/>
  <c r="R109" i="51" s="1"/>
  <c r="S72" i="51"/>
  <c r="S109" i="51" s="1"/>
  <c r="T72" i="51"/>
  <c r="T109" i="51" s="1"/>
  <c r="U72" i="51"/>
  <c r="U109" i="51" s="1"/>
  <c r="V72" i="51"/>
  <c r="V109" i="51" s="1"/>
  <c r="W72" i="51"/>
  <c r="X72" i="51"/>
  <c r="X109" i="51" s="1"/>
  <c r="Y72" i="51"/>
  <c r="Y109" i="51" s="1"/>
  <c r="Z72" i="51"/>
  <c r="Z109" i="51" s="1"/>
  <c r="AH71" i="51"/>
  <c r="AI71" i="51"/>
  <c r="AB62" i="51"/>
  <c r="AM62" i="51" s="1"/>
  <c r="AB63" i="51"/>
  <c r="AB64" i="51"/>
  <c r="AB65" i="51"/>
  <c r="AB66" i="51"/>
  <c r="AM66" i="51" s="1"/>
  <c r="AB67" i="51"/>
  <c r="AB68" i="51"/>
  <c r="AM68" i="51" s="1"/>
  <c r="AB69" i="51"/>
  <c r="AB70" i="51"/>
  <c r="AN70" i="51" s="1"/>
  <c r="AB71" i="51"/>
  <c r="N60" i="51"/>
  <c r="N61" i="51"/>
  <c r="N62" i="51"/>
  <c r="N63" i="51"/>
  <c r="N64" i="51"/>
  <c r="N65" i="51"/>
  <c r="N66" i="51"/>
  <c r="N67" i="51"/>
  <c r="N68" i="51"/>
  <c r="N69" i="51"/>
  <c r="N70" i="51"/>
  <c r="N71" i="51"/>
  <c r="I71" i="51"/>
  <c r="K71" i="51" s="1"/>
  <c r="J71" i="51"/>
  <c r="I72" i="51"/>
  <c r="K72" i="51" s="1"/>
  <c r="J72" i="51"/>
  <c r="AA62" i="51"/>
  <c r="AI62" i="51" s="1"/>
  <c r="AA63" i="51"/>
  <c r="AA68" i="51"/>
  <c r="AH62" i="51"/>
  <c r="AL62" i="51"/>
  <c r="AH63" i="51"/>
  <c r="AM63" i="51"/>
  <c r="AN63" i="51"/>
  <c r="AH64" i="51"/>
  <c r="AH65" i="51"/>
  <c r="AH66" i="51"/>
  <c r="AI66" i="51"/>
  <c r="AL66" i="51"/>
  <c r="AH67" i="51"/>
  <c r="AH68" i="51"/>
  <c r="AH69" i="51"/>
  <c r="AL69" i="51"/>
  <c r="AH70" i="51"/>
  <c r="AL70" i="51"/>
  <c r="AM70" i="51"/>
  <c r="AE62" i="51"/>
  <c r="AE63" i="51"/>
  <c r="AE64" i="51"/>
  <c r="AE65" i="51"/>
  <c r="AM65" i="51" s="1"/>
  <c r="AE66" i="51"/>
  <c r="AF66" i="51"/>
  <c r="AE67" i="51"/>
  <c r="AE68" i="51"/>
  <c r="AE69" i="51"/>
  <c r="AE70" i="51"/>
  <c r="AE71" i="51"/>
  <c r="AF71" i="51"/>
  <c r="I62" i="51"/>
  <c r="K62" i="51" s="1"/>
  <c r="J62" i="51"/>
  <c r="L62" i="51"/>
  <c r="M62" i="51"/>
  <c r="I63" i="51"/>
  <c r="K63" i="51" s="1"/>
  <c r="J63" i="51"/>
  <c r="L63" i="51"/>
  <c r="M63" i="51"/>
  <c r="I64" i="51"/>
  <c r="J64" i="51"/>
  <c r="L64" i="51"/>
  <c r="M64" i="51"/>
  <c r="I65" i="51"/>
  <c r="J65" i="51"/>
  <c r="L65" i="51"/>
  <c r="M65" i="51"/>
  <c r="I66" i="51"/>
  <c r="AA66" i="51" s="1"/>
  <c r="J66" i="51"/>
  <c r="L66" i="51"/>
  <c r="M66" i="51"/>
  <c r="I67" i="51"/>
  <c r="AA67" i="51" s="1"/>
  <c r="J67" i="51"/>
  <c r="L67" i="51"/>
  <c r="M67" i="51"/>
  <c r="I68" i="51"/>
  <c r="J68" i="51"/>
  <c r="K68" i="51"/>
  <c r="L68" i="51"/>
  <c r="M68" i="51"/>
  <c r="I69" i="51"/>
  <c r="AA69" i="51" s="1"/>
  <c r="J69" i="51"/>
  <c r="K69" i="51"/>
  <c r="L69" i="51"/>
  <c r="M69" i="51"/>
  <c r="I70" i="51"/>
  <c r="K70" i="51" s="1"/>
  <c r="J70" i="51"/>
  <c r="L70" i="51"/>
  <c r="M70" i="51"/>
  <c r="I60" i="51"/>
  <c r="J60" i="51"/>
  <c r="I61" i="51"/>
  <c r="J61" i="51"/>
  <c r="B55" i="51"/>
  <c r="B56" i="51"/>
  <c r="B50" i="51"/>
  <c r="B51" i="51"/>
  <c r="B52" i="51"/>
  <c r="A47" i="51"/>
  <c r="AL35" i="51"/>
  <c r="AH37" i="51"/>
  <c r="AH38" i="51"/>
  <c r="AH39" i="51"/>
  <c r="AL39" i="51"/>
  <c r="AL40" i="51"/>
  <c r="AH41" i="51"/>
  <c r="AH42" i="51"/>
  <c r="AL42" i="51"/>
  <c r="AL43" i="51"/>
  <c r="AH44" i="51"/>
  <c r="AH45" i="51"/>
  <c r="AH46" i="51"/>
  <c r="AL46" i="51"/>
  <c r="AI47" i="51"/>
  <c r="AL47" i="51"/>
  <c r="AH49" i="51"/>
  <c r="AH50" i="51"/>
  <c r="AL50" i="51"/>
  <c r="AH51" i="51"/>
  <c r="AL51" i="51"/>
  <c r="AH52" i="51"/>
  <c r="AH53" i="51"/>
  <c r="AH54" i="51"/>
  <c r="AL54" i="51"/>
  <c r="AH55" i="51"/>
  <c r="AL55" i="51"/>
  <c r="AH56" i="51"/>
  <c r="AH57" i="51"/>
  <c r="AE35" i="51"/>
  <c r="AE37" i="51"/>
  <c r="AE38" i="51"/>
  <c r="AE39" i="51"/>
  <c r="AE41" i="51"/>
  <c r="AE42" i="51"/>
  <c r="AE44" i="51"/>
  <c r="AE45" i="51"/>
  <c r="AE46" i="51"/>
  <c r="AE48" i="51"/>
  <c r="AE50" i="51"/>
  <c r="AE51" i="51"/>
  <c r="AE52" i="51"/>
  <c r="AE53" i="51"/>
  <c r="AE55" i="51"/>
  <c r="AE56" i="51"/>
  <c r="AA36" i="51"/>
  <c r="AA44" i="51"/>
  <c r="AA48" i="51"/>
  <c r="I35" i="51"/>
  <c r="AA35" i="51" s="1"/>
  <c r="J35" i="51"/>
  <c r="K35" i="51"/>
  <c r="L35" i="51"/>
  <c r="M35" i="51"/>
  <c r="N35" i="51"/>
  <c r="I36" i="51"/>
  <c r="K36" i="51" s="1"/>
  <c r="J36" i="51"/>
  <c r="L36" i="51"/>
  <c r="M36" i="51"/>
  <c r="N36" i="51"/>
  <c r="I37" i="51"/>
  <c r="AA37" i="51" s="1"/>
  <c r="AB37" i="51" s="1"/>
  <c r="J37" i="51"/>
  <c r="L37" i="51"/>
  <c r="M37" i="51"/>
  <c r="N37" i="51"/>
  <c r="I38" i="51"/>
  <c r="J38" i="51"/>
  <c r="L38" i="51"/>
  <c r="M38" i="51"/>
  <c r="N38" i="51"/>
  <c r="I39" i="51"/>
  <c r="J39" i="51"/>
  <c r="L39" i="51"/>
  <c r="M39" i="51"/>
  <c r="N39" i="51"/>
  <c r="I40" i="51"/>
  <c r="AA40" i="51" s="1"/>
  <c r="J40" i="51"/>
  <c r="K40" i="51"/>
  <c r="L40" i="51"/>
  <c r="M40" i="51"/>
  <c r="N40" i="51"/>
  <c r="I41" i="51"/>
  <c r="AA41" i="51" s="1"/>
  <c r="AF41" i="51" s="1"/>
  <c r="J41" i="51"/>
  <c r="L41" i="51"/>
  <c r="M41" i="51"/>
  <c r="N41" i="51"/>
  <c r="I42" i="51"/>
  <c r="J42" i="51"/>
  <c r="L42" i="51"/>
  <c r="M42" i="51"/>
  <c r="N42" i="51"/>
  <c r="I43" i="51"/>
  <c r="AA43" i="51" s="1"/>
  <c r="J43" i="51"/>
  <c r="L43" i="51"/>
  <c r="M43" i="51"/>
  <c r="N43" i="51"/>
  <c r="I44" i="51"/>
  <c r="J44" i="51"/>
  <c r="K44" i="51"/>
  <c r="L44" i="51"/>
  <c r="M44" i="51"/>
  <c r="N44" i="51"/>
  <c r="I45" i="51"/>
  <c r="AA45" i="51" s="1"/>
  <c r="AB45" i="51" s="1"/>
  <c r="J45" i="51"/>
  <c r="L45" i="51"/>
  <c r="M45" i="51"/>
  <c r="N45" i="51"/>
  <c r="I46" i="51"/>
  <c r="J46" i="51"/>
  <c r="L46" i="51"/>
  <c r="M46" i="51"/>
  <c r="N46" i="51"/>
  <c r="I47" i="51"/>
  <c r="AA47" i="51" s="1"/>
  <c r="J47" i="51"/>
  <c r="K47" i="51"/>
  <c r="L47" i="51"/>
  <c r="M47" i="51"/>
  <c r="N47" i="51"/>
  <c r="I48" i="51"/>
  <c r="J48" i="51"/>
  <c r="K48" i="51"/>
  <c r="L48" i="51"/>
  <c r="M48" i="51"/>
  <c r="N48" i="51"/>
  <c r="I49" i="51"/>
  <c r="AA49" i="51" s="1"/>
  <c r="J49" i="51"/>
  <c r="L49" i="51"/>
  <c r="M49" i="51"/>
  <c r="N49" i="51"/>
  <c r="I50" i="51"/>
  <c r="J50" i="51"/>
  <c r="L50" i="51"/>
  <c r="M50" i="51"/>
  <c r="N50" i="51"/>
  <c r="I51" i="51"/>
  <c r="AA51" i="51" s="1"/>
  <c r="J51" i="51"/>
  <c r="K51" i="51"/>
  <c r="L51" i="51"/>
  <c r="M51" i="51"/>
  <c r="N51" i="51"/>
  <c r="I52" i="51"/>
  <c r="K52" i="51" s="1"/>
  <c r="J52" i="51"/>
  <c r="L52" i="51"/>
  <c r="M52" i="51"/>
  <c r="N52" i="51"/>
  <c r="I53" i="51"/>
  <c r="AA53" i="51" s="1"/>
  <c r="AB53" i="51" s="1"/>
  <c r="J53" i="51"/>
  <c r="L53" i="51"/>
  <c r="M53" i="51"/>
  <c r="N53" i="51"/>
  <c r="I54" i="51"/>
  <c r="J54" i="51"/>
  <c r="L54" i="51"/>
  <c r="M54" i="51"/>
  <c r="N54" i="51"/>
  <c r="I55" i="51"/>
  <c r="J55" i="51"/>
  <c r="L55" i="51"/>
  <c r="M55" i="51"/>
  <c r="N55" i="51"/>
  <c r="I56" i="51"/>
  <c r="AA56" i="51" s="1"/>
  <c r="J56" i="51"/>
  <c r="K56" i="51"/>
  <c r="L56" i="51"/>
  <c r="M56" i="51"/>
  <c r="N56" i="51"/>
  <c r="I57" i="51"/>
  <c r="AA57" i="51" s="1"/>
  <c r="AF57" i="51" s="1"/>
  <c r="J57" i="51"/>
  <c r="L57" i="51"/>
  <c r="M57" i="51"/>
  <c r="N57" i="51"/>
  <c r="I58" i="51"/>
  <c r="J58" i="51"/>
  <c r="L58" i="51"/>
  <c r="M58" i="51"/>
  <c r="N58" i="51"/>
  <c r="N33" i="51"/>
  <c r="N34" i="51"/>
  <c r="I33" i="51"/>
  <c r="J33" i="51"/>
  <c r="I34" i="51"/>
  <c r="J34" i="51"/>
  <c r="AG32" i="51"/>
  <c r="AL32" i="51" s="1"/>
  <c r="AD32" i="51"/>
  <c r="AK32" i="51" s="1"/>
  <c r="O32" i="51"/>
  <c r="P32" i="51"/>
  <c r="Q32" i="51"/>
  <c r="R32" i="51"/>
  <c r="S32" i="51"/>
  <c r="T32" i="51"/>
  <c r="U32" i="51"/>
  <c r="V32" i="51"/>
  <c r="W32" i="51"/>
  <c r="X32" i="51"/>
  <c r="Y32" i="51"/>
  <c r="Z32" i="51"/>
  <c r="AJ32" i="51" s="1"/>
  <c r="AJ31" i="51"/>
  <c r="AK31" i="51"/>
  <c r="AM31" i="51" s="1"/>
  <c r="AL31" i="51"/>
  <c r="AN31" i="51" s="1"/>
  <c r="AG31" i="51"/>
  <c r="AD31" i="51"/>
  <c r="O31" i="51"/>
  <c r="P31" i="51"/>
  <c r="Q31" i="51"/>
  <c r="R31" i="51"/>
  <c r="S31" i="51"/>
  <c r="T31" i="51"/>
  <c r="U31" i="51"/>
  <c r="V31" i="51"/>
  <c r="W31" i="51"/>
  <c r="X31" i="51"/>
  <c r="Y31" i="51"/>
  <c r="Z31" i="51"/>
  <c r="AA31" i="51"/>
  <c r="N26" i="51"/>
  <c r="N27" i="51"/>
  <c r="N28" i="51"/>
  <c r="N29" i="51"/>
  <c r="B22" i="51"/>
  <c r="B23" i="51"/>
  <c r="AG16" i="51"/>
  <c r="AG19" i="51"/>
  <c r="AH80" i="51" s="1"/>
  <c r="AG20" i="51"/>
  <c r="AL37" i="51" s="1"/>
  <c r="AD19" i="51"/>
  <c r="AE72" i="51" s="1"/>
  <c r="AD20" i="51"/>
  <c r="AK86" i="51" s="1"/>
  <c r="G19" i="51"/>
  <c r="G20" i="51"/>
  <c r="N19" i="51"/>
  <c r="O19" i="51"/>
  <c r="P19" i="51"/>
  <c r="Q19" i="51"/>
  <c r="R19" i="51"/>
  <c r="S19" i="51"/>
  <c r="T19" i="51"/>
  <c r="U19" i="51"/>
  <c r="V19" i="51"/>
  <c r="W19" i="51"/>
  <c r="X19" i="51"/>
  <c r="Y19" i="51"/>
  <c r="Z19" i="51"/>
  <c r="N20" i="51"/>
  <c r="O20" i="51"/>
  <c r="P20" i="51"/>
  <c r="Q20" i="51"/>
  <c r="R20" i="51"/>
  <c r="S20" i="51"/>
  <c r="T20" i="51"/>
  <c r="U20" i="51"/>
  <c r="V20" i="51"/>
  <c r="W20" i="51"/>
  <c r="X20" i="51"/>
  <c r="Y20" i="51"/>
  <c r="Z20" i="51"/>
  <c r="B17" i="51"/>
  <c r="B18" i="51"/>
  <c r="B19" i="51"/>
  <c r="O16" i="51"/>
  <c r="P16" i="51"/>
  <c r="Q16" i="51"/>
  <c r="R16" i="51"/>
  <c r="S16" i="51"/>
  <c r="T16" i="51"/>
  <c r="U16" i="51"/>
  <c r="V16" i="51"/>
  <c r="W16" i="51"/>
  <c r="X16" i="51"/>
  <c r="Y16" i="51"/>
  <c r="AA16" i="51"/>
  <c r="O17" i="51"/>
  <c r="P17" i="51"/>
  <c r="Q17" i="51"/>
  <c r="R17" i="51"/>
  <c r="S17" i="51"/>
  <c r="T17" i="51"/>
  <c r="U17" i="51"/>
  <c r="V17" i="51"/>
  <c r="W17" i="51"/>
  <c r="X17" i="51"/>
  <c r="Y17" i="51"/>
  <c r="Z17" i="51"/>
  <c r="AA17" i="51" s="1"/>
  <c r="A14" i="51"/>
  <c r="AG12" i="51"/>
  <c r="AG13" i="51"/>
  <c r="AD12" i="51"/>
  <c r="AD13" i="51"/>
  <c r="B12" i="51"/>
  <c r="B13" i="51"/>
  <c r="O11" i="51"/>
  <c r="P11" i="51"/>
  <c r="Q11" i="51"/>
  <c r="R11" i="51"/>
  <c r="S11" i="51"/>
  <c r="T11" i="51"/>
  <c r="U11" i="51"/>
  <c r="V11" i="51"/>
  <c r="W11" i="51"/>
  <c r="X11" i="51"/>
  <c r="Y11" i="51"/>
  <c r="Z11" i="51"/>
  <c r="AA11" i="51"/>
  <c r="O12" i="51"/>
  <c r="P12" i="51"/>
  <c r="Q12" i="51"/>
  <c r="R12" i="51"/>
  <c r="S12" i="51"/>
  <c r="T12" i="51"/>
  <c r="U12" i="51"/>
  <c r="V12" i="51"/>
  <c r="W12" i="51"/>
  <c r="X12" i="51"/>
  <c r="Y12" i="51"/>
  <c r="Z12" i="51"/>
  <c r="AA12" i="51"/>
  <c r="O13" i="51"/>
  <c r="P13" i="51"/>
  <c r="Q13" i="51"/>
  <c r="R13" i="51"/>
  <c r="S13" i="51"/>
  <c r="T13" i="51"/>
  <c r="U13" i="51"/>
  <c r="V13" i="51"/>
  <c r="W13" i="51"/>
  <c r="X13" i="51"/>
  <c r="Y13" i="51"/>
  <c r="Z13" i="51"/>
  <c r="AA13" i="51"/>
  <c r="C10" i="51"/>
  <c r="D10" i="51"/>
  <c r="Z16" i="51" s="1"/>
  <c r="C9" i="51"/>
  <c r="C1" i="51"/>
  <c r="C2" i="51"/>
  <c r="C3" i="51"/>
  <c r="C4" i="51"/>
  <c r="C5" i="51"/>
  <c r="C6" i="51"/>
  <c r="C7" i="51"/>
  <c r="C8" i="51"/>
  <c r="E6" i="51"/>
  <c r="B62" i="51" s="1"/>
  <c r="E4" i="51"/>
  <c r="F4" i="51"/>
  <c r="B3" i="51"/>
  <c r="H2" i="51" s="1"/>
  <c r="N1" i="51"/>
  <c r="N1" i="55" s="1"/>
  <c r="AG143" i="39"/>
  <c r="AG144" i="39"/>
  <c r="AG145" i="39"/>
  <c r="AG146" i="39"/>
  <c r="AD143" i="39"/>
  <c r="AD144" i="39"/>
  <c r="AD145" i="39"/>
  <c r="AD146" i="39"/>
  <c r="O143" i="39"/>
  <c r="P143" i="39"/>
  <c r="Q143" i="39"/>
  <c r="R143" i="39"/>
  <c r="S143" i="39"/>
  <c r="T143" i="39"/>
  <c r="U143" i="39"/>
  <c r="V143" i="39"/>
  <c r="W143" i="39"/>
  <c r="X143" i="39"/>
  <c r="Y143" i="39"/>
  <c r="Z143" i="39"/>
  <c r="O144" i="39"/>
  <c r="P144" i="39"/>
  <c r="Q144" i="39"/>
  <c r="R144" i="39"/>
  <c r="S144" i="39"/>
  <c r="T144" i="39"/>
  <c r="U144" i="39"/>
  <c r="V144" i="39"/>
  <c r="W144" i="39"/>
  <c r="X144" i="39"/>
  <c r="Y144" i="39"/>
  <c r="Z144" i="39"/>
  <c r="O145" i="39"/>
  <c r="P145" i="39"/>
  <c r="Q145" i="39"/>
  <c r="R145" i="39"/>
  <c r="S145" i="39"/>
  <c r="T145" i="39"/>
  <c r="U145" i="39"/>
  <c r="V145" i="39"/>
  <c r="W145" i="39"/>
  <c r="X145" i="39"/>
  <c r="Y145" i="39"/>
  <c r="Z145" i="39"/>
  <c r="O146" i="39"/>
  <c r="P146" i="39"/>
  <c r="Q146" i="39"/>
  <c r="R146" i="39"/>
  <c r="S146" i="39"/>
  <c r="T146" i="39"/>
  <c r="U146" i="39"/>
  <c r="V146" i="39"/>
  <c r="W146" i="39"/>
  <c r="X146" i="39"/>
  <c r="Y146" i="39"/>
  <c r="Z146" i="39"/>
  <c r="AI131" i="39"/>
  <c r="AI133" i="39"/>
  <c r="AI135" i="39"/>
  <c r="AI137" i="39"/>
  <c r="AI139" i="39"/>
  <c r="AG141" i="39"/>
  <c r="AD141" i="39"/>
  <c r="O141" i="39"/>
  <c r="P141" i="39"/>
  <c r="Q141" i="39"/>
  <c r="R141" i="39"/>
  <c r="S141" i="39"/>
  <c r="T141" i="39"/>
  <c r="U141" i="39"/>
  <c r="V141" i="39"/>
  <c r="W141" i="39"/>
  <c r="X141" i="39"/>
  <c r="Y141" i="39"/>
  <c r="Z141" i="39"/>
  <c r="AH140" i="39"/>
  <c r="AE140" i="39"/>
  <c r="AA140" i="39"/>
  <c r="AI140" i="39" s="1"/>
  <c r="AB140" i="39"/>
  <c r="AF131" i="39"/>
  <c r="AF133" i="39"/>
  <c r="AF135" i="39"/>
  <c r="AF137" i="39"/>
  <c r="AF139" i="39"/>
  <c r="AH138" i="39"/>
  <c r="AE138" i="39"/>
  <c r="AA138" i="39"/>
  <c r="AF138" i="39" s="1"/>
  <c r="AB138" i="39"/>
  <c r="AH136" i="39"/>
  <c r="AE136" i="39"/>
  <c r="AA136" i="39"/>
  <c r="AB136" i="39"/>
  <c r="AH134" i="39"/>
  <c r="AE134" i="39"/>
  <c r="AA134" i="39"/>
  <c r="AF134" i="39" s="1"/>
  <c r="AB134" i="39"/>
  <c r="AH132" i="39"/>
  <c r="AE132" i="39"/>
  <c r="AA132" i="39"/>
  <c r="AB132" i="39"/>
  <c r="AH130" i="39"/>
  <c r="AE130" i="39"/>
  <c r="AA130" i="39"/>
  <c r="AI130" i="39" s="1"/>
  <c r="AB130" i="39"/>
  <c r="L130" i="39"/>
  <c r="M130" i="39"/>
  <c r="N130" i="39"/>
  <c r="L131" i="39"/>
  <c r="M131" i="39"/>
  <c r="N131" i="39"/>
  <c r="L132" i="39"/>
  <c r="M132" i="39"/>
  <c r="N132" i="39"/>
  <c r="L133" i="39"/>
  <c r="M133" i="39"/>
  <c r="N133" i="39"/>
  <c r="L134" i="39"/>
  <c r="M134" i="39"/>
  <c r="N134" i="39"/>
  <c r="L135" i="39"/>
  <c r="M135" i="39"/>
  <c r="N135" i="39"/>
  <c r="L136" i="39"/>
  <c r="M136" i="39"/>
  <c r="N136" i="39"/>
  <c r="L137" i="39"/>
  <c r="M137" i="39"/>
  <c r="N137" i="39"/>
  <c r="L138" i="39"/>
  <c r="M138" i="39"/>
  <c r="N138" i="39"/>
  <c r="L139" i="39"/>
  <c r="M139" i="39"/>
  <c r="N139" i="39"/>
  <c r="L140" i="39"/>
  <c r="M140" i="39"/>
  <c r="N140" i="39"/>
  <c r="N129" i="39"/>
  <c r="AG121" i="39"/>
  <c r="AG122" i="39"/>
  <c r="AG123" i="39"/>
  <c r="AG124" i="39"/>
  <c r="AG125" i="39"/>
  <c r="AH125" i="39" s="1"/>
  <c r="AD121" i="39"/>
  <c r="AD122" i="39"/>
  <c r="AD123" i="39"/>
  <c r="AD124" i="39"/>
  <c r="AD125" i="39"/>
  <c r="AE125" i="39" s="1"/>
  <c r="L121" i="39"/>
  <c r="M121" i="39"/>
  <c r="N121" i="39"/>
  <c r="O121" i="39"/>
  <c r="P121" i="39"/>
  <c r="Q121" i="39"/>
  <c r="R121" i="39"/>
  <c r="S121" i="39"/>
  <c r="T121" i="39"/>
  <c r="U121" i="39"/>
  <c r="V121" i="39"/>
  <c r="W121" i="39"/>
  <c r="X121" i="39"/>
  <c r="Y121" i="39"/>
  <c r="Z121" i="39"/>
  <c r="L122" i="39"/>
  <c r="M122" i="39"/>
  <c r="N122" i="39"/>
  <c r="O122" i="39"/>
  <c r="P122" i="39"/>
  <c r="Q122" i="39"/>
  <c r="R122" i="39"/>
  <c r="S122" i="39"/>
  <c r="S126" i="39" s="1"/>
  <c r="S127" i="39" s="1"/>
  <c r="T122" i="39"/>
  <c r="U122" i="39"/>
  <c r="V122" i="39"/>
  <c r="W122" i="39"/>
  <c r="X122" i="39"/>
  <c r="Y122" i="39"/>
  <c r="Z122" i="39"/>
  <c r="L123" i="39"/>
  <c r="M123" i="39"/>
  <c r="N123" i="39"/>
  <c r="O123" i="39"/>
  <c r="P123" i="39"/>
  <c r="Q123" i="39"/>
  <c r="R123" i="39"/>
  <c r="S123" i="39"/>
  <c r="T123" i="39"/>
  <c r="U123" i="39"/>
  <c r="V123" i="39"/>
  <c r="W123" i="39"/>
  <c r="W126" i="39" s="1"/>
  <c r="W127" i="39" s="1"/>
  <c r="X123" i="39"/>
  <c r="Y123" i="39"/>
  <c r="Z123" i="39"/>
  <c r="L124" i="39"/>
  <c r="M124" i="39"/>
  <c r="N124" i="39"/>
  <c r="O124" i="39"/>
  <c r="P124" i="39"/>
  <c r="Q124" i="39"/>
  <c r="R124" i="39"/>
  <c r="S124" i="39"/>
  <c r="T124" i="39"/>
  <c r="U124" i="39"/>
  <c r="V124" i="39"/>
  <c r="W124" i="39"/>
  <c r="X124" i="39"/>
  <c r="Y124" i="39"/>
  <c r="Z124" i="39"/>
  <c r="L125" i="39"/>
  <c r="M125" i="39"/>
  <c r="N125" i="39"/>
  <c r="O125" i="39"/>
  <c r="P125" i="39"/>
  <c r="Q125" i="39"/>
  <c r="R125" i="39"/>
  <c r="S125" i="39"/>
  <c r="T125" i="39"/>
  <c r="U125" i="39"/>
  <c r="V125" i="39"/>
  <c r="W125" i="39"/>
  <c r="X125" i="39"/>
  <c r="Y125" i="39"/>
  <c r="Z125" i="39"/>
  <c r="L126" i="39"/>
  <c r="M126" i="39"/>
  <c r="N126" i="39"/>
  <c r="AI117" i="39"/>
  <c r="AH118" i="39"/>
  <c r="AI118" i="39"/>
  <c r="AE117" i="39"/>
  <c r="AA114" i="39"/>
  <c r="AF114" i="39" s="1"/>
  <c r="AA115" i="39"/>
  <c r="AF115" i="39" s="1"/>
  <c r="AA116" i="39"/>
  <c r="AI116" i="39" s="1"/>
  <c r="AA117" i="39"/>
  <c r="AF117" i="39" s="1"/>
  <c r="AA118" i="39"/>
  <c r="AF118" i="39" s="1"/>
  <c r="AB118" i="39"/>
  <c r="AA119" i="39"/>
  <c r="L114" i="39"/>
  <c r="M114" i="39"/>
  <c r="N114" i="39"/>
  <c r="L115" i="39"/>
  <c r="M115" i="39"/>
  <c r="N115" i="39"/>
  <c r="L116" i="39"/>
  <c r="M116" i="39"/>
  <c r="N116" i="39"/>
  <c r="L117" i="39"/>
  <c r="M117" i="39"/>
  <c r="N117" i="39"/>
  <c r="L118" i="39"/>
  <c r="M118" i="39"/>
  <c r="N118" i="39"/>
  <c r="L119" i="39"/>
  <c r="M119" i="39"/>
  <c r="N119" i="39"/>
  <c r="AH110" i="39"/>
  <c r="AF107" i="39"/>
  <c r="AF108" i="39"/>
  <c r="AA106" i="39"/>
  <c r="AF106" i="39" s="1"/>
  <c r="AA107" i="39"/>
  <c r="AI107" i="39" s="1"/>
  <c r="AA108" i="39"/>
  <c r="AA109" i="39"/>
  <c r="AI109" i="39" s="1"/>
  <c r="AA110" i="39"/>
  <c r="AF110" i="39" s="1"/>
  <c r="AB110" i="39"/>
  <c r="AA111" i="39"/>
  <c r="L106" i="39"/>
  <c r="M106" i="39"/>
  <c r="N106" i="39"/>
  <c r="L107" i="39"/>
  <c r="M107" i="39"/>
  <c r="N107" i="39"/>
  <c r="L108" i="39"/>
  <c r="M108" i="39"/>
  <c r="N108" i="39"/>
  <c r="L109" i="39"/>
  <c r="M109" i="39"/>
  <c r="N109" i="39"/>
  <c r="L110" i="39"/>
  <c r="M110" i="39"/>
  <c r="N110" i="39"/>
  <c r="L111" i="39"/>
  <c r="M111" i="39"/>
  <c r="N111" i="39"/>
  <c r="AF100" i="39"/>
  <c r="AF101" i="39"/>
  <c r="AA98" i="39"/>
  <c r="AI98" i="39" s="1"/>
  <c r="AA99" i="39"/>
  <c r="AA100" i="39"/>
  <c r="AI100" i="39" s="1"/>
  <c r="AA101" i="39"/>
  <c r="AA102" i="39"/>
  <c r="AI102" i="39" s="1"/>
  <c r="AA103" i="39"/>
  <c r="AI103" i="39" s="1"/>
  <c r="L98" i="39"/>
  <c r="M98" i="39"/>
  <c r="N98" i="39"/>
  <c r="L99" i="39"/>
  <c r="M99" i="39"/>
  <c r="N99" i="39"/>
  <c r="L100" i="39"/>
  <c r="M100" i="39"/>
  <c r="N100" i="39"/>
  <c r="L101" i="39"/>
  <c r="M101" i="39"/>
  <c r="N101" i="39"/>
  <c r="L102" i="39"/>
  <c r="M102" i="39"/>
  <c r="N102" i="39"/>
  <c r="L103" i="39"/>
  <c r="M103" i="39"/>
  <c r="N103" i="39"/>
  <c r="AI91" i="39"/>
  <c r="AD93" i="39"/>
  <c r="AD94" i="39"/>
  <c r="AG93" i="39"/>
  <c r="AG94" i="39"/>
  <c r="O93" i="39"/>
  <c r="P93" i="39"/>
  <c r="Q93" i="39"/>
  <c r="R93" i="39"/>
  <c r="S93" i="39"/>
  <c r="T93" i="39"/>
  <c r="U93" i="39"/>
  <c r="V93" i="39"/>
  <c r="W93" i="39"/>
  <c r="X93" i="39"/>
  <c r="Y93" i="39"/>
  <c r="Z93" i="39"/>
  <c r="O94" i="39"/>
  <c r="P94" i="39"/>
  <c r="Q94" i="39"/>
  <c r="R94" i="39"/>
  <c r="S94" i="39"/>
  <c r="T94" i="39"/>
  <c r="U94" i="39"/>
  <c r="V94" i="39"/>
  <c r="W94" i="39"/>
  <c r="X94" i="39"/>
  <c r="Y94" i="39"/>
  <c r="Z94" i="39"/>
  <c r="AF91" i="39"/>
  <c r="AA91" i="39"/>
  <c r="AA92" i="39"/>
  <c r="AI92" i="39" s="1"/>
  <c r="N91" i="39"/>
  <c r="N92" i="39"/>
  <c r="I91" i="39"/>
  <c r="J91" i="39"/>
  <c r="I92" i="39"/>
  <c r="J92" i="39"/>
  <c r="AI87" i="39"/>
  <c r="AF86" i="39"/>
  <c r="AF87" i="39"/>
  <c r="AA35" i="39"/>
  <c r="AF35" i="39" s="1"/>
  <c r="AA36" i="39"/>
  <c r="AA37" i="39"/>
  <c r="AA38" i="39"/>
  <c r="AF38" i="39" s="1"/>
  <c r="AA39" i="39"/>
  <c r="AA40" i="39"/>
  <c r="AA41" i="39"/>
  <c r="AB41" i="39" s="1"/>
  <c r="AA45" i="39"/>
  <c r="AA46" i="39"/>
  <c r="AA47" i="39"/>
  <c r="AI47" i="39" s="1"/>
  <c r="AA48" i="39"/>
  <c r="AF48" i="39" s="1"/>
  <c r="AA49" i="39"/>
  <c r="AF49" i="39" s="1"/>
  <c r="AA50" i="39"/>
  <c r="AA51" i="39"/>
  <c r="AA55" i="39"/>
  <c r="AA56" i="39"/>
  <c r="AA57" i="39"/>
  <c r="AA58" i="39"/>
  <c r="AA59" i="39"/>
  <c r="AI59" i="39" s="1"/>
  <c r="AA60" i="39"/>
  <c r="AI60" i="39" s="1"/>
  <c r="AA61" i="39"/>
  <c r="AF61" i="39" s="1"/>
  <c r="AA65" i="39"/>
  <c r="AA66" i="39"/>
  <c r="AA67" i="39"/>
  <c r="AA68" i="39"/>
  <c r="AI68" i="39" s="1"/>
  <c r="AA69" i="39"/>
  <c r="AA70" i="39"/>
  <c r="AF70" i="39" s="1"/>
  <c r="AA71" i="39"/>
  <c r="AI71" i="39" s="1"/>
  <c r="AA75" i="39"/>
  <c r="AB75" i="39" s="1"/>
  <c r="AA76" i="39"/>
  <c r="AF76" i="39" s="1"/>
  <c r="AA77" i="39"/>
  <c r="AA78" i="39"/>
  <c r="AA79" i="39"/>
  <c r="AB79" i="39" s="1"/>
  <c r="AA80" i="39"/>
  <c r="AF80" i="39" s="1"/>
  <c r="AA83" i="39"/>
  <c r="AF83" i="39" s="1"/>
  <c r="AA85" i="39"/>
  <c r="AA86" i="39"/>
  <c r="AI86" i="39" s="1"/>
  <c r="AA87" i="39"/>
  <c r="N85" i="39"/>
  <c r="N143" i="39" s="1"/>
  <c r="N86" i="39"/>
  <c r="N87" i="39"/>
  <c r="N144" i="39" s="1"/>
  <c r="N88" i="39"/>
  <c r="N145" i="39" s="1"/>
  <c r="AH83" i="39"/>
  <c r="AE83" i="39"/>
  <c r="L85" i="39"/>
  <c r="M85" i="39"/>
  <c r="L86" i="39"/>
  <c r="M86" i="39"/>
  <c r="L87" i="39"/>
  <c r="M87" i="39"/>
  <c r="I85" i="39"/>
  <c r="J85" i="39"/>
  <c r="I86" i="39"/>
  <c r="J86" i="39"/>
  <c r="I87" i="39"/>
  <c r="J87" i="39"/>
  <c r="I88" i="39"/>
  <c r="J88" i="39"/>
  <c r="W84" i="39"/>
  <c r="Z84" i="39"/>
  <c r="AI83" i="39"/>
  <c r="L83" i="39"/>
  <c r="M83" i="39"/>
  <c r="N83" i="39"/>
  <c r="I83" i="39"/>
  <c r="J83" i="39"/>
  <c r="AG82" i="39"/>
  <c r="AH84" i="39" s="1"/>
  <c r="AD82" i="39"/>
  <c r="AE84" i="39" s="1"/>
  <c r="O82" i="39"/>
  <c r="O84" i="39" s="1"/>
  <c r="P82" i="39"/>
  <c r="P84" i="39" s="1"/>
  <c r="Q82" i="39"/>
  <c r="Q84" i="39" s="1"/>
  <c r="R82" i="39"/>
  <c r="R84" i="39" s="1"/>
  <c r="S82" i="39"/>
  <c r="S84" i="39" s="1"/>
  <c r="T82" i="39"/>
  <c r="T84" i="39" s="1"/>
  <c r="U82" i="39"/>
  <c r="U84" i="39" s="1"/>
  <c r="V82" i="39"/>
  <c r="V84" i="39" s="1"/>
  <c r="W82" i="39"/>
  <c r="X82" i="39"/>
  <c r="X84" i="39" s="1"/>
  <c r="Y82" i="39"/>
  <c r="Y84" i="39" s="1"/>
  <c r="Z82" i="39"/>
  <c r="AI75" i="39"/>
  <c r="AI76" i="39"/>
  <c r="AI77" i="39"/>
  <c r="AI78" i="39"/>
  <c r="AF78" i="39"/>
  <c r="AH77" i="39"/>
  <c r="AH78" i="39"/>
  <c r="AH80" i="39"/>
  <c r="AE74" i="39"/>
  <c r="AE80" i="39"/>
  <c r="AB76" i="39"/>
  <c r="AB78" i="39"/>
  <c r="L75" i="39"/>
  <c r="M75" i="39"/>
  <c r="N75" i="39"/>
  <c r="L76" i="39"/>
  <c r="M76" i="39"/>
  <c r="N76" i="39"/>
  <c r="L77" i="39"/>
  <c r="M77" i="39"/>
  <c r="N77" i="39"/>
  <c r="L78" i="39"/>
  <c r="M78" i="39"/>
  <c r="N78" i="39"/>
  <c r="L79" i="39"/>
  <c r="M79" i="39"/>
  <c r="N79" i="39"/>
  <c r="L80" i="39"/>
  <c r="M80" i="39"/>
  <c r="N80" i="39"/>
  <c r="L81" i="39"/>
  <c r="M81" i="39"/>
  <c r="N81" i="39"/>
  <c r="I75" i="39"/>
  <c r="J75" i="39"/>
  <c r="I76" i="39"/>
  <c r="J76" i="39"/>
  <c r="I77" i="39"/>
  <c r="J77" i="39"/>
  <c r="I78" i="39"/>
  <c r="J78" i="39"/>
  <c r="I79" i="39"/>
  <c r="J79" i="39"/>
  <c r="I80" i="39"/>
  <c r="J80" i="39"/>
  <c r="I81" i="39"/>
  <c r="J81" i="39"/>
  <c r="AG73" i="39"/>
  <c r="AH74" i="39" s="1"/>
  <c r="AD73" i="39"/>
  <c r="O73" i="39"/>
  <c r="O74" i="39" s="1"/>
  <c r="P73" i="39"/>
  <c r="P74" i="39" s="1"/>
  <c r="Q73" i="39"/>
  <c r="R73" i="39"/>
  <c r="R74" i="39" s="1"/>
  <c r="S73" i="39"/>
  <c r="S74" i="39" s="1"/>
  <c r="T73" i="39"/>
  <c r="T74" i="39" s="1"/>
  <c r="U73" i="39"/>
  <c r="U74" i="39" s="1"/>
  <c r="V73" i="39"/>
  <c r="W73" i="39"/>
  <c r="W74" i="39" s="1"/>
  <c r="X73" i="39"/>
  <c r="Y73" i="39"/>
  <c r="Z73" i="39"/>
  <c r="Z74" i="39" s="1"/>
  <c r="Q74" i="39"/>
  <c r="V74" i="39"/>
  <c r="X74" i="39"/>
  <c r="Y74" i="39"/>
  <c r="AI67" i="39"/>
  <c r="AI70" i="39"/>
  <c r="AF67" i="39"/>
  <c r="AH71" i="39"/>
  <c r="AE71" i="39"/>
  <c r="AB71" i="39"/>
  <c r="AE68" i="39"/>
  <c r="L65" i="39"/>
  <c r="M65" i="39"/>
  <c r="N65" i="39"/>
  <c r="L66" i="39"/>
  <c r="M66" i="39"/>
  <c r="N66" i="39"/>
  <c r="L67" i="39"/>
  <c r="M67" i="39"/>
  <c r="N67" i="39"/>
  <c r="L68" i="39"/>
  <c r="M68" i="39"/>
  <c r="N68" i="39"/>
  <c r="L69" i="39"/>
  <c r="M69" i="39"/>
  <c r="N69" i="39"/>
  <c r="L70" i="39"/>
  <c r="M70" i="39"/>
  <c r="N70" i="39"/>
  <c r="L71" i="39"/>
  <c r="M71" i="39"/>
  <c r="N71" i="39"/>
  <c r="L72" i="39"/>
  <c r="M72" i="39"/>
  <c r="N72" i="39"/>
  <c r="I65" i="39"/>
  <c r="J65" i="39"/>
  <c r="I66" i="39"/>
  <c r="J66" i="39"/>
  <c r="I67" i="39"/>
  <c r="J67" i="39"/>
  <c r="I68" i="39"/>
  <c r="J68" i="39"/>
  <c r="I69" i="39"/>
  <c r="J69" i="39"/>
  <c r="I70" i="39"/>
  <c r="J70" i="39"/>
  <c r="I71" i="39"/>
  <c r="J71" i="39"/>
  <c r="I72" i="39"/>
  <c r="J72" i="39"/>
  <c r="AG63" i="39"/>
  <c r="AH64" i="39" s="1"/>
  <c r="AD63" i="39"/>
  <c r="AE64" i="39" s="1"/>
  <c r="O63" i="39"/>
  <c r="P63" i="39"/>
  <c r="P64" i="39" s="1"/>
  <c r="Q63" i="39"/>
  <c r="Q64" i="39" s="1"/>
  <c r="R63" i="39"/>
  <c r="R64" i="39" s="1"/>
  <c r="S63" i="39"/>
  <c r="S64" i="39" s="1"/>
  <c r="T63" i="39"/>
  <c r="T64" i="39" s="1"/>
  <c r="U63" i="39"/>
  <c r="U64" i="39" s="1"/>
  <c r="V63" i="39"/>
  <c r="V64" i="39" s="1"/>
  <c r="W63" i="39"/>
  <c r="X63" i="39"/>
  <c r="X64" i="39" s="1"/>
  <c r="Y63" i="39"/>
  <c r="Y64" i="39" s="1"/>
  <c r="Z63" i="39"/>
  <c r="O64" i="39"/>
  <c r="W64" i="39"/>
  <c r="Z64" i="39"/>
  <c r="AI55" i="39"/>
  <c r="AI56" i="39"/>
  <c r="AI57" i="39"/>
  <c r="AI58" i="39"/>
  <c r="AF55" i="39"/>
  <c r="AF56" i="39"/>
  <c r="AF57" i="39"/>
  <c r="AF58" i="39"/>
  <c r="AF59" i="39"/>
  <c r="AF60" i="39"/>
  <c r="AH61" i="39"/>
  <c r="AE61" i="39"/>
  <c r="AH54" i="39"/>
  <c r="AE56" i="39"/>
  <c r="AE59" i="39"/>
  <c r="L55" i="39"/>
  <c r="M55" i="39"/>
  <c r="N55" i="39"/>
  <c r="L56" i="39"/>
  <c r="M56" i="39"/>
  <c r="N56" i="39"/>
  <c r="L57" i="39"/>
  <c r="M57" i="39"/>
  <c r="N57" i="39"/>
  <c r="L58" i="39"/>
  <c r="M58" i="39"/>
  <c r="N58" i="39"/>
  <c r="L59" i="39"/>
  <c r="M59" i="39"/>
  <c r="N59" i="39"/>
  <c r="L60" i="39"/>
  <c r="M60" i="39"/>
  <c r="N60" i="39"/>
  <c r="L61" i="39"/>
  <c r="M61" i="39"/>
  <c r="N61" i="39"/>
  <c r="L62" i="39"/>
  <c r="M62" i="39"/>
  <c r="N62" i="39"/>
  <c r="I55" i="39"/>
  <c r="J55" i="39"/>
  <c r="I56" i="39"/>
  <c r="J56" i="39"/>
  <c r="I57" i="39"/>
  <c r="J57" i="39"/>
  <c r="I58" i="39"/>
  <c r="J58" i="39"/>
  <c r="I59" i="39"/>
  <c r="J59" i="39"/>
  <c r="I60" i="39"/>
  <c r="J60" i="39"/>
  <c r="I61" i="39"/>
  <c r="J61" i="39"/>
  <c r="I62" i="39"/>
  <c r="J62" i="39"/>
  <c r="AG53" i="39"/>
  <c r="AD53" i="39"/>
  <c r="AE54" i="39" s="1"/>
  <c r="O53" i="39"/>
  <c r="O54" i="39" s="1"/>
  <c r="P53" i="39"/>
  <c r="P54" i="39" s="1"/>
  <c r="Q53" i="39"/>
  <c r="Q54" i="39" s="1"/>
  <c r="R53" i="39"/>
  <c r="S53" i="39"/>
  <c r="S54" i="39" s="1"/>
  <c r="T53" i="39"/>
  <c r="T54" i="39" s="1"/>
  <c r="U53" i="39"/>
  <c r="U54" i="39" s="1"/>
  <c r="V53" i="39"/>
  <c r="V54" i="39" s="1"/>
  <c r="W53" i="39"/>
  <c r="W54" i="39" s="1"/>
  <c r="X53" i="39"/>
  <c r="X54" i="39" s="1"/>
  <c r="Y53" i="39"/>
  <c r="Y54" i="39" s="1"/>
  <c r="Z53" i="39"/>
  <c r="R54" i="39"/>
  <c r="Z54" i="39"/>
  <c r="AI46" i="39"/>
  <c r="AI49" i="39"/>
  <c r="AI51" i="39"/>
  <c r="AF46" i="39"/>
  <c r="AF51" i="39"/>
  <c r="AH51" i="39"/>
  <c r="AE51" i="39"/>
  <c r="L45" i="39"/>
  <c r="M45" i="39"/>
  <c r="N45" i="39"/>
  <c r="L46" i="39"/>
  <c r="M46" i="39"/>
  <c r="N46" i="39"/>
  <c r="L47" i="39"/>
  <c r="M47" i="39"/>
  <c r="N47" i="39"/>
  <c r="L48" i="39"/>
  <c r="M48" i="39"/>
  <c r="N48" i="39"/>
  <c r="L49" i="39"/>
  <c r="M49" i="39"/>
  <c r="N49" i="39"/>
  <c r="L50" i="39"/>
  <c r="M50" i="39"/>
  <c r="N50" i="39"/>
  <c r="L51" i="39"/>
  <c r="M51" i="39"/>
  <c r="N51" i="39"/>
  <c r="L52" i="39"/>
  <c r="M52" i="39"/>
  <c r="N52" i="39"/>
  <c r="I45" i="39"/>
  <c r="J45" i="39"/>
  <c r="I46" i="39"/>
  <c r="J46" i="39"/>
  <c r="I47" i="39"/>
  <c r="J47" i="39"/>
  <c r="I48" i="39"/>
  <c r="J48" i="39"/>
  <c r="I49" i="39"/>
  <c r="J49" i="39"/>
  <c r="I50" i="39"/>
  <c r="J50" i="39"/>
  <c r="I51" i="39"/>
  <c r="J51" i="39"/>
  <c r="I52" i="39"/>
  <c r="J52" i="39"/>
  <c r="AG43" i="39"/>
  <c r="AH44" i="39" s="1"/>
  <c r="AD43" i="39"/>
  <c r="AE44" i="39" s="1"/>
  <c r="O43" i="39"/>
  <c r="O44" i="39" s="1"/>
  <c r="P43" i="39"/>
  <c r="P44" i="39" s="1"/>
  <c r="Q43" i="39"/>
  <c r="Q44" i="39" s="1"/>
  <c r="R43" i="39"/>
  <c r="R44" i="39" s="1"/>
  <c r="S43" i="39"/>
  <c r="S44" i="39" s="1"/>
  <c r="T43" i="39"/>
  <c r="U43" i="39"/>
  <c r="U44" i="39" s="1"/>
  <c r="V43" i="39"/>
  <c r="W43" i="39"/>
  <c r="W44" i="39" s="1"/>
  <c r="X43" i="39"/>
  <c r="X44" i="39" s="1"/>
  <c r="Y43" i="39"/>
  <c r="Z43" i="39"/>
  <c r="Z44" i="39" s="1"/>
  <c r="T44" i="39"/>
  <c r="V44" i="39"/>
  <c r="Y44" i="39"/>
  <c r="AI35" i="39"/>
  <c r="AI38" i="39"/>
  <c r="AI39" i="39"/>
  <c r="AI40" i="39"/>
  <c r="AF39" i="39"/>
  <c r="AF40" i="39"/>
  <c r="AH41" i="39"/>
  <c r="AE41" i="39"/>
  <c r="L35" i="39"/>
  <c r="M35" i="39"/>
  <c r="N35" i="39"/>
  <c r="L36" i="39"/>
  <c r="M36" i="39"/>
  <c r="N36" i="39"/>
  <c r="L37" i="39"/>
  <c r="M37" i="39"/>
  <c r="N37" i="39"/>
  <c r="L38" i="39"/>
  <c r="M38" i="39"/>
  <c r="N38" i="39"/>
  <c r="L39" i="39"/>
  <c r="M39" i="39"/>
  <c r="N39" i="39"/>
  <c r="L40" i="39"/>
  <c r="M40" i="39"/>
  <c r="N40" i="39"/>
  <c r="L41" i="39"/>
  <c r="M41" i="39"/>
  <c r="N41" i="39"/>
  <c r="L42" i="39"/>
  <c r="M42" i="39"/>
  <c r="N42" i="39"/>
  <c r="I35" i="39"/>
  <c r="J35" i="39"/>
  <c r="I36" i="39"/>
  <c r="J36" i="39"/>
  <c r="I37" i="39"/>
  <c r="J37" i="39"/>
  <c r="I38" i="39"/>
  <c r="J38" i="39"/>
  <c r="I39" i="39"/>
  <c r="J39" i="39"/>
  <c r="I40" i="39"/>
  <c r="J40" i="39"/>
  <c r="I41" i="39"/>
  <c r="J41" i="39"/>
  <c r="I42" i="39"/>
  <c r="J42" i="39"/>
  <c r="AG32" i="39"/>
  <c r="AD32" i="39"/>
  <c r="O32" i="39"/>
  <c r="P32" i="39"/>
  <c r="Q32" i="39"/>
  <c r="R32" i="39"/>
  <c r="S32" i="39"/>
  <c r="T32" i="39"/>
  <c r="U32" i="39"/>
  <c r="V32" i="39"/>
  <c r="W32" i="39"/>
  <c r="X32" i="39"/>
  <c r="Y32" i="39"/>
  <c r="Z32" i="39"/>
  <c r="AG31" i="39"/>
  <c r="AD31" i="39"/>
  <c r="O31" i="39"/>
  <c r="P31" i="39"/>
  <c r="Q31" i="39"/>
  <c r="R31" i="39"/>
  <c r="S31" i="39"/>
  <c r="T31" i="39"/>
  <c r="U31" i="39"/>
  <c r="V31" i="39"/>
  <c r="W31" i="39"/>
  <c r="X31" i="39"/>
  <c r="Y31" i="39"/>
  <c r="Z31" i="39"/>
  <c r="AA31" i="39"/>
  <c r="N26" i="39"/>
  <c r="N27" i="39"/>
  <c r="N28" i="39"/>
  <c r="N29" i="39"/>
  <c r="B23" i="39"/>
  <c r="AG16" i="39"/>
  <c r="AG19" i="39"/>
  <c r="AH99" i="39" s="1"/>
  <c r="AG20" i="39"/>
  <c r="AH87" i="39" s="1"/>
  <c r="AD19" i="39"/>
  <c r="AD20" i="39"/>
  <c r="AE87" i="39" s="1"/>
  <c r="G19" i="39"/>
  <c r="G20" i="39"/>
  <c r="N19" i="39"/>
  <c r="O19" i="39"/>
  <c r="AA19" i="39" s="1"/>
  <c r="P19" i="39"/>
  <c r="Q19" i="39"/>
  <c r="R19" i="39"/>
  <c r="S19" i="39"/>
  <c r="T19" i="39"/>
  <c r="U19" i="39"/>
  <c r="V19" i="39"/>
  <c r="W19" i="39"/>
  <c r="X19" i="39"/>
  <c r="Y19" i="39"/>
  <c r="Z19" i="39"/>
  <c r="N20" i="39"/>
  <c r="O20" i="39"/>
  <c r="P20" i="39"/>
  <c r="Q20" i="39"/>
  <c r="R20" i="39"/>
  <c r="S20" i="39"/>
  <c r="T20" i="39"/>
  <c r="U20" i="39"/>
  <c r="V20" i="39"/>
  <c r="W20" i="39"/>
  <c r="X20" i="39"/>
  <c r="Y20" i="39"/>
  <c r="Z20" i="39"/>
  <c r="B17" i="39"/>
  <c r="B18" i="39"/>
  <c r="B19" i="39"/>
  <c r="O16" i="39"/>
  <c r="P16" i="39"/>
  <c r="Q16" i="39"/>
  <c r="R16" i="39"/>
  <c r="S16" i="39"/>
  <c r="T16" i="39"/>
  <c r="U16" i="39"/>
  <c r="V16" i="39"/>
  <c r="W16" i="39"/>
  <c r="X16" i="39"/>
  <c r="Y16" i="39"/>
  <c r="Z16" i="39"/>
  <c r="O17" i="39"/>
  <c r="P17" i="39"/>
  <c r="Q17" i="39"/>
  <c r="R17" i="39"/>
  <c r="S17" i="39"/>
  <c r="T17" i="39"/>
  <c r="U17" i="39"/>
  <c r="V17" i="39"/>
  <c r="W17" i="39"/>
  <c r="X17" i="39"/>
  <c r="Y17" i="39"/>
  <c r="Z17" i="39"/>
  <c r="AA17" i="39" s="1"/>
  <c r="AA11" i="39" s="1"/>
  <c r="AA18" i="39" s="1"/>
  <c r="A14" i="39"/>
  <c r="AG12" i="39"/>
  <c r="AG13" i="39"/>
  <c r="AD12" i="39"/>
  <c r="AD13" i="39"/>
  <c r="B12" i="39"/>
  <c r="AA16" i="39" s="1"/>
  <c r="B13" i="39"/>
  <c r="O11" i="39"/>
  <c r="P11" i="39"/>
  <c r="Q11" i="39"/>
  <c r="R11" i="39"/>
  <c r="S11" i="39"/>
  <c r="T11" i="39"/>
  <c r="U11" i="39"/>
  <c r="V11" i="39"/>
  <c r="W11" i="39"/>
  <c r="X11" i="39"/>
  <c r="Y11" i="39"/>
  <c r="Z11" i="39"/>
  <c r="O12" i="39"/>
  <c r="P12" i="39"/>
  <c r="Q12" i="39"/>
  <c r="R12" i="39"/>
  <c r="S12" i="39"/>
  <c r="T12" i="39"/>
  <c r="U12" i="39"/>
  <c r="V12" i="39"/>
  <c r="W12" i="39"/>
  <c r="X12" i="39"/>
  <c r="Y12" i="39"/>
  <c r="Z12" i="39"/>
  <c r="AA12" i="39"/>
  <c r="O13" i="39"/>
  <c r="P13" i="39"/>
  <c r="Q13" i="39"/>
  <c r="R13" i="39"/>
  <c r="S13" i="39"/>
  <c r="T13" i="39"/>
  <c r="U13" i="39"/>
  <c r="V13" i="39"/>
  <c r="W13" i="39"/>
  <c r="X13" i="39"/>
  <c r="Y13" i="39"/>
  <c r="Z13" i="39"/>
  <c r="AA13" i="39"/>
  <c r="C10" i="39"/>
  <c r="D10" i="39"/>
  <c r="C9" i="39"/>
  <c r="C1" i="39"/>
  <c r="C2" i="39"/>
  <c r="C3" i="39"/>
  <c r="C4" i="39"/>
  <c r="C5" i="39"/>
  <c r="C6" i="39"/>
  <c r="C7" i="39"/>
  <c r="C8" i="39"/>
  <c r="E6" i="39"/>
  <c r="E4" i="39"/>
  <c r="F4" i="39"/>
  <c r="B3" i="39"/>
  <c r="AG121" i="9"/>
  <c r="AD121" i="9"/>
  <c r="O121" i="9"/>
  <c r="P121" i="9"/>
  <c r="Q121" i="9"/>
  <c r="R121" i="9"/>
  <c r="S121" i="9"/>
  <c r="T121" i="9"/>
  <c r="U121" i="9"/>
  <c r="V121" i="9"/>
  <c r="W121" i="9"/>
  <c r="X121" i="9"/>
  <c r="Y121" i="9"/>
  <c r="Z121" i="9"/>
  <c r="B120" i="9"/>
  <c r="N118" i="9"/>
  <c r="N121" i="9" s="1"/>
  <c r="N119" i="9"/>
  <c r="N122" i="9" s="1"/>
  <c r="AF119" i="9"/>
  <c r="AA119" i="9"/>
  <c r="AI119" i="9" s="1"/>
  <c r="I118" i="9"/>
  <c r="AA118" i="9" s="1"/>
  <c r="J118" i="9"/>
  <c r="I119" i="9"/>
  <c r="J119" i="9"/>
  <c r="N92" i="9"/>
  <c r="N93" i="9"/>
  <c r="N94" i="9"/>
  <c r="N95" i="9"/>
  <c r="N96" i="9"/>
  <c r="N97" i="9"/>
  <c r="N98" i="9"/>
  <c r="N99" i="9"/>
  <c r="N100" i="9"/>
  <c r="N101" i="9"/>
  <c r="N102" i="9"/>
  <c r="N103" i="9"/>
  <c r="N104" i="9"/>
  <c r="N105" i="9"/>
  <c r="N106" i="9"/>
  <c r="N107" i="9"/>
  <c r="N108" i="9"/>
  <c r="N109" i="9"/>
  <c r="N110" i="9"/>
  <c r="N111" i="9"/>
  <c r="N112" i="9"/>
  <c r="N113" i="9"/>
  <c r="N114" i="9"/>
  <c r="N115" i="9"/>
  <c r="N116" i="9"/>
  <c r="I116" i="9"/>
  <c r="AA116" i="9" s="1"/>
  <c r="J116" i="9"/>
  <c r="B114" i="9"/>
  <c r="B115" i="9"/>
  <c r="B116" i="9"/>
  <c r="A111" i="9"/>
  <c r="AI97" i="9"/>
  <c r="AH104" i="9"/>
  <c r="AH105" i="9"/>
  <c r="AI106" i="9"/>
  <c r="AH109" i="9"/>
  <c r="AH113" i="9"/>
  <c r="AE100" i="9"/>
  <c r="AE112" i="9"/>
  <c r="AE115" i="9"/>
  <c r="AA97" i="9"/>
  <c r="AA98" i="9"/>
  <c r="AI98" i="9" s="1"/>
  <c r="AA99" i="9"/>
  <c r="AI99" i="9" s="1"/>
  <c r="AA106" i="9"/>
  <c r="AA115" i="9"/>
  <c r="AI115" i="9" s="1"/>
  <c r="I93" i="9"/>
  <c r="AA93" i="9" s="1"/>
  <c r="J93" i="9"/>
  <c r="L93" i="9"/>
  <c r="M93" i="9"/>
  <c r="I94" i="9"/>
  <c r="K94" i="9" s="1"/>
  <c r="J94" i="9"/>
  <c r="L94" i="9"/>
  <c r="M94" i="9"/>
  <c r="I95" i="9"/>
  <c r="J95" i="9"/>
  <c r="L95" i="9"/>
  <c r="M95" i="9"/>
  <c r="I96" i="9"/>
  <c r="AA96" i="9" s="1"/>
  <c r="J96" i="9"/>
  <c r="L96" i="9"/>
  <c r="M96" i="9"/>
  <c r="I97" i="9"/>
  <c r="J97" i="9"/>
  <c r="L97" i="9"/>
  <c r="M97" i="9"/>
  <c r="I98" i="9"/>
  <c r="J98" i="9"/>
  <c r="L98" i="9"/>
  <c r="M98" i="9"/>
  <c r="I99" i="9"/>
  <c r="J99" i="9"/>
  <c r="K99" i="9"/>
  <c r="L99" i="9"/>
  <c r="M99" i="9"/>
  <c r="I100" i="9"/>
  <c r="AA100" i="9" s="1"/>
  <c r="J100" i="9"/>
  <c r="K100" i="9" s="1"/>
  <c r="L100" i="9"/>
  <c r="M100" i="9"/>
  <c r="I101" i="9"/>
  <c r="J101" i="9"/>
  <c r="L101" i="9"/>
  <c r="M101" i="9"/>
  <c r="I102" i="9"/>
  <c r="J102" i="9"/>
  <c r="L102" i="9"/>
  <c r="M102" i="9"/>
  <c r="I103" i="9"/>
  <c r="J103" i="9"/>
  <c r="L103" i="9"/>
  <c r="M103" i="9"/>
  <c r="I104" i="9"/>
  <c r="AA104" i="9" s="1"/>
  <c r="J104" i="9"/>
  <c r="K104" i="9" s="1"/>
  <c r="L104" i="9"/>
  <c r="M104" i="9"/>
  <c r="I105" i="9"/>
  <c r="AA105" i="9" s="1"/>
  <c r="AI105" i="9" s="1"/>
  <c r="J105" i="9"/>
  <c r="L105" i="9"/>
  <c r="M105" i="9"/>
  <c r="I106" i="9"/>
  <c r="J106" i="9"/>
  <c r="L106" i="9"/>
  <c r="M106" i="9"/>
  <c r="I107" i="9"/>
  <c r="AA107" i="9" s="1"/>
  <c r="AI107" i="9" s="1"/>
  <c r="J107" i="9"/>
  <c r="L107" i="9"/>
  <c r="M107" i="9"/>
  <c r="I108" i="9"/>
  <c r="AA108" i="9" s="1"/>
  <c r="AI108" i="9" s="1"/>
  <c r="J108" i="9"/>
  <c r="K108" i="9" s="1"/>
  <c r="L108" i="9"/>
  <c r="M108" i="9"/>
  <c r="I109" i="9"/>
  <c r="AA109" i="9" s="1"/>
  <c r="J109" i="9"/>
  <c r="L109" i="9"/>
  <c r="M109" i="9"/>
  <c r="I110" i="9"/>
  <c r="J110" i="9"/>
  <c r="L110" i="9"/>
  <c r="M110" i="9"/>
  <c r="I111" i="9"/>
  <c r="K111" i="9" s="1"/>
  <c r="J111" i="9"/>
  <c r="L111" i="9"/>
  <c r="M111" i="9"/>
  <c r="I112" i="9"/>
  <c r="AA112" i="9" s="1"/>
  <c r="J112" i="9"/>
  <c r="K112" i="9" s="1"/>
  <c r="L112" i="9"/>
  <c r="M112" i="9"/>
  <c r="I113" i="9"/>
  <c r="K113" i="9" s="1"/>
  <c r="J113" i="9"/>
  <c r="L113" i="9"/>
  <c r="M113" i="9"/>
  <c r="I114" i="9"/>
  <c r="AA114" i="9" s="1"/>
  <c r="AI114" i="9" s="1"/>
  <c r="J114" i="9"/>
  <c r="K114" i="9" s="1"/>
  <c r="L114" i="9"/>
  <c r="M114" i="9"/>
  <c r="I115" i="9"/>
  <c r="J115" i="9"/>
  <c r="K115" i="9"/>
  <c r="L115" i="9"/>
  <c r="M115" i="9"/>
  <c r="I92" i="9"/>
  <c r="J92" i="9"/>
  <c r="B88" i="9"/>
  <c r="B89" i="9"/>
  <c r="B83" i="9"/>
  <c r="B84" i="9"/>
  <c r="B85" i="9"/>
  <c r="A80" i="9"/>
  <c r="AH78" i="9"/>
  <c r="AH83" i="9"/>
  <c r="AE78" i="9"/>
  <c r="AE83" i="9"/>
  <c r="AE87" i="9"/>
  <c r="AA78" i="9"/>
  <c r="AF78" i="9" s="1"/>
  <c r="AA88" i="9"/>
  <c r="AI88" i="9" s="1"/>
  <c r="AA90" i="9"/>
  <c r="AA121" i="9" s="1"/>
  <c r="I76" i="9"/>
  <c r="AA76" i="9" s="1"/>
  <c r="AF76" i="9" s="1"/>
  <c r="J76" i="9"/>
  <c r="K76" i="9"/>
  <c r="L76" i="9"/>
  <c r="M76" i="9"/>
  <c r="N76" i="9"/>
  <c r="I77" i="9"/>
  <c r="K77" i="9" s="1"/>
  <c r="J77" i="9"/>
  <c r="L77" i="9"/>
  <c r="M77" i="9"/>
  <c r="N77" i="9"/>
  <c r="I78" i="9"/>
  <c r="K78" i="9" s="1"/>
  <c r="J78" i="9"/>
  <c r="L78" i="9"/>
  <c r="M78" i="9"/>
  <c r="N78" i="9"/>
  <c r="I79" i="9"/>
  <c r="AA79" i="9" s="1"/>
  <c r="J79" i="9"/>
  <c r="L79" i="9"/>
  <c r="M79" i="9"/>
  <c r="N79" i="9"/>
  <c r="I80" i="9"/>
  <c r="K80" i="9" s="1"/>
  <c r="J80" i="9"/>
  <c r="L80" i="9"/>
  <c r="M80" i="9"/>
  <c r="N80" i="9"/>
  <c r="I81" i="9"/>
  <c r="K81" i="9" s="1"/>
  <c r="J81" i="9"/>
  <c r="L81" i="9"/>
  <c r="M81" i="9"/>
  <c r="N81" i="9"/>
  <c r="I82" i="9"/>
  <c r="AA82" i="9" s="1"/>
  <c r="J82" i="9"/>
  <c r="L82" i="9"/>
  <c r="M82" i="9"/>
  <c r="N82" i="9"/>
  <c r="I83" i="9"/>
  <c r="AA83" i="9" s="1"/>
  <c r="J83" i="9"/>
  <c r="L83" i="9"/>
  <c r="M83" i="9"/>
  <c r="N83" i="9"/>
  <c r="I84" i="9"/>
  <c r="AA84" i="9" s="1"/>
  <c r="AF84" i="9" s="1"/>
  <c r="J84" i="9"/>
  <c r="L84" i="9"/>
  <c r="M84" i="9"/>
  <c r="N84" i="9"/>
  <c r="I85" i="9"/>
  <c r="K85" i="9" s="1"/>
  <c r="J85" i="9"/>
  <c r="L85" i="9"/>
  <c r="M85" i="9"/>
  <c r="N85" i="9"/>
  <c r="I86" i="9"/>
  <c r="AA86" i="9" s="1"/>
  <c r="J86" i="9"/>
  <c r="L86" i="9"/>
  <c r="M86" i="9"/>
  <c r="N86" i="9"/>
  <c r="I87" i="9"/>
  <c r="AA87" i="9" s="1"/>
  <c r="J87" i="9"/>
  <c r="L87" i="9"/>
  <c r="M87" i="9"/>
  <c r="N87" i="9"/>
  <c r="I88" i="9"/>
  <c r="J88" i="9"/>
  <c r="K88" i="9"/>
  <c r="L88" i="9"/>
  <c r="M88" i="9"/>
  <c r="N88" i="9"/>
  <c r="I89" i="9"/>
  <c r="K89" i="9" s="1"/>
  <c r="J89" i="9"/>
  <c r="L89" i="9"/>
  <c r="M89" i="9"/>
  <c r="N89" i="9"/>
  <c r="I90" i="9"/>
  <c r="J90" i="9"/>
  <c r="K90" i="9"/>
  <c r="L90" i="9"/>
  <c r="M90" i="9"/>
  <c r="N90" i="9"/>
  <c r="N74" i="9"/>
  <c r="N75" i="9"/>
  <c r="I74" i="9"/>
  <c r="J74" i="9"/>
  <c r="I75" i="9"/>
  <c r="J75" i="9"/>
  <c r="AD72" i="9"/>
  <c r="AD122" i="9" s="1"/>
  <c r="AG72" i="9"/>
  <c r="N72" i="9"/>
  <c r="O72" i="9"/>
  <c r="O122" i="9" s="1"/>
  <c r="P72" i="9"/>
  <c r="P122" i="9" s="1"/>
  <c r="Q72" i="9"/>
  <c r="Q122" i="9" s="1"/>
  <c r="R72" i="9"/>
  <c r="R122" i="9" s="1"/>
  <c r="S72" i="9"/>
  <c r="S122" i="9" s="1"/>
  <c r="T72" i="9"/>
  <c r="T122" i="9" s="1"/>
  <c r="U72" i="9"/>
  <c r="U122" i="9" s="1"/>
  <c r="V72" i="9"/>
  <c r="V122" i="9" s="1"/>
  <c r="W72" i="9"/>
  <c r="W122" i="9" s="1"/>
  <c r="X72" i="9"/>
  <c r="X122" i="9" s="1"/>
  <c r="Y72" i="9"/>
  <c r="Y122" i="9" s="1"/>
  <c r="Z72" i="9"/>
  <c r="Z122" i="9" s="1"/>
  <c r="AH71" i="9"/>
  <c r="AI71" i="9"/>
  <c r="AB62" i="9"/>
  <c r="AB63" i="9"/>
  <c r="AB64" i="9"/>
  <c r="AN64" i="9" s="1"/>
  <c r="AB65" i="9"/>
  <c r="AM65" i="9" s="1"/>
  <c r="AB66" i="9"/>
  <c r="AM66" i="9" s="1"/>
  <c r="AB67" i="9"/>
  <c r="AN67" i="9" s="1"/>
  <c r="AB68" i="9"/>
  <c r="AB69" i="9"/>
  <c r="AB70" i="9"/>
  <c r="AN70" i="9" s="1"/>
  <c r="AB71" i="9"/>
  <c r="N60" i="9"/>
  <c r="N61" i="9"/>
  <c r="N62" i="9"/>
  <c r="N63" i="9"/>
  <c r="N64" i="9"/>
  <c r="N65" i="9"/>
  <c r="N66" i="9"/>
  <c r="N67" i="9"/>
  <c r="N68" i="9"/>
  <c r="N69" i="9"/>
  <c r="N70" i="9"/>
  <c r="N71" i="9"/>
  <c r="I71" i="9"/>
  <c r="K71" i="9" s="1"/>
  <c r="J71" i="9"/>
  <c r="I72" i="9"/>
  <c r="J72" i="9"/>
  <c r="K72" i="9"/>
  <c r="AH62" i="9"/>
  <c r="AH63" i="9"/>
  <c r="AN63" i="9"/>
  <c r="AH64" i="9"/>
  <c r="AK64" i="9"/>
  <c r="AH65" i="9"/>
  <c r="AN65" i="9" s="1"/>
  <c r="AH66" i="9"/>
  <c r="AN66" i="9"/>
  <c r="AH67" i="9"/>
  <c r="AH68" i="9"/>
  <c r="AH69" i="9"/>
  <c r="AH70" i="9"/>
  <c r="AK70" i="9"/>
  <c r="AE62" i="9"/>
  <c r="AE63" i="9"/>
  <c r="AM63" i="9" s="1"/>
  <c r="AE64" i="9"/>
  <c r="AE65" i="9"/>
  <c r="AE66" i="9"/>
  <c r="AE67" i="9"/>
  <c r="AF67" i="9"/>
  <c r="AE68" i="9"/>
  <c r="AE69" i="9"/>
  <c r="AE70" i="9"/>
  <c r="AE71" i="9"/>
  <c r="AF71" i="9"/>
  <c r="I62" i="9"/>
  <c r="AA62" i="9" s="1"/>
  <c r="J62" i="9"/>
  <c r="K62" i="9"/>
  <c r="L62" i="9"/>
  <c r="M62" i="9"/>
  <c r="I63" i="9"/>
  <c r="AA63" i="9" s="1"/>
  <c r="J63" i="9"/>
  <c r="L63" i="9"/>
  <c r="M63" i="9"/>
  <c r="I64" i="9"/>
  <c r="K64" i="9" s="1"/>
  <c r="J64" i="9"/>
  <c r="L64" i="9"/>
  <c r="M64" i="9"/>
  <c r="I65" i="9"/>
  <c r="K65" i="9" s="1"/>
  <c r="J65" i="9"/>
  <c r="L65" i="9"/>
  <c r="M65" i="9"/>
  <c r="I66" i="9"/>
  <c r="AA66" i="9" s="1"/>
  <c r="AI66" i="9" s="1"/>
  <c r="J66" i="9"/>
  <c r="L66" i="9"/>
  <c r="M66" i="9"/>
  <c r="I67" i="9"/>
  <c r="AA67" i="9" s="1"/>
  <c r="J67" i="9"/>
  <c r="L67" i="9"/>
  <c r="M67" i="9"/>
  <c r="I68" i="9"/>
  <c r="AA68" i="9" s="1"/>
  <c r="J68" i="9"/>
  <c r="L68" i="9"/>
  <c r="M68" i="9"/>
  <c r="I69" i="9"/>
  <c r="AA69" i="9" s="1"/>
  <c r="AI69" i="9" s="1"/>
  <c r="J69" i="9"/>
  <c r="L69" i="9"/>
  <c r="M69" i="9"/>
  <c r="I70" i="9"/>
  <c r="AA70" i="9" s="1"/>
  <c r="J70" i="9"/>
  <c r="L70" i="9"/>
  <c r="M70" i="9"/>
  <c r="I60" i="9"/>
  <c r="J60" i="9"/>
  <c r="I61" i="9"/>
  <c r="J61" i="9"/>
  <c r="B55" i="9"/>
  <c r="B56" i="9"/>
  <c r="B50" i="9"/>
  <c r="B51" i="9"/>
  <c r="B52" i="9"/>
  <c r="A47" i="9"/>
  <c r="AK36" i="9"/>
  <c r="AK40" i="9"/>
  <c r="AH41" i="9"/>
  <c r="AK42" i="9"/>
  <c r="AK46" i="9"/>
  <c r="AK47" i="9"/>
  <c r="AH48" i="9"/>
  <c r="AH50" i="9"/>
  <c r="AH51" i="9"/>
  <c r="AH52" i="9"/>
  <c r="AK52" i="9"/>
  <c r="AH53" i="9"/>
  <c r="AH55" i="9"/>
  <c r="AH56" i="9"/>
  <c r="AE38" i="9"/>
  <c r="AE41" i="9"/>
  <c r="AE42" i="9"/>
  <c r="AE46" i="9"/>
  <c r="AE48" i="9"/>
  <c r="AE50" i="9"/>
  <c r="AE51" i="9"/>
  <c r="AE53" i="9"/>
  <c r="AE54" i="9"/>
  <c r="AF54" i="9"/>
  <c r="AE55" i="9"/>
  <c r="AE56" i="9"/>
  <c r="AE58" i="9"/>
  <c r="AA50" i="9"/>
  <c r="AF50" i="9" s="1"/>
  <c r="AA54" i="9"/>
  <c r="AI54" i="9" s="1"/>
  <c r="I35" i="9"/>
  <c r="AA35" i="9" s="1"/>
  <c r="J35" i="9"/>
  <c r="K35" i="9"/>
  <c r="L35" i="9"/>
  <c r="M35" i="9"/>
  <c r="N35" i="9"/>
  <c r="I36" i="9"/>
  <c r="J36" i="9"/>
  <c r="L36" i="9"/>
  <c r="M36" i="9"/>
  <c r="N36" i="9"/>
  <c r="I37" i="9"/>
  <c r="AA37" i="9" s="1"/>
  <c r="AI37" i="9" s="1"/>
  <c r="J37" i="9"/>
  <c r="K37" i="9"/>
  <c r="L37" i="9"/>
  <c r="M37" i="9"/>
  <c r="N37" i="9"/>
  <c r="I38" i="9"/>
  <c r="K38" i="9" s="1"/>
  <c r="J38" i="9"/>
  <c r="L38" i="9"/>
  <c r="M38" i="9"/>
  <c r="N38" i="9"/>
  <c r="I39" i="9"/>
  <c r="AA39" i="9" s="1"/>
  <c r="J39" i="9"/>
  <c r="L39" i="9"/>
  <c r="M39" i="9"/>
  <c r="N39" i="9"/>
  <c r="I40" i="9"/>
  <c r="J40" i="9"/>
  <c r="L40" i="9"/>
  <c r="M40" i="9"/>
  <c r="N40" i="9"/>
  <c r="I41" i="9"/>
  <c r="AA41" i="9" s="1"/>
  <c r="J41" i="9"/>
  <c r="L41" i="9"/>
  <c r="M41" i="9"/>
  <c r="N41" i="9"/>
  <c r="I42" i="9"/>
  <c r="K42" i="9" s="1"/>
  <c r="J42" i="9"/>
  <c r="L42" i="9"/>
  <c r="M42" i="9"/>
  <c r="N42" i="9"/>
  <c r="I43" i="9"/>
  <c r="AA43" i="9" s="1"/>
  <c r="J43" i="9"/>
  <c r="L43" i="9"/>
  <c r="M43" i="9"/>
  <c r="N43" i="9"/>
  <c r="I44" i="9"/>
  <c r="J44" i="9"/>
  <c r="L44" i="9"/>
  <c r="M44" i="9"/>
  <c r="N44" i="9"/>
  <c r="I45" i="9"/>
  <c r="AA45" i="9" s="1"/>
  <c r="AI45" i="9" s="1"/>
  <c r="J45" i="9"/>
  <c r="L45" i="9"/>
  <c r="M45" i="9"/>
  <c r="N45" i="9"/>
  <c r="I46" i="9"/>
  <c r="K46" i="9" s="1"/>
  <c r="J46" i="9"/>
  <c r="L46" i="9"/>
  <c r="M46" i="9"/>
  <c r="N46" i="9"/>
  <c r="I47" i="9"/>
  <c r="AA47" i="9" s="1"/>
  <c r="J47" i="9"/>
  <c r="K47" i="9"/>
  <c r="L47" i="9"/>
  <c r="M47" i="9"/>
  <c r="N47" i="9"/>
  <c r="I48" i="9"/>
  <c r="J48" i="9"/>
  <c r="L48" i="9"/>
  <c r="M48" i="9"/>
  <c r="N48" i="9"/>
  <c r="I49" i="9"/>
  <c r="AA49" i="9" s="1"/>
  <c r="J49" i="9"/>
  <c r="K49" i="9"/>
  <c r="L49" i="9"/>
  <c r="M49" i="9"/>
  <c r="N49" i="9"/>
  <c r="I50" i="9"/>
  <c r="K50" i="9" s="1"/>
  <c r="J50" i="9"/>
  <c r="L50" i="9"/>
  <c r="M50" i="9"/>
  <c r="N50" i="9"/>
  <c r="I51" i="9"/>
  <c r="AA51" i="9" s="1"/>
  <c r="J51" i="9"/>
  <c r="K51" i="9"/>
  <c r="L51" i="9"/>
  <c r="M51" i="9"/>
  <c r="N51" i="9"/>
  <c r="I52" i="9"/>
  <c r="J52" i="9"/>
  <c r="L52" i="9"/>
  <c r="M52" i="9"/>
  <c r="N52" i="9"/>
  <c r="I53" i="9"/>
  <c r="AA53" i="9" s="1"/>
  <c r="AI53" i="9" s="1"/>
  <c r="J53" i="9"/>
  <c r="K53" i="9"/>
  <c r="L53" i="9"/>
  <c r="M53" i="9"/>
  <c r="N53" i="9"/>
  <c r="I54" i="9"/>
  <c r="K54" i="9" s="1"/>
  <c r="J54" i="9"/>
  <c r="L54" i="9"/>
  <c r="M54" i="9"/>
  <c r="N54" i="9"/>
  <c r="I55" i="9"/>
  <c r="AA55" i="9" s="1"/>
  <c r="J55" i="9"/>
  <c r="L55" i="9"/>
  <c r="M55" i="9"/>
  <c r="N55" i="9"/>
  <c r="I56" i="9"/>
  <c r="J56" i="9"/>
  <c r="L56" i="9"/>
  <c r="M56" i="9"/>
  <c r="N56" i="9"/>
  <c r="I57" i="9"/>
  <c r="AA57" i="9" s="1"/>
  <c r="J57" i="9"/>
  <c r="L57" i="9"/>
  <c r="M57" i="9"/>
  <c r="N57" i="9"/>
  <c r="I58" i="9"/>
  <c r="K58" i="9" s="1"/>
  <c r="J58" i="9"/>
  <c r="L58" i="9"/>
  <c r="M58" i="9"/>
  <c r="N58" i="9"/>
  <c r="N33" i="9"/>
  <c r="N34" i="9"/>
  <c r="I33" i="9"/>
  <c r="J33" i="9"/>
  <c r="I34" i="9"/>
  <c r="J34" i="9"/>
  <c r="AK32" i="9"/>
  <c r="AG32" i="9"/>
  <c r="AL32" i="9" s="1"/>
  <c r="AD32" i="9"/>
  <c r="O32" i="9"/>
  <c r="P32" i="9"/>
  <c r="Q32" i="9"/>
  <c r="R32" i="9"/>
  <c r="S32" i="9"/>
  <c r="T32" i="9"/>
  <c r="U32" i="9"/>
  <c r="V32" i="9"/>
  <c r="W32" i="9"/>
  <c r="X32" i="9"/>
  <c r="Y32" i="9"/>
  <c r="Z32" i="9"/>
  <c r="AJ32" i="9" s="1"/>
  <c r="AJ31" i="9"/>
  <c r="AK31" i="9"/>
  <c r="AL31" i="9"/>
  <c r="AN31" i="9" s="1"/>
  <c r="AM31" i="9"/>
  <c r="AG31" i="9"/>
  <c r="AD31" i="9"/>
  <c r="O31" i="9"/>
  <c r="P31" i="9"/>
  <c r="Q31" i="9"/>
  <c r="R31" i="9"/>
  <c r="S31" i="9"/>
  <c r="T31" i="9"/>
  <c r="U31" i="9"/>
  <c r="V31" i="9"/>
  <c r="W31" i="9"/>
  <c r="X31" i="9"/>
  <c r="Y31" i="9"/>
  <c r="Z31" i="9"/>
  <c r="AA31" i="9"/>
  <c r="N26" i="9"/>
  <c r="N27" i="9"/>
  <c r="N28" i="9"/>
  <c r="N29" i="9"/>
  <c r="B29" i="9"/>
  <c r="B22" i="9"/>
  <c r="B23" i="9"/>
  <c r="AG16" i="9"/>
  <c r="AG19" i="9"/>
  <c r="AH93" i="9" s="1"/>
  <c r="AG20" i="9"/>
  <c r="AL56" i="9" s="1"/>
  <c r="AD19" i="9"/>
  <c r="AE107" i="9" s="1"/>
  <c r="AD20" i="9"/>
  <c r="AK96" i="9" s="1"/>
  <c r="G19" i="9"/>
  <c r="G20" i="9"/>
  <c r="N19" i="9"/>
  <c r="O19" i="9"/>
  <c r="P19" i="9"/>
  <c r="Q19" i="9"/>
  <c r="R19" i="9"/>
  <c r="S19" i="9"/>
  <c r="T19" i="9"/>
  <c r="U19" i="9"/>
  <c r="V19" i="9"/>
  <c r="W19" i="9"/>
  <c r="X19" i="9"/>
  <c r="Y19" i="9"/>
  <c r="Z19" i="9"/>
  <c r="N20" i="9"/>
  <c r="O20" i="9"/>
  <c r="P20" i="9"/>
  <c r="Q20" i="9"/>
  <c r="R20" i="9"/>
  <c r="S20" i="9"/>
  <c r="T20" i="9"/>
  <c r="U20" i="9"/>
  <c r="V20" i="9"/>
  <c r="W20" i="9"/>
  <c r="X20" i="9"/>
  <c r="Y20" i="9"/>
  <c r="Z20" i="9"/>
  <c r="B17" i="9"/>
  <c r="B18" i="9"/>
  <c r="B19" i="9"/>
  <c r="O16" i="9"/>
  <c r="P16" i="9"/>
  <c r="Q16" i="9"/>
  <c r="R16" i="9"/>
  <c r="S16" i="9"/>
  <c r="T16" i="9"/>
  <c r="U16" i="9"/>
  <c r="V16" i="9"/>
  <c r="W16" i="9"/>
  <c r="X16" i="9"/>
  <c r="Y16" i="9"/>
  <c r="O17" i="9"/>
  <c r="P17" i="9"/>
  <c r="Q17" i="9"/>
  <c r="R17" i="9"/>
  <c r="S17" i="9"/>
  <c r="T17" i="9"/>
  <c r="U17" i="9"/>
  <c r="V17" i="9"/>
  <c r="W17" i="9"/>
  <c r="X17" i="9"/>
  <c r="Y17" i="9"/>
  <c r="Z17" i="9"/>
  <c r="AA17" i="9" s="1"/>
  <c r="AA11" i="9" s="1"/>
  <c r="A14" i="9"/>
  <c r="AG12" i="9"/>
  <c r="AG13" i="9"/>
  <c r="AD12" i="9"/>
  <c r="AD13" i="9"/>
  <c r="B12" i="9"/>
  <c r="B13" i="9"/>
  <c r="O11" i="9"/>
  <c r="P11" i="9"/>
  <c r="Q11" i="9"/>
  <c r="R11" i="9"/>
  <c r="S11" i="9"/>
  <c r="T11" i="9"/>
  <c r="U11" i="9"/>
  <c r="V11" i="9"/>
  <c r="W11" i="9"/>
  <c r="X11" i="9"/>
  <c r="Y11" i="9"/>
  <c r="Z11" i="9"/>
  <c r="O12" i="9"/>
  <c r="P12" i="9"/>
  <c r="Q12" i="9"/>
  <c r="R12" i="9"/>
  <c r="S12" i="9"/>
  <c r="T12" i="9"/>
  <c r="U12" i="9"/>
  <c r="V12" i="9"/>
  <c r="W12" i="9"/>
  <c r="X12" i="9"/>
  <c r="Y12" i="9"/>
  <c r="Z12" i="9"/>
  <c r="AA12" i="9"/>
  <c r="O13" i="9"/>
  <c r="P13" i="9"/>
  <c r="Q13" i="9"/>
  <c r="R13" i="9"/>
  <c r="S13" i="9"/>
  <c r="T13" i="9"/>
  <c r="U13" i="9"/>
  <c r="V13" i="9"/>
  <c r="W13" i="9"/>
  <c r="X13" i="9"/>
  <c r="Y13" i="9"/>
  <c r="Z13" i="9"/>
  <c r="AA13" i="9"/>
  <c r="C10" i="9"/>
  <c r="D10" i="9"/>
  <c r="AA16" i="9" s="1"/>
  <c r="C9" i="9"/>
  <c r="C1" i="9"/>
  <c r="C2" i="9"/>
  <c r="C3" i="9"/>
  <c r="C4" i="9"/>
  <c r="C5" i="9"/>
  <c r="C6" i="9"/>
  <c r="C7" i="9"/>
  <c r="C8" i="9"/>
  <c r="E6" i="9"/>
  <c r="B62" i="9" s="1"/>
  <c r="E4" i="9"/>
  <c r="F4" i="9"/>
  <c r="B3" i="9"/>
  <c r="H2" i="9" s="1"/>
  <c r="N1" i="9"/>
  <c r="N1" i="39" s="1"/>
  <c r="AG173" i="17"/>
  <c r="AG174" i="17"/>
  <c r="AG175" i="17"/>
  <c r="AD173" i="17"/>
  <c r="AD174" i="17"/>
  <c r="AD175" i="17"/>
  <c r="O173" i="17"/>
  <c r="P173" i="17"/>
  <c r="Q173" i="17"/>
  <c r="R173" i="17"/>
  <c r="S173" i="17"/>
  <c r="T173" i="17"/>
  <c r="U173" i="17"/>
  <c r="V173" i="17"/>
  <c r="W173" i="17"/>
  <c r="X173" i="17"/>
  <c r="Y173" i="17"/>
  <c r="Z173" i="17"/>
  <c r="O174" i="17"/>
  <c r="P174" i="17"/>
  <c r="Q174" i="17"/>
  <c r="R174" i="17"/>
  <c r="S174" i="17"/>
  <c r="T174" i="17"/>
  <c r="U174" i="17"/>
  <c r="V174" i="17"/>
  <c r="W174" i="17"/>
  <c r="X174" i="17"/>
  <c r="Y174" i="17"/>
  <c r="Z174" i="17"/>
  <c r="O175" i="17"/>
  <c r="P175" i="17"/>
  <c r="Q175" i="17"/>
  <c r="R175" i="17"/>
  <c r="S175" i="17"/>
  <c r="T175" i="17"/>
  <c r="U175" i="17"/>
  <c r="V175" i="17"/>
  <c r="W175" i="17"/>
  <c r="X175" i="17"/>
  <c r="Y175" i="17"/>
  <c r="Z175" i="17"/>
  <c r="AG171" i="17"/>
  <c r="AD171" i="17"/>
  <c r="O171" i="17"/>
  <c r="P171" i="17"/>
  <c r="Q171" i="17"/>
  <c r="R171" i="17"/>
  <c r="S171" i="17"/>
  <c r="T171" i="17"/>
  <c r="U171" i="17"/>
  <c r="V171" i="17"/>
  <c r="W171" i="17"/>
  <c r="X171" i="17"/>
  <c r="Y171" i="17"/>
  <c r="Z171" i="17"/>
  <c r="AH170" i="17"/>
  <c r="AE170" i="17"/>
  <c r="AA170" i="17"/>
  <c r="AB170" i="17"/>
  <c r="L170" i="17"/>
  <c r="M170" i="17"/>
  <c r="N170" i="17"/>
  <c r="AI160" i="17"/>
  <c r="AI162" i="17"/>
  <c r="AI164" i="17"/>
  <c r="AI166" i="17"/>
  <c r="AG168" i="17"/>
  <c r="AD168" i="17"/>
  <c r="O168" i="17"/>
  <c r="P168" i="17"/>
  <c r="Q168" i="17"/>
  <c r="R168" i="17"/>
  <c r="S168" i="17"/>
  <c r="T168" i="17"/>
  <c r="U168" i="17"/>
  <c r="V168" i="17"/>
  <c r="W168" i="17"/>
  <c r="X168" i="17"/>
  <c r="Y168" i="17"/>
  <c r="Z168" i="17"/>
  <c r="AH167" i="17"/>
  <c r="AE167" i="17"/>
  <c r="AF167" i="17"/>
  <c r="AA167" i="17"/>
  <c r="AI167" i="17" s="1"/>
  <c r="AB167" i="17"/>
  <c r="AF160" i="17"/>
  <c r="AF162" i="17"/>
  <c r="AF164" i="17"/>
  <c r="AF165" i="17"/>
  <c r="AF166" i="17"/>
  <c r="AH165" i="17"/>
  <c r="AE165" i="17"/>
  <c r="AA165" i="17"/>
  <c r="AI165" i="17" s="1"/>
  <c r="AB165" i="17"/>
  <c r="AH163" i="17"/>
  <c r="AE163" i="17"/>
  <c r="AA163" i="17"/>
  <c r="AI163" i="17" s="1"/>
  <c r="AB163" i="17"/>
  <c r="AH161" i="17"/>
  <c r="AE161" i="17"/>
  <c r="AA161" i="17"/>
  <c r="AF161" i="17" s="1"/>
  <c r="AB161" i="17"/>
  <c r="AH159" i="17"/>
  <c r="AE159" i="17"/>
  <c r="AA159" i="17"/>
  <c r="AI159" i="17" s="1"/>
  <c r="AB159" i="17"/>
  <c r="L159" i="17"/>
  <c r="M159" i="17"/>
  <c r="N159" i="17"/>
  <c r="L160" i="17"/>
  <c r="M160" i="17"/>
  <c r="N160" i="17"/>
  <c r="L161" i="17"/>
  <c r="M161" i="17"/>
  <c r="N161" i="17"/>
  <c r="L162" i="17"/>
  <c r="M162" i="17"/>
  <c r="N162" i="17"/>
  <c r="L163" i="17"/>
  <c r="M163" i="17"/>
  <c r="N163" i="17"/>
  <c r="L164" i="17"/>
  <c r="M164" i="17"/>
  <c r="N164" i="17"/>
  <c r="L165" i="17"/>
  <c r="M165" i="17"/>
  <c r="N165" i="17"/>
  <c r="L166" i="17"/>
  <c r="M166" i="17"/>
  <c r="N166" i="17"/>
  <c r="L167" i="17"/>
  <c r="M167" i="17"/>
  <c r="N167" i="17"/>
  <c r="AI153" i="17"/>
  <c r="AI155" i="17"/>
  <c r="AI157" i="17"/>
  <c r="AF153" i="17"/>
  <c r="AF155" i="17"/>
  <c r="AF156" i="17"/>
  <c r="AF157" i="17"/>
  <c r="AH156" i="17"/>
  <c r="AE156" i="17"/>
  <c r="AA156" i="17"/>
  <c r="AI156" i="17" s="1"/>
  <c r="AB156" i="17"/>
  <c r="AH154" i="17"/>
  <c r="AE154" i="17"/>
  <c r="AA154" i="17"/>
  <c r="AF154" i="17" s="1"/>
  <c r="AB154" i="17"/>
  <c r="AH152" i="17"/>
  <c r="AE152" i="17"/>
  <c r="AA152" i="17"/>
  <c r="AF152" i="17" s="1"/>
  <c r="AB152" i="17"/>
  <c r="L152" i="17"/>
  <c r="M152" i="17"/>
  <c r="N152" i="17"/>
  <c r="L153" i="17"/>
  <c r="M153" i="17"/>
  <c r="N153" i="17"/>
  <c r="L154" i="17"/>
  <c r="M154" i="17"/>
  <c r="N154" i="17"/>
  <c r="L155" i="17"/>
  <c r="M155" i="17"/>
  <c r="N155" i="17"/>
  <c r="L156" i="17"/>
  <c r="M156" i="17"/>
  <c r="N156" i="17"/>
  <c r="L157" i="17"/>
  <c r="M157" i="17"/>
  <c r="N157" i="17"/>
  <c r="N151" i="17"/>
  <c r="AD141" i="17"/>
  <c r="AG141" i="17"/>
  <c r="AD142" i="17"/>
  <c r="AG142" i="17"/>
  <c r="AD143" i="17"/>
  <c r="AG143" i="17"/>
  <c r="AD144" i="17"/>
  <c r="AG144" i="17"/>
  <c r="AD145" i="17"/>
  <c r="AG145" i="17"/>
  <c r="AD146" i="17"/>
  <c r="AE146" i="17" s="1"/>
  <c r="AG146" i="17"/>
  <c r="AH146" i="17"/>
  <c r="AD147" i="17"/>
  <c r="AG147" i="17"/>
  <c r="L141" i="17"/>
  <c r="M141" i="17"/>
  <c r="N141" i="17"/>
  <c r="O141" i="17"/>
  <c r="P141" i="17"/>
  <c r="Q141" i="17"/>
  <c r="R141" i="17"/>
  <c r="S141" i="17"/>
  <c r="T141" i="17"/>
  <c r="U141" i="17"/>
  <c r="V141" i="17"/>
  <c r="W141" i="17"/>
  <c r="X141" i="17"/>
  <c r="Y141" i="17"/>
  <c r="Z141" i="17"/>
  <c r="AA141"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T148" i="17" s="1"/>
  <c r="U143" i="17"/>
  <c r="V143" i="17"/>
  <c r="W143" i="17"/>
  <c r="X143" i="17"/>
  <c r="Y143" i="17"/>
  <c r="Z143" i="17"/>
  <c r="L144" i="17"/>
  <c r="M144" i="17"/>
  <c r="N144" i="17"/>
  <c r="O144" i="17"/>
  <c r="P144" i="17"/>
  <c r="Q144" i="17"/>
  <c r="R144" i="17"/>
  <c r="S144" i="17"/>
  <c r="T144" i="17"/>
  <c r="U144" i="17"/>
  <c r="V144" i="17"/>
  <c r="W144" i="17"/>
  <c r="X144" i="17"/>
  <c r="Y144" i="17"/>
  <c r="Z144" i="17"/>
  <c r="L145" i="17"/>
  <c r="M145" i="17"/>
  <c r="N145" i="17"/>
  <c r="O145" i="17"/>
  <c r="P145" i="17"/>
  <c r="Q145" i="17"/>
  <c r="R145" i="17"/>
  <c r="S145" i="17"/>
  <c r="T145" i="17"/>
  <c r="U145" i="17"/>
  <c r="V145" i="17"/>
  <c r="W145" i="17"/>
  <c r="X145" i="17"/>
  <c r="Y145" i="17"/>
  <c r="Z145" i="17"/>
  <c r="L146" i="17"/>
  <c r="M146" i="17"/>
  <c r="N146" i="17"/>
  <c r="O146" i="17"/>
  <c r="P146" i="17"/>
  <c r="Q146" i="17"/>
  <c r="R146" i="17"/>
  <c r="S146" i="17"/>
  <c r="T146" i="17"/>
  <c r="U146" i="17"/>
  <c r="V146" i="17"/>
  <c r="W146" i="17"/>
  <c r="X146" i="17"/>
  <c r="Y146" i="17"/>
  <c r="Z146" i="17"/>
  <c r="L147" i="17"/>
  <c r="M147" i="17"/>
  <c r="N147" i="17"/>
  <c r="O147" i="17"/>
  <c r="P147" i="17"/>
  <c r="Q147" i="17"/>
  <c r="R147" i="17"/>
  <c r="S147" i="17"/>
  <c r="T147" i="17"/>
  <c r="U147" i="17"/>
  <c r="V147" i="17"/>
  <c r="W147" i="17"/>
  <c r="X147" i="17"/>
  <c r="Y147" i="17"/>
  <c r="Z147" i="17"/>
  <c r="L148" i="17"/>
  <c r="M148" i="17"/>
  <c r="N148" i="17"/>
  <c r="AH137" i="17"/>
  <c r="AH138" i="17"/>
  <c r="AF133" i="17"/>
  <c r="AE138" i="17"/>
  <c r="AA133" i="17"/>
  <c r="AI133" i="17" s="1"/>
  <c r="AA134" i="17"/>
  <c r="AA135" i="17"/>
  <c r="AA136" i="17"/>
  <c r="AI136" i="17" s="1"/>
  <c r="AA137" i="17"/>
  <c r="AI137" i="17" s="1"/>
  <c r="AA138" i="17"/>
  <c r="AA139" i="17"/>
  <c r="L133" i="17"/>
  <c r="M133" i="17"/>
  <c r="N133" i="17"/>
  <c r="L134" i="17"/>
  <c r="M134" i="17"/>
  <c r="N134" i="17"/>
  <c r="L135" i="17"/>
  <c r="M135" i="17"/>
  <c r="N135" i="17"/>
  <c r="L136" i="17"/>
  <c r="M136" i="17"/>
  <c r="N136" i="17"/>
  <c r="L137" i="17"/>
  <c r="M137" i="17"/>
  <c r="N137" i="17"/>
  <c r="L138" i="17"/>
  <c r="M138" i="17"/>
  <c r="N138" i="17"/>
  <c r="L139" i="17"/>
  <c r="M139" i="17"/>
  <c r="N139" i="17"/>
  <c r="AI124" i="17"/>
  <c r="AI127" i="17"/>
  <c r="AH128" i="17"/>
  <c r="AH129" i="17"/>
  <c r="AF124" i="17"/>
  <c r="AF127" i="17"/>
  <c r="AF128" i="17"/>
  <c r="AE129" i="17"/>
  <c r="AF129" i="17"/>
  <c r="AA124" i="17"/>
  <c r="AA125" i="17"/>
  <c r="AI125" i="17" s="1"/>
  <c r="AA126" i="17"/>
  <c r="AA127" i="17"/>
  <c r="AA128" i="17"/>
  <c r="AI128" i="17" s="1"/>
  <c r="AA129" i="17"/>
  <c r="AI129" i="17" s="1"/>
  <c r="AA130" i="17"/>
  <c r="L124" i="17"/>
  <c r="M124" i="17"/>
  <c r="N124" i="17"/>
  <c r="L125" i="17"/>
  <c r="M125" i="17"/>
  <c r="N125" i="17"/>
  <c r="L126" i="17"/>
  <c r="M126" i="17"/>
  <c r="N126" i="17"/>
  <c r="L127" i="17"/>
  <c r="M127" i="17"/>
  <c r="N127" i="17"/>
  <c r="L128" i="17"/>
  <c r="M128" i="17"/>
  <c r="N128" i="17"/>
  <c r="L129" i="17"/>
  <c r="M129" i="17"/>
  <c r="N129" i="17"/>
  <c r="L130" i="17"/>
  <c r="M130" i="17"/>
  <c r="N130" i="17"/>
  <c r="AI115" i="17"/>
  <c r="AH120" i="17"/>
  <c r="AF116" i="17"/>
  <c r="AE120" i="17"/>
  <c r="AF120" i="17"/>
  <c r="AA115" i="17"/>
  <c r="AA116" i="17"/>
  <c r="AI116" i="17" s="1"/>
  <c r="AA117" i="17"/>
  <c r="AA118" i="17"/>
  <c r="AA119" i="17"/>
  <c r="AI119" i="17" s="1"/>
  <c r="AA120" i="17"/>
  <c r="AI120" i="17" s="1"/>
  <c r="AA121" i="17"/>
  <c r="L115" i="17"/>
  <c r="M115" i="17"/>
  <c r="N115" i="17"/>
  <c r="L116" i="17"/>
  <c r="M116" i="17"/>
  <c r="N116" i="17"/>
  <c r="L117" i="17"/>
  <c r="M117" i="17"/>
  <c r="N117" i="17"/>
  <c r="L118" i="17"/>
  <c r="M118" i="17"/>
  <c r="N118" i="17"/>
  <c r="L119" i="17"/>
  <c r="M119" i="17"/>
  <c r="N119" i="17"/>
  <c r="L120" i="17"/>
  <c r="M120" i="17"/>
  <c r="N120" i="17"/>
  <c r="L121" i="17"/>
  <c r="M121" i="17"/>
  <c r="N121" i="17"/>
  <c r="AD110" i="17"/>
  <c r="AD111" i="17"/>
  <c r="AG110" i="17"/>
  <c r="AG111" i="17"/>
  <c r="O110" i="17"/>
  <c r="P110" i="17"/>
  <c r="Q110" i="17"/>
  <c r="R110" i="17"/>
  <c r="S110" i="17"/>
  <c r="T110" i="17"/>
  <c r="U110" i="17"/>
  <c r="V110" i="17"/>
  <c r="W110" i="17"/>
  <c r="X110" i="17"/>
  <c r="Y110" i="17"/>
  <c r="Z110" i="17"/>
  <c r="O111" i="17"/>
  <c r="P111" i="17"/>
  <c r="Q111" i="17"/>
  <c r="R111" i="17"/>
  <c r="S111" i="17"/>
  <c r="T111" i="17"/>
  <c r="U111" i="17"/>
  <c r="V111" i="17"/>
  <c r="W111" i="17"/>
  <c r="X111" i="17"/>
  <c r="Y111" i="17"/>
  <c r="Z111" i="17"/>
  <c r="AA108" i="17"/>
  <c r="AF108" i="17" s="1"/>
  <c r="AA109" i="17"/>
  <c r="AI109" i="17" s="1"/>
  <c r="N108" i="17"/>
  <c r="N109" i="17"/>
  <c r="I108" i="17"/>
  <c r="J108" i="17"/>
  <c r="I109" i="17"/>
  <c r="J109" i="17"/>
  <c r="AF103" i="17"/>
  <c r="AA102" i="17"/>
  <c r="AI102" i="17" s="1"/>
  <c r="AA103" i="17"/>
  <c r="AI103" i="17" s="1"/>
  <c r="AA104" i="17"/>
  <c r="AF104" i="17" s="1"/>
  <c r="N102" i="17"/>
  <c r="N173" i="17" s="1"/>
  <c r="N103" i="17"/>
  <c r="N104" i="17"/>
  <c r="N174" i="17" s="1"/>
  <c r="N105" i="17"/>
  <c r="L102" i="17"/>
  <c r="M102" i="17"/>
  <c r="L103" i="17"/>
  <c r="M103" i="17"/>
  <c r="L104" i="17"/>
  <c r="M104" i="17"/>
  <c r="I102" i="17"/>
  <c r="J102" i="17"/>
  <c r="I103" i="17"/>
  <c r="J103" i="17"/>
  <c r="I104" i="17"/>
  <c r="J104" i="17"/>
  <c r="I105" i="17"/>
  <c r="J105" i="17"/>
  <c r="AI99" i="17"/>
  <c r="AE99" i="17"/>
  <c r="AA99" i="17"/>
  <c r="AF99" i="17" s="1"/>
  <c r="L99" i="17"/>
  <c r="M99" i="17"/>
  <c r="N99" i="17"/>
  <c r="I99" i="17"/>
  <c r="J99" i="17"/>
  <c r="AI97" i="17"/>
  <c r="AA95" i="17"/>
  <c r="AA96" i="17"/>
  <c r="AA97" i="17"/>
  <c r="L95" i="17"/>
  <c r="M95" i="17"/>
  <c r="N95" i="17"/>
  <c r="L96" i="17"/>
  <c r="M96" i="17"/>
  <c r="N96" i="17"/>
  <c r="L97" i="17"/>
  <c r="M97" i="17"/>
  <c r="N97" i="17"/>
  <c r="I95" i="17"/>
  <c r="J95" i="17"/>
  <c r="I96" i="17"/>
  <c r="J96" i="17"/>
  <c r="I97" i="17"/>
  <c r="J97" i="17"/>
  <c r="AG93" i="17"/>
  <c r="AH94" i="17" s="1"/>
  <c r="AD93" i="17"/>
  <c r="AE94" i="17" s="1"/>
  <c r="O93" i="17"/>
  <c r="O94" i="17" s="1"/>
  <c r="P93" i="17"/>
  <c r="P94" i="17" s="1"/>
  <c r="Q93" i="17"/>
  <c r="Q94" i="17" s="1"/>
  <c r="R93" i="17"/>
  <c r="R94" i="17" s="1"/>
  <c r="S93" i="17"/>
  <c r="T93" i="17"/>
  <c r="T94" i="17" s="1"/>
  <c r="U93" i="17"/>
  <c r="V93" i="17"/>
  <c r="V94" i="17" s="1"/>
  <c r="W93" i="17"/>
  <c r="W94" i="17" s="1"/>
  <c r="X93" i="17"/>
  <c r="X94" i="17" s="1"/>
  <c r="Y93" i="17"/>
  <c r="Y94" i="17" s="1"/>
  <c r="Z93" i="17"/>
  <c r="Z94" i="17" s="1"/>
  <c r="S94" i="17"/>
  <c r="U94" i="17"/>
  <c r="AI89" i="17"/>
  <c r="AA35" i="17"/>
  <c r="AF35" i="17" s="1"/>
  <c r="AA36" i="17"/>
  <c r="AA37" i="17"/>
  <c r="AI37" i="17" s="1"/>
  <c r="AA38" i="17"/>
  <c r="AI38" i="17" s="1"/>
  <c r="AA39" i="17"/>
  <c r="AI39" i="17" s="1"/>
  <c r="AA40" i="17"/>
  <c r="AF40" i="17" s="1"/>
  <c r="AA44" i="17"/>
  <c r="AA45" i="17"/>
  <c r="AF45" i="17" s="1"/>
  <c r="AA46" i="17"/>
  <c r="AA47" i="17"/>
  <c r="AA48" i="17"/>
  <c r="AA49" i="17"/>
  <c r="AB49" i="17" s="1"/>
  <c r="AA53" i="17"/>
  <c r="AA54" i="17"/>
  <c r="AF54" i="17" s="1"/>
  <c r="AA55" i="17"/>
  <c r="AI55" i="17" s="1"/>
  <c r="AA56" i="17"/>
  <c r="AA57" i="17"/>
  <c r="AF57" i="17" s="1"/>
  <c r="AA58" i="17"/>
  <c r="AA62" i="17"/>
  <c r="AA63" i="17"/>
  <c r="AF63" i="17" s="1"/>
  <c r="AA64" i="17"/>
  <c r="AA65" i="17"/>
  <c r="AI65" i="17" s="1"/>
  <c r="AA66" i="17"/>
  <c r="AI66" i="17" s="1"/>
  <c r="AA67" i="17"/>
  <c r="AA71" i="17"/>
  <c r="AF71" i="17" s="1"/>
  <c r="AA72" i="17"/>
  <c r="AA73" i="17"/>
  <c r="AI73" i="17" s="1"/>
  <c r="AA74" i="17"/>
  <c r="AF74" i="17" s="1"/>
  <c r="AA75" i="17"/>
  <c r="AA76" i="17"/>
  <c r="AF76" i="17" s="1"/>
  <c r="AA80" i="17"/>
  <c r="AF80" i="17" s="1"/>
  <c r="AA81" i="17"/>
  <c r="AI81" i="17" s="1"/>
  <c r="AA82" i="17"/>
  <c r="AA83" i="17"/>
  <c r="AA84" i="17"/>
  <c r="AA86" i="17" s="1"/>
  <c r="AA88" i="17" s="1"/>
  <c r="AA85" i="17"/>
  <c r="AI85" i="17" s="1"/>
  <c r="AA87" i="17"/>
  <c r="AA89" i="17"/>
  <c r="AF89" i="17" s="1"/>
  <c r="AA90" i="17"/>
  <c r="AI90" i="17" s="1"/>
  <c r="AA91" i="17"/>
  <c r="AH91" i="17"/>
  <c r="AE89" i="17"/>
  <c r="AE90" i="17"/>
  <c r="AE91" i="17"/>
  <c r="L89" i="17"/>
  <c r="M89" i="17"/>
  <c r="N89" i="17"/>
  <c r="L90" i="17"/>
  <c r="M90" i="17"/>
  <c r="N90" i="17"/>
  <c r="L91" i="17"/>
  <c r="M91" i="17"/>
  <c r="N91" i="17"/>
  <c r="L92" i="17"/>
  <c r="M92" i="17"/>
  <c r="N92" i="17"/>
  <c r="I89" i="17"/>
  <c r="J89" i="17"/>
  <c r="I90" i="17"/>
  <c r="J90" i="17"/>
  <c r="I91" i="17"/>
  <c r="J91" i="17"/>
  <c r="I92" i="17"/>
  <c r="J92" i="17"/>
  <c r="AG87" i="17"/>
  <c r="AH88" i="17" s="1"/>
  <c r="AD87" i="17"/>
  <c r="AE88" i="17" s="1"/>
  <c r="O87" i="17"/>
  <c r="P87" i="17"/>
  <c r="P88" i="17" s="1"/>
  <c r="Q87" i="17"/>
  <c r="Q88" i="17" s="1"/>
  <c r="R87" i="17"/>
  <c r="R88" i="17" s="1"/>
  <c r="S87" i="17"/>
  <c r="S88" i="17" s="1"/>
  <c r="T87" i="17"/>
  <c r="T88" i="17" s="1"/>
  <c r="U87" i="17"/>
  <c r="V87" i="17"/>
  <c r="W87" i="17"/>
  <c r="X87" i="17"/>
  <c r="X88" i="17" s="1"/>
  <c r="Y87" i="17"/>
  <c r="Y88" i="17" s="1"/>
  <c r="Z87" i="17"/>
  <c r="Z88" i="17" s="1"/>
  <c r="O88" i="17"/>
  <c r="U88" i="17"/>
  <c r="V88" i="17"/>
  <c r="W88" i="17"/>
  <c r="AI80" i="17"/>
  <c r="AI82" i="17"/>
  <c r="AI84" i="17"/>
  <c r="AF82" i="17"/>
  <c r="AF85" i="17"/>
  <c r="AH79" i="17"/>
  <c r="AH81" i="17"/>
  <c r="AH82" i="17"/>
  <c r="AH83" i="17"/>
  <c r="AH85" i="17"/>
  <c r="AE80" i="17"/>
  <c r="AE81" i="17"/>
  <c r="AE82" i="17"/>
  <c r="AE83" i="17"/>
  <c r="AE84" i="17"/>
  <c r="AE85" i="17"/>
  <c r="AB85" i="17"/>
  <c r="L80" i="17"/>
  <c r="M80" i="17"/>
  <c r="N80" i="17"/>
  <c r="L81" i="17"/>
  <c r="M81" i="17"/>
  <c r="N81" i="17"/>
  <c r="L82" i="17"/>
  <c r="M82" i="17"/>
  <c r="N82" i="17"/>
  <c r="L83" i="17"/>
  <c r="M83" i="17"/>
  <c r="N83" i="17"/>
  <c r="L84" i="17"/>
  <c r="M84" i="17"/>
  <c r="N84" i="17"/>
  <c r="L85" i="17"/>
  <c r="M85" i="17"/>
  <c r="N85" i="17"/>
  <c r="L86" i="17"/>
  <c r="M86" i="17"/>
  <c r="N86" i="17"/>
  <c r="I80" i="17"/>
  <c r="J80" i="17"/>
  <c r="I81" i="17"/>
  <c r="J81" i="17"/>
  <c r="I82" i="17"/>
  <c r="J82" i="17"/>
  <c r="I83" i="17"/>
  <c r="J83" i="17"/>
  <c r="I84" i="17"/>
  <c r="J84" i="17"/>
  <c r="I85" i="17"/>
  <c r="J85" i="17"/>
  <c r="I86" i="17"/>
  <c r="J86" i="17"/>
  <c r="AG78" i="17"/>
  <c r="AD78" i="17"/>
  <c r="AE79" i="17" s="1"/>
  <c r="O78" i="17"/>
  <c r="P78" i="17"/>
  <c r="Q78" i="17"/>
  <c r="Q79" i="17" s="1"/>
  <c r="R78" i="17"/>
  <c r="R79" i="17" s="1"/>
  <c r="S78" i="17"/>
  <c r="S79" i="17" s="1"/>
  <c r="T78" i="17"/>
  <c r="T79" i="17" s="1"/>
  <c r="U78" i="17"/>
  <c r="V78" i="17"/>
  <c r="V79" i="17" s="1"/>
  <c r="W78" i="17"/>
  <c r="X78" i="17"/>
  <c r="X79" i="17" s="1"/>
  <c r="Y78" i="17"/>
  <c r="Y79" i="17" s="1"/>
  <c r="Z78" i="17"/>
  <c r="Z79" i="17" s="1"/>
  <c r="O79" i="17"/>
  <c r="P79" i="17"/>
  <c r="U79" i="17"/>
  <c r="W79" i="17"/>
  <c r="AI72" i="17"/>
  <c r="AI74" i="17"/>
  <c r="AI76" i="17"/>
  <c r="AF72" i="17"/>
  <c r="AF73" i="17"/>
  <c r="AH70" i="17"/>
  <c r="AH73" i="17"/>
  <c r="AH74" i="17"/>
  <c r="AH76" i="17"/>
  <c r="AE76" i="17"/>
  <c r="AB76" i="17"/>
  <c r="L71" i="17"/>
  <c r="M71" i="17"/>
  <c r="N71" i="17"/>
  <c r="L72" i="17"/>
  <c r="M72" i="17"/>
  <c r="N72" i="17"/>
  <c r="L73" i="17"/>
  <c r="M73" i="17"/>
  <c r="N73" i="17"/>
  <c r="L74" i="17"/>
  <c r="M74" i="17"/>
  <c r="N74" i="17"/>
  <c r="L75" i="17"/>
  <c r="M75" i="17"/>
  <c r="N75" i="17"/>
  <c r="L76" i="17"/>
  <c r="M76" i="17"/>
  <c r="N76" i="17"/>
  <c r="L77" i="17"/>
  <c r="M77" i="17"/>
  <c r="N77" i="17"/>
  <c r="I71" i="17"/>
  <c r="J71" i="17"/>
  <c r="I72" i="17"/>
  <c r="J72" i="17"/>
  <c r="I73" i="17"/>
  <c r="J73" i="17"/>
  <c r="I74" i="17"/>
  <c r="J74" i="17"/>
  <c r="I75" i="17"/>
  <c r="J75" i="17"/>
  <c r="I76" i="17"/>
  <c r="J76" i="17"/>
  <c r="I77" i="17"/>
  <c r="J77" i="17"/>
  <c r="AG69" i="17"/>
  <c r="AD69" i="17"/>
  <c r="AE70" i="17" s="1"/>
  <c r="O69" i="17"/>
  <c r="P69" i="17"/>
  <c r="P70" i="17" s="1"/>
  <c r="Q69" i="17"/>
  <c r="Q70" i="17" s="1"/>
  <c r="R69" i="17"/>
  <c r="R70" i="17" s="1"/>
  <c r="S69" i="17"/>
  <c r="S70" i="17" s="1"/>
  <c r="T69" i="17"/>
  <c r="U69" i="17"/>
  <c r="V69" i="17"/>
  <c r="V70" i="17" s="1"/>
  <c r="W69" i="17"/>
  <c r="X69" i="17"/>
  <c r="X70" i="17" s="1"/>
  <c r="Y69" i="17"/>
  <c r="Y70" i="17" s="1"/>
  <c r="Z69" i="17"/>
  <c r="Z70" i="17" s="1"/>
  <c r="O70" i="17"/>
  <c r="T70" i="17"/>
  <c r="U70" i="17"/>
  <c r="W70" i="17"/>
  <c r="AI62" i="17"/>
  <c r="AF62" i="17"/>
  <c r="AF65" i="17"/>
  <c r="AF66" i="17"/>
  <c r="AF67" i="17"/>
  <c r="AH67" i="17"/>
  <c r="AE67" i="17"/>
  <c r="AB67" i="17"/>
  <c r="L62" i="17"/>
  <c r="M62" i="17"/>
  <c r="N62" i="17"/>
  <c r="L63" i="17"/>
  <c r="M63" i="17"/>
  <c r="N63" i="17"/>
  <c r="L64" i="17"/>
  <c r="M64" i="17"/>
  <c r="N64" i="17"/>
  <c r="L65" i="17"/>
  <c r="M65" i="17"/>
  <c r="N65" i="17"/>
  <c r="L66" i="17"/>
  <c r="M66" i="17"/>
  <c r="N66" i="17"/>
  <c r="L67" i="17"/>
  <c r="M67" i="17"/>
  <c r="N67" i="17"/>
  <c r="L68" i="17"/>
  <c r="M68" i="17"/>
  <c r="N68" i="17"/>
  <c r="I62" i="17"/>
  <c r="J62" i="17"/>
  <c r="I63" i="17"/>
  <c r="J63" i="17"/>
  <c r="I64" i="17"/>
  <c r="J64" i="17"/>
  <c r="I65" i="17"/>
  <c r="J65" i="17"/>
  <c r="I66" i="17"/>
  <c r="J66" i="17"/>
  <c r="I67" i="17"/>
  <c r="J67" i="17"/>
  <c r="I68" i="17"/>
  <c r="J68" i="17"/>
  <c r="AG60" i="17"/>
  <c r="AH61" i="17" s="1"/>
  <c r="AD60" i="17"/>
  <c r="AE61" i="17" s="1"/>
  <c r="O60" i="17"/>
  <c r="O61" i="17" s="1"/>
  <c r="P60" i="17"/>
  <c r="P61" i="17" s="1"/>
  <c r="Q60" i="17"/>
  <c r="Q61" i="17" s="1"/>
  <c r="R60" i="17"/>
  <c r="R61" i="17" s="1"/>
  <c r="S60" i="17"/>
  <c r="T60" i="17"/>
  <c r="T61" i="17" s="1"/>
  <c r="U60" i="17"/>
  <c r="V60" i="17"/>
  <c r="V61" i="17" s="1"/>
  <c r="W60" i="17"/>
  <c r="X60" i="17"/>
  <c r="X61" i="17" s="1"/>
  <c r="Y60" i="17"/>
  <c r="Y61" i="17" s="1"/>
  <c r="Z60" i="17"/>
  <c r="Z61" i="17" s="1"/>
  <c r="S61" i="17"/>
  <c r="U61" i="17"/>
  <c r="W61" i="17"/>
  <c r="AI53" i="17"/>
  <c r="AI57" i="17"/>
  <c r="AI58" i="17"/>
  <c r="AF53" i="17"/>
  <c r="AF55" i="17"/>
  <c r="AF56" i="17"/>
  <c r="AF58" i="17"/>
  <c r="AH52" i="17"/>
  <c r="AH58" i="17"/>
  <c r="AE58" i="17"/>
  <c r="AB58" i="17"/>
  <c r="L53" i="17"/>
  <c r="M53" i="17"/>
  <c r="N53" i="17"/>
  <c r="L54" i="17"/>
  <c r="M54" i="17"/>
  <c r="N54" i="17"/>
  <c r="L55" i="17"/>
  <c r="M55" i="17"/>
  <c r="N55" i="17"/>
  <c r="L56" i="17"/>
  <c r="M56" i="17"/>
  <c r="N56" i="17"/>
  <c r="L57" i="17"/>
  <c r="M57" i="17"/>
  <c r="N57" i="17"/>
  <c r="L58" i="17"/>
  <c r="M58" i="17"/>
  <c r="N58" i="17"/>
  <c r="L59" i="17"/>
  <c r="M59" i="17"/>
  <c r="N59" i="17"/>
  <c r="I53" i="17"/>
  <c r="J53" i="17"/>
  <c r="I54" i="17"/>
  <c r="J54" i="17"/>
  <c r="I55" i="17"/>
  <c r="J55" i="17"/>
  <c r="I56" i="17"/>
  <c r="J56" i="17"/>
  <c r="I57" i="17"/>
  <c r="J57" i="17"/>
  <c r="I58" i="17"/>
  <c r="J58" i="17"/>
  <c r="I59" i="17"/>
  <c r="J59" i="17"/>
  <c r="AG51" i="17"/>
  <c r="AD51" i="17"/>
  <c r="AE52" i="17" s="1"/>
  <c r="O51" i="17"/>
  <c r="O52" i="17" s="1"/>
  <c r="P51" i="17"/>
  <c r="P52" i="17" s="1"/>
  <c r="Q51" i="17"/>
  <c r="Q52" i="17" s="1"/>
  <c r="R51" i="17"/>
  <c r="R52" i="17" s="1"/>
  <c r="S51" i="17"/>
  <c r="T51" i="17"/>
  <c r="T52" i="17" s="1"/>
  <c r="U51" i="17"/>
  <c r="V51" i="17"/>
  <c r="V52" i="17" s="1"/>
  <c r="W51" i="17"/>
  <c r="W52" i="17" s="1"/>
  <c r="X51" i="17"/>
  <c r="Y51" i="17"/>
  <c r="Y52" i="17" s="1"/>
  <c r="Z51" i="17"/>
  <c r="Z52" i="17" s="1"/>
  <c r="S52" i="17"/>
  <c r="U52" i="17"/>
  <c r="X52" i="17"/>
  <c r="AI44" i="17"/>
  <c r="AI45" i="17"/>
  <c r="AI46" i="17"/>
  <c r="AF44" i="17"/>
  <c r="AF46" i="17"/>
  <c r="AF47" i="17"/>
  <c r="AF49" i="17"/>
  <c r="AH49" i="17"/>
  <c r="AE46" i="17"/>
  <c r="AE49" i="17"/>
  <c r="L44" i="17"/>
  <c r="M44" i="17"/>
  <c r="N44" i="17"/>
  <c r="L45" i="17"/>
  <c r="M45" i="17"/>
  <c r="N45" i="17"/>
  <c r="L46" i="17"/>
  <c r="M46" i="17"/>
  <c r="N46" i="17"/>
  <c r="L47" i="17"/>
  <c r="M47" i="17"/>
  <c r="N47" i="17"/>
  <c r="L48" i="17"/>
  <c r="M48" i="17"/>
  <c r="N48" i="17"/>
  <c r="L49" i="17"/>
  <c r="M49" i="17"/>
  <c r="N49" i="17"/>
  <c r="L50" i="17"/>
  <c r="M50" i="17"/>
  <c r="N50" i="17"/>
  <c r="I44" i="17"/>
  <c r="J44" i="17"/>
  <c r="I45" i="17"/>
  <c r="J45" i="17"/>
  <c r="I46" i="17"/>
  <c r="J46" i="17"/>
  <c r="I47" i="17"/>
  <c r="J47" i="17"/>
  <c r="I48" i="17"/>
  <c r="J48" i="17"/>
  <c r="I49" i="17"/>
  <c r="J49" i="17"/>
  <c r="I50" i="17"/>
  <c r="J50" i="17"/>
  <c r="AG42" i="17"/>
  <c r="AH43" i="17" s="1"/>
  <c r="AD42" i="17"/>
  <c r="AE43" i="17" s="1"/>
  <c r="O42" i="17"/>
  <c r="O43" i="17" s="1"/>
  <c r="P42" i="17"/>
  <c r="P43" i="17" s="1"/>
  <c r="Q42" i="17"/>
  <c r="Q43" i="17" s="1"/>
  <c r="R42" i="17"/>
  <c r="R43" i="17" s="1"/>
  <c r="S42" i="17"/>
  <c r="T42" i="17"/>
  <c r="T43" i="17" s="1"/>
  <c r="U42" i="17"/>
  <c r="U43" i="17" s="1"/>
  <c r="V42" i="17"/>
  <c r="W42" i="17"/>
  <c r="W43" i="17" s="1"/>
  <c r="X42" i="17"/>
  <c r="X43" i="17" s="1"/>
  <c r="Y42" i="17"/>
  <c r="Y43" i="17" s="1"/>
  <c r="Z42" i="17"/>
  <c r="Z43" i="17" s="1"/>
  <c r="S43" i="17"/>
  <c r="V43" i="17"/>
  <c r="AI35" i="17"/>
  <c r="AI36" i="17"/>
  <c r="AF36" i="17"/>
  <c r="AF38" i="17"/>
  <c r="AH40" i="17"/>
  <c r="AE40" i="17"/>
  <c r="L35" i="17"/>
  <c r="M35" i="17"/>
  <c r="N35" i="17"/>
  <c r="L36" i="17"/>
  <c r="M36" i="17"/>
  <c r="N36" i="17"/>
  <c r="L37" i="17"/>
  <c r="M37" i="17"/>
  <c r="N37" i="17"/>
  <c r="L38" i="17"/>
  <c r="M38" i="17"/>
  <c r="N38" i="17"/>
  <c r="L39" i="17"/>
  <c r="M39" i="17"/>
  <c r="N39" i="17"/>
  <c r="L40" i="17"/>
  <c r="M40" i="17"/>
  <c r="N40" i="17"/>
  <c r="L41" i="17"/>
  <c r="M41" i="17"/>
  <c r="N41" i="17"/>
  <c r="I35" i="17"/>
  <c r="J35" i="17"/>
  <c r="I36" i="17"/>
  <c r="J36" i="17"/>
  <c r="I37" i="17"/>
  <c r="J37" i="17"/>
  <c r="I38" i="17"/>
  <c r="J38" i="17"/>
  <c r="I39" i="17"/>
  <c r="J39" i="17"/>
  <c r="I40" i="17"/>
  <c r="J40" i="17"/>
  <c r="I41" i="17"/>
  <c r="J41" i="17"/>
  <c r="AG32" i="17"/>
  <c r="AD32" i="17"/>
  <c r="O32" i="17"/>
  <c r="P32" i="17"/>
  <c r="Q32" i="17"/>
  <c r="R32" i="17"/>
  <c r="S32" i="17"/>
  <c r="T32" i="17"/>
  <c r="U32" i="17"/>
  <c r="V32" i="17"/>
  <c r="W32" i="17"/>
  <c r="X32" i="17"/>
  <c r="Y32" i="17"/>
  <c r="Z32" i="17"/>
  <c r="AG31" i="17"/>
  <c r="AD31" i="17"/>
  <c r="O31" i="17"/>
  <c r="P31" i="17"/>
  <c r="Q31" i="17"/>
  <c r="R31" i="17"/>
  <c r="S31" i="17"/>
  <c r="T31" i="17"/>
  <c r="U31" i="17"/>
  <c r="V31" i="17"/>
  <c r="W31" i="17"/>
  <c r="X31" i="17"/>
  <c r="Y31" i="17"/>
  <c r="Z31" i="17"/>
  <c r="AA31" i="17"/>
  <c r="N26" i="17"/>
  <c r="N27" i="17"/>
  <c r="N28" i="17"/>
  <c r="N29" i="17"/>
  <c r="B23" i="17"/>
  <c r="AG16" i="17"/>
  <c r="AG19" i="17"/>
  <c r="AH119" i="17" s="1"/>
  <c r="AG20" i="17"/>
  <c r="AH104" i="17" s="1"/>
  <c r="AD19" i="17"/>
  <c r="AD20" i="17"/>
  <c r="AE104" i="17" s="1"/>
  <c r="G19" i="17"/>
  <c r="G20" i="17"/>
  <c r="N19" i="17"/>
  <c r="O19" i="17"/>
  <c r="P19" i="17"/>
  <c r="Q19" i="17"/>
  <c r="R19" i="17"/>
  <c r="S19" i="17"/>
  <c r="T19" i="17"/>
  <c r="U19" i="17"/>
  <c r="V19" i="17"/>
  <c r="W19" i="17"/>
  <c r="X19" i="17"/>
  <c r="Y19" i="17"/>
  <c r="Z19" i="17"/>
  <c r="N20" i="17"/>
  <c r="O20" i="17"/>
  <c r="P20" i="17"/>
  <c r="Q20" i="17"/>
  <c r="R20" i="17"/>
  <c r="S20" i="17"/>
  <c r="T20" i="17"/>
  <c r="U20" i="17"/>
  <c r="V20" i="17"/>
  <c r="W20" i="17"/>
  <c r="X20" i="17"/>
  <c r="Y20" i="17"/>
  <c r="Z20" i="17"/>
  <c r="B17" i="17"/>
  <c r="B18" i="17"/>
  <c r="B19" i="17"/>
  <c r="O16" i="17"/>
  <c r="P16" i="17"/>
  <c r="Q16" i="17"/>
  <c r="R16" i="17"/>
  <c r="S16" i="17"/>
  <c r="T16" i="17"/>
  <c r="U16" i="17"/>
  <c r="V16" i="17"/>
  <c r="W16" i="17"/>
  <c r="X16" i="17"/>
  <c r="Y16" i="17"/>
  <c r="O17" i="17"/>
  <c r="P17" i="17"/>
  <c r="Q17" i="17"/>
  <c r="R17" i="17"/>
  <c r="S17" i="17"/>
  <c r="T17" i="17"/>
  <c r="U17" i="17"/>
  <c r="V17" i="17"/>
  <c r="W17" i="17"/>
  <c r="X17" i="17"/>
  <c r="Y17" i="17"/>
  <c r="Z17" i="17"/>
  <c r="AA17" i="17" s="1"/>
  <c r="AA11" i="17" s="1"/>
  <c r="AA18" i="17" s="1"/>
  <c r="A14" i="17"/>
  <c r="AG12" i="17"/>
  <c r="AG13" i="17"/>
  <c r="AD12" i="17"/>
  <c r="AD13" i="17"/>
  <c r="B12" i="17"/>
  <c r="B13" i="17"/>
  <c r="O11" i="17"/>
  <c r="P11" i="17"/>
  <c r="Q11" i="17"/>
  <c r="R11" i="17"/>
  <c r="S11" i="17"/>
  <c r="T11" i="17"/>
  <c r="U11" i="17"/>
  <c r="V11" i="17"/>
  <c r="W11" i="17"/>
  <c r="X11" i="17"/>
  <c r="Y11" i="17"/>
  <c r="Z11" i="17"/>
  <c r="O12" i="17"/>
  <c r="P12" i="17"/>
  <c r="Q12" i="17"/>
  <c r="R12" i="17"/>
  <c r="S12" i="17"/>
  <c r="T12" i="17"/>
  <c r="U12" i="17"/>
  <c r="V12" i="17"/>
  <c r="W12" i="17"/>
  <c r="X12" i="17"/>
  <c r="Y12" i="17"/>
  <c r="Z12" i="17"/>
  <c r="AA12" i="17"/>
  <c r="O13" i="17"/>
  <c r="P13" i="17"/>
  <c r="Q13" i="17"/>
  <c r="R13" i="17"/>
  <c r="S13" i="17"/>
  <c r="T13" i="17"/>
  <c r="U13" i="17"/>
  <c r="V13" i="17"/>
  <c r="W13" i="17"/>
  <c r="X13" i="17"/>
  <c r="Y13" i="17"/>
  <c r="Z13" i="17"/>
  <c r="AA13" i="17"/>
  <c r="C10" i="17"/>
  <c r="D10" i="17"/>
  <c r="Z16" i="17" s="1"/>
  <c r="C9" i="17"/>
  <c r="C1" i="17"/>
  <c r="C2" i="17"/>
  <c r="C3" i="17"/>
  <c r="C4" i="17"/>
  <c r="C5" i="17"/>
  <c r="C6" i="17"/>
  <c r="C7" i="17"/>
  <c r="C8" i="17"/>
  <c r="E6" i="17"/>
  <c r="E4" i="17"/>
  <c r="F4" i="17"/>
  <c r="B3" i="17"/>
  <c r="AG122" i="16"/>
  <c r="AD122" i="16"/>
  <c r="O122" i="16"/>
  <c r="P122" i="16"/>
  <c r="Q122" i="16"/>
  <c r="R122" i="16"/>
  <c r="S122" i="16"/>
  <c r="T122" i="16"/>
  <c r="U122" i="16"/>
  <c r="V122" i="16"/>
  <c r="W122" i="16"/>
  <c r="X122" i="16"/>
  <c r="Y122" i="16"/>
  <c r="Z122" i="16"/>
  <c r="N123" i="16"/>
  <c r="N119" i="16"/>
  <c r="N122" i="16" s="1"/>
  <c r="N120" i="16"/>
  <c r="AL119" i="16"/>
  <c r="I119" i="16"/>
  <c r="AA119" i="16" s="1"/>
  <c r="J119" i="16"/>
  <c r="I120" i="16"/>
  <c r="AA120" i="16" s="1"/>
  <c r="AI120" i="16" s="1"/>
  <c r="J12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I117" i="16"/>
  <c r="J117" i="16"/>
  <c r="B109" i="16"/>
  <c r="B103" i="16"/>
  <c r="B104" i="16"/>
  <c r="B105" i="16"/>
  <c r="A100" i="16"/>
  <c r="AH104" i="16"/>
  <c r="AL104" i="16"/>
  <c r="AL105" i="16"/>
  <c r="AI117" i="16"/>
  <c r="AE99" i="16"/>
  <c r="AE111" i="16"/>
  <c r="AE115" i="16"/>
  <c r="AE116" i="16"/>
  <c r="AA99" i="16"/>
  <c r="AI99" i="16" s="1"/>
  <c r="AA101" i="16"/>
  <c r="AI101" i="16" s="1"/>
  <c r="AA103" i="16"/>
  <c r="AF103" i="16" s="1"/>
  <c r="AA111" i="16"/>
  <c r="AF111" i="16" s="1"/>
  <c r="AA115" i="16"/>
  <c r="AI115" i="16" s="1"/>
  <c r="AA117" i="16"/>
  <c r="I92" i="16"/>
  <c r="J92" i="16"/>
  <c r="L92" i="16"/>
  <c r="M92" i="16"/>
  <c r="I93" i="16"/>
  <c r="AA93" i="16" s="1"/>
  <c r="AI93" i="16" s="1"/>
  <c r="J93" i="16"/>
  <c r="L93" i="16"/>
  <c r="M93" i="16"/>
  <c r="I94" i="16"/>
  <c r="J94" i="16"/>
  <c r="L94" i="16"/>
  <c r="M94" i="16"/>
  <c r="I95" i="16"/>
  <c r="AA95" i="16" s="1"/>
  <c r="AF95" i="16" s="1"/>
  <c r="J95" i="16"/>
  <c r="L95" i="16"/>
  <c r="M95" i="16"/>
  <c r="I96" i="16"/>
  <c r="AA96" i="16" s="1"/>
  <c r="J96" i="16"/>
  <c r="L96" i="16"/>
  <c r="M96" i="16"/>
  <c r="I97" i="16"/>
  <c r="AA97" i="16" s="1"/>
  <c r="J97" i="16"/>
  <c r="L97" i="16"/>
  <c r="M97" i="16"/>
  <c r="I98" i="16"/>
  <c r="AA98" i="16" s="1"/>
  <c r="J98" i="16"/>
  <c r="L98" i="16"/>
  <c r="M98" i="16"/>
  <c r="I99" i="16"/>
  <c r="J99" i="16"/>
  <c r="L99" i="16"/>
  <c r="M99" i="16"/>
  <c r="I100" i="16"/>
  <c r="K100" i="16" s="1"/>
  <c r="J100" i="16"/>
  <c r="L100" i="16"/>
  <c r="M100" i="16"/>
  <c r="I101" i="16"/>
  <c r="J101" i="16"/>
  <c r="L101" i="16"/>
  <c r="M101" i="16"/>
  <c r="I102" i="16"/>
  <c r="J102" i="16"/>
  <c r="L102" i="16"/>
  <c r="M102" i="16"/>
  <c r="I103" i="16"/>
  <c r="K103" i="16" s="1"/>
  <c r="J103" i="16"/>
  <c r="L103" i="16"/>
  <c r="M103" i="16"/>
  <c r="I104" i="16"/>
  <c r="AA104" i="16" s="1"/>
  <c r="J104" i="16"/>
  <c r="L104" i="16"/>
  <c r="M104" i="16"/>
  <c r="I105" i="16"/>
  <c r="AA105" i="16" s="1"/>
  <c r="J105" i="16"/>
  <c r="L105" i="16"/>
  <c r="M105" i="16"/>
  <c r="I106" i="16"/>
  <c r="AA106" i="16" s="1"/>
  <c r="J106" i="16"/>
  <c r="L106" i="16"/>
  <c r="M106" i="16"/>
  <c r="I107" i="16"/>
  <c r="J107" i="16"/>
  <c r="L107" i="16"/>
  <c r="M107" i="16"/>
  <c r="I108" i="16"/>
  <c r="AA108" i="16" s="1"/>
  <c r="J108" i="16"/>
  <c r="L108" i="16"/>
  <c r="M108" i="16"/>
  <c r="I109" i="16"/>
  <c r="AA109" i="16" s="1"/>
  <c r="AI109" i="16" s="1"/>
  <c r="J109" i="16"/>
  <c r="K109" i="16" s="1"/>
  <c r="L109" i="16"/>
  <c r="M109" i="16"/>
  <c r="I110" i="16"/>
  <c r="K110" i="16" s="1"/>
  <c r="J110" i="16"/>
  <c r="L110" i="16"/>
  <c r="M110" i="16"/>
  <c r="I111" i="16"/>
  <c r="K111" i="16" s="1"/>
  <c r="J111" i="16"/>
  <c r="L111" i="16"/>
  <c r="M111" i="16"/>
  <c r="I112" i="16"/>
  <c r="AA112" i="16" s="1"/>
  <c r="J112" i="16"/>
  <c r="L112" i="16"/>
  <c r="M112" i="16"/>
  <c r="I113" i="16"/>
  <c r="AA113" i="16" s="1"/>
  <c r="J113" i="16"/>
  <c r="L113" i="16"/>
  <c r="M113" i="16"/>
  <c r="I114" i="16"/>
  <c r="AA114" i="16" s="1"/>
  <c r="J114" i="16"/>
  <c r="L114" i="16"/>
  <c r="M114" i="16"/>
  <c r="I115" i="16"/>
  <c r="K115" i="16" s="1"/>
  <c r="J115" i="16"/>
  <c r="L115" i="16"/>
  <c r="M115" i="16"/>
  <c r="I116" i="16"/>
  <c r="AA116" i="16" s="1"/>
  <c r="J116" i="16"/>
  <c r="K116" i="16"/>
  <c r="L116" i="16"/>
  <c r="M116" i="16"/>
  <c r="I91" i="16"/>
  <c r="J91" i="16"/>
  <c r="B77" i="16"/>
  <c r="B78" i="16"/>
  <c r="AL75" i="16"/>
  <c r="AH76" i="16"/>
  <c r="AH82" i="16"/>
  <c r="AL86" i="16"/>
  <c r="AE76" i="16"/>
  <c r="AE82" i="16"/>
  <c r="AF83" i="16"/>
  <c r="AA75" i="16"/>
  <c r="AF75" i="16" s="1"/>
  <c r="AA79" i="16"/>
  <c r="I74" i="16"/>
  <c r="AA74" i="16" s="1"/>
  <c r="J74" i="16"/>
  <c r="L74" i="16"/>
  <c r="M74" i="16"/>
  <c r="N74" i="16"/>
  <c r="I75" i="16"/>
  <c r="K75" i="16" s="1"/>
  <c r="J75" i="16"/>
  <c r="L75" i="16"/>
  <c r="M75" i="16"/>
  <c r="N75" i="16"/>
  <c r="I76" i="16"/>
  <c r="AA76" i="16" s="1"/>
  <c r="J76" i="16"/>
  <c r="K76" i="16"/>
  <c r="L76" i="16"/>
  <c r="M76" i="16"/>
  <c r="N76" i="16"/>
  <c r="I77" i="16"/>
  <c r="K77" i="16" s="1"/>
  <c r="J77" i="16"/>
  <c r="L77" i="16"/>
  <c r="M77" i="16"/>
  <c r="N77" i="16"/>
  <c r="I78" i="16"/>
  <c r="AA78" i="16" s="1"/>
  <c r="J78" i="16"/>
  <c r="L78" i="16"/>
  <c r="M78" i="16"/>
  <c r="N78" i="16"/>
  <c r="I79" i="16"/>
  <c r="J79" i="16"/>
  <c r="K79" i="16"/>
  <c r="L79" i="16"/>
  <c r="M79" i="16"/>
  <c r="N79" i="16"/>
  <c r="I80" i="16"/>
  <c r="AA80" i="16" s="1"/>
  <c r="J80" i="16"/>
  <c r="L80" i="16"/>
  <c r="M80" i="16"/>
  <c r="N80" i="16"/>
  <c r="I81" i="16"/>
  <c r="K81" i="16" s="1"/>
  <c r="J81" i="16"/>
  <c r="L81" i="16"/>
  <c r="M81" i="16"/>
  <c r="N81" i="16"/>
  <c r="I82" i="16"/>
  <c r="AA82" i="16" s="1"/>
  <c r="J82" i="16"/>
  <c r="L82" i="16"/>
  <c r="M82" i="16"/>
  <c r="N82" i="16"/>
  <c r="I83" i="16"/>
  <c r="AA83" i="16" s="1"/>
  <c r="AI83" i="16" s="1"/>
  <c r="J83" i="16"/>
  <c r="L83" i="16"/>
  <c r="M83" i="16"/>
  <c r="N83" i="16"/>
  <c r="I84" i="16"/>
  <c r="J84" i="16"/>
  <c r="L84" i="16"/>
  <c r="M84" i="16"/>
  <c r="N84" i="16"/>
  <c r="I85" i="16"/>
  <c r="K85" i="16" s="1"/>
  <c r="J85" i="16"/>
  <c r="L85" i="16"/>
  <c r="M85" i="16"/>
  <c r="N85" i="16"/>
  <c r="I86" i="16"/>
  <c r="AA86" i="16" s="1"/>
  <c r="J86" i="16"/>
  <c r="L86" i="16"/>
  <c r="M86" i="16"/>
  <c r="N86" i="16"/>
  <c r="I87" i="16"/>
  <c r="J87" i="16"/>
  <c r="L87" i="16"/>
  <c r="M87" i="16"/>
  <c r="N87" i="16"/>
  <c r="I88" i="16"/>
  <c r="AA88" i="16" s="1"/>
  <c r="J88" i="16"/>
  <c r="K88" i="16"/>
  <c r="L88" i="16"/>
  <c r="M88" i="16"/>
  <c r="N88" i="16"/>
  <c r="I89" i="16"/>
  <c r="K89" i="16" s="1"/>
  <c r="J89" i="16"/>
  <c r="L89" i="16"/>
  <c r="M89" i="16"/>
  <c r="N89" i="16"/>
  <c r="B72" i="16"/>
  <c r="B73" i="16"/>
  <c r="B74" i="16"/>
  <c r="N72" i="16"/>
  <c r="N73" i="16"/>
  <c r="I72" i="16"/>
  <c r="J72" i="16"/>
  <c r="I73" i="16"/>
  <c r="J73" i="16"/>
  <c r="AD70" i="16"/>
  <c r="AD123" i="16" s="1"/>
  <c r="AG70" i="16"/>
  <c r="N70" i="16"/>
  <c r="O70" i="16"/>
  <c r="O123" i="16" s="1"/>
  <c r="P70" i="16"/>
  <c r="P123" i="16" s="1"/>
  <c r="Q70" i="16"/>
  <c r="Q123" i="16" s="1"/>
  <c r="R70" i="16"/>
  <c r="R123" i="16" s="1"/>
  <c r="S70" i="16"/>
  <c r="S123" i="16" s="1"/>
  <c r="T70" i="16"/>
  <c r="T123" i="16" s="1"/>
  <c r="U70" i="16"/>
  <c r="U123" i="16" s="1"/>
  <c r="V70" i="16"/>
  <c r="V123" i="16" s="1"/>
  <c r="W70" i="16"/>
  <c r="W123" i="16" s="1"/>
  <c r="X70" i="16"/>
  <c r="X123" i="16" s="1"/>
  <c r="Y70" i="16"/>
  <c r="Y123" i="16" s="1"/>
  <c r="Z70" i="16"/>
  <c r="Z123" i="16" s="1"/>
  <c r="AH69" i="16"/>
  <c r="AI69" i="16"/>
  <c r="AB60" i="16"/>
  <c r="AN60" i="16" s="1"/>
  <c r="AB61" i="16"/>
  <c r="AB62" i="16"/>
  <c r="AB63" i="16"/>
  <c r="AB64" i="16"/>
  <c r="AM64" i="16" s="1"/>
  <c r="AB65" i="16"/>
  <c r="AB66" i="16"/>
  <c r="AN66" i="16" s="1"/>
  <c r="AB67" i="16"/>
  <c r="AB68" i="16"/>
  <c r="AM68" i="16" s="1"/>
  <c r="AB69" i="16"/>
  <c r="N58" i="16"/>
  <c r="N59" i="16"/>
  <c r="N60" i="16"/>
  <c r="N61" i="16"/>
  <c r="N62" i="16"/>
  <c r="N63" i="16"/>
  <c r="N64" i="16"/>
  <c r="N65" i="16"/>
  <c r="N66" i="16"/>
  <c r="N67" i="16"/>
  <c r="N68" i="16"/>
  <c r="N69" i="16"/>
  <c r="I69" i="16"/>
  <c r="K69" i="16" s="1"/>
  <c r="J69" i="16"/>
  <c r="I70" i="16"/>
  <c r="K70" i="16" s="1"/>
  <c r="J70" i="16"/>
  <c r="A69" i="16"/>
  <c r="AA66" i="16"/>
  <c r="AI66" i="16" s="1"/>
  <c r="AH60" i="16"/>
  <c r="AH61" i="16"/>
  <c r="AN61" i="16"/>
  <c r="AH62" i="16"/>
  <c r="AN62" i="16" s="1"/>
  <c r="AH63" i="16"/>
  <c r="AH64" i="16"/>
  <c r="AH65" i="16"/>
  <c r="AM65" i="16"/>
  <c r="AH66" i="16"/>
  <c r="AL66" i="16"/>
  <c r="AH67" i="16"/>
  <c r="AN67" i="16" s="1"/>
  <c r="AL67" i="16"/>
  <c r="AH68" i="16"/>
  <c r="AN68" i="16"/>
  <c r="AE60" i="16"/>
  <c r="AE61" i="16"/>
  <c r="AE62" i="16"/>
  <c r="AM62" i="16" s="1"/>
  <c r="AE63" i="16"/>
  <c r="AE64" i="16"/>
  <c r="AE65" i="16"/>
  <c r="AE66" i="16"/>
  <c r="AE67" i="16"/>
  <c r="AM67" i="16" s="1"/>
  <c r="AE68" i="16"/>
  <c r="AE69" i="16"/>
  <c r="AF69" i="16"/>
  <c r="I60" i="16"/>
  <c r="AA60" i="16" s="1"/>
  <c r="J60" i="16"/>
  <c r="L60" i="16"/>
  <c r="M60" i="16"/>
  <c r="I61" i="16"/>
  <c r="AA61" i="16" s="1"/>
  <c r="J61" i="16"/>
  <c r="L61" i="16"/>
  <c r="M61" i="16"/>
  <c r="I62" i="16"/>
  <c r="AA62" i="16" s="1"/>
  <c r="J62" i="16"/>
  <c r="L62" i="16"/>
  <c r="M62" i="16"/>
  <c r="I63" i="16"/>
  <c r="AA63" i="16" s="1"/>
  <c r="J63" i="16"/>
  <c r="L63" i="16"/>
  <c r="M63" i="16"/>
  <c r="I64" i="16"/>
  <c r="K64" i="16" s="1"/>
  <c r="J64" i="16"/>
  <c r="L64" i="16"/>
  <c r="M64" i="16"/>
  <c r="I65" i="16"/>
  <c r="AA65" i="16" s="1"/>
  <c r="J65" i="16"/>
  <c r="K65" i="16"/>
  <c r="L65" i="16"/>
  <c r="M65" i="16"/>
  <c r="I66" i="16"/>
  <c r="J66" i="16"/>
  <c r="K66" i="16"/>
  <c r="L66" i="16"/>
  <c r="M66" i="16"/>
  <c r="I67" i="16"/>
  <c r="K67" i="16" s="1"/>
  <c r="J67" i="16"/>
  <c r="L67" i="16"/>
  <c r="M67" i="16"/>
  <c r="I68" i="16"/>
  <c r="AA68" i="16" s="1"/>
  <c r="J68" i="16"/>
  <c r="L68" i="16"/>
  <c r="M68" i="16"/>
  <c r="I58" i="16"/>
  <c r="J58" i="16"/>
  <c r="I59" i="16"/>
  <c r="J59" i="16"/>
  <c r="N33" i="16"/>
  <c r="N34" i="16"/>
  <c r="N35" i="16"/>
  <c r="N36" i="16"/>
  <c r="N37" i="16"/>
  <c r="N38" i="16"/>
  <c r="N39" i="16"/>
  <c r="N40" i="16"/>
  <c r="N41" i="16"/>
  <c r="N42" i="16"/>
  <c r="N43" i="16"/>
  <c r="N44" i="16"/>
  <c r="N45" i="16"/>
  <c r="N46" i="16"/>
  <c r="N47" i="16"/>
  <c r="N48" i="16"/>
  <c r="N49" i="16"/>
  <c r="N50" i="16"/>
  <c r="N51" i="16"/>
  <c r="N52" i="16"/>
  <c r="N53" i="16"/>
  <c r="N54" i="16"/>
  <c r="N55" i="16"/>
  <c r="N56" i="16"/>
  <c r="I56" i="16"/>
  <c r="AA56" i="16" s="1"/>
  <c r="J56" i="16"/>
  <c r="AL50" i="16"/>
  <c r="AH51" i="16"/>
  <c r="AH55" i="16"/>
  <c r="AL55" i="16"/>
  <c r="AE51" i="16"/>
  <c r="AE55" i="16"/>
  <c r="AA55" i="16"/>
  <c r="AI55" i="16" s="1"/>
  <c r="I49" i="16"/>
  <c r="AA49" i="16" s="1"/>
  <c r="J49" i="16"/>
  <c r="I50" i="16"/>
  <c r="AA50" i="16" s="1"/>
  <c r="J50" i="16"/>
  <c r="I51" i="16"/>
  <c r="AA51" i="16" s="1"/>
  <c r="J51" i="16"/>
  <c r="I52" i="16"/>
  <c r="AA52" i="16" s="1"/>
  <c r="J52" i="16"/>
  <c r="I53" i="16"/>
  <c r="AA53" i="16" s="1"/>
  <c r="J53" i="16"/>
  <c r="I54" i="16"/>
  <c r="AA54" i="16" s="1"/>
  <c r="J54" i="16"/>
  <c r="AA42" i="16"/>
  <c r="AF42" i="16" s="1"/>
  <c r="AA46" i="16"/>
  <c r="AF46" i="16" s="1"/>
  <c r="I47" i="16"/>
  <c r="K47" i="16" s="1"/>
  <c r="J47" i="16"/>
  <c r="I48" i="16"/>
  <c r="AA48" i="16" s="1"/>
  <c r="J48" i="16"/>
  <c r="B44" i="16"/>
  <c r="B45" i="16"/>
  <c r="AE42" i="16"/>
  <c r="AE45" i="16"/>
  <c r="AE46" i="16"/>
  <c r="I41" i="16"/>
  <c r="AA41" i="16" s="1"/>
  <c r="J41" i="16"/>
  <c r="K41" i="16"/>
  <c r="I42" i="16"/>
  <c r="K42" i="16" s="1"/>
  <c r="J42" i="16"/>
  <c r="I43" i="16"/>
  <c r="AA43" i="16" s="1"/>
  <c r="J43" i="16"/>
  <c r="I44" i="16"/>
  <c r="AA44" i="16" s="1"/>
  <c r="J44" i="16"/>
  <c r="I45" i="16"/>
  <c r="K45" i="16" s="1"/>
  <c r="J45" i="16"/>
  <c r="B39" i="16"/>
  <c r="B40" i="16"/>
  <c r="B41" i="16"/>
  <c r="I40" i="16"/>
  <c r="AA40" i="16" s="1"/>
  <c r="J40" i="16"/>
  <c r="A36" i="16"/>
  <c r="AL35" i="16"/>
  <c r="AL36" i="16"/>
  <c r="AM40" i="16"/>
  <c r="AN40" i="16"/>
  <c r="AL41" i="16"/>
  <c r="AL43" i="16"/>
  <c r="AL45" i="16"/>
  <c r="AM48" i="16"/>
  <c r="AN48" i="16"/>
  <c r="AE35" i="16"/>
  <c r="AE36" i="16"/>
  <c r="I35" i="16"/>
  <c r="K35" i="16" s="1"/>
  <c r="J35" i="16"/>
  <c r="I36" i="16"/>
  <c r="AA36" i="16" s="1"/>
  <c r="J36" i="16"/>
  <c r="I37" i="16"/>
  <c r="J37" i="16"/>
  <c r="I38" i="16"/>
  <c r="AA38" i="16" s="1"/>
  <c r="J38" i="16"/>
  <c r="K38" i="16"/>
  <c r="I39" i="16"/>
  <c r="AA39" i="16" s="1"/>
  <c r="J39" i="16"/>
  <c r="I33" i="16"/>
  <c r="J33" i="16"/>
  <c r="I34" i="16"/>
  <c r="J34" i="16"/>
  <c r="AG32" i="16"/>
  <c r="AL32" i="16" s="1"/>
  <c r="AD32" i="16"/>
  <c r="AK32" i="16" s="1"/>
  <c r="O32" i="16"/>
  <c r="P32" i="16"/>
  <c r="Q32" i="16"/>
  <c r="R32" i="16"/>
  <c r="S32" i="16"/>
  <c r="T32" i="16"/>
  <c r="U32" i="16"/>
  <c r="V32" i="16"/>
  <c r="W32" i="16"/>
  <c r="X32" i="16"/>
  <c r="Y32" i="16"/>
  <c r="Z32" i="16"/>
  <c r="AJ32" i="16" s="1"/>
  <c r="AJ31" i="16"/>
  <c r="AK31" i="16"/>
  <c r="AM31" i="16" s="1"/>
  <c r="AL31" i="16"/>
  <c r="AN31" i="16" s="1"/>
  <c r="AG31" i="16"/>
  <c r="AD31" i="16"/>
  <c r="O31" i="16"/>
  <c r="P31" i="16"/>
  <c r="Q31" i="16"/>
  <c r="R31" i="16"/>
  <c r="S31" i="16"/>
  <c r="T31" i="16"/>
  <c r="U31" i="16"/>
  <c r="V31" i="16"/>
  <c r="W31" i="16"/>
  <c r="X31" i="16"/>
  <c r="Y31" i="16"/>
  <c r="Z31" i="16"/>
  <c r="AA31" i="16"/>
  <c r="N26" i="16"/>
  <c r="N27" i="16"/>
  <c r="N28" i="16"/>
  <c r="N29" i="16"/>
  <c r="B23" i="16"/>
  <c r="AG16" i="16"/>
  <c r="AG19" i="16"/>
  <c r="AH98" i="16" s="1"/>
  <c r="AG20" i="16"/>
  <c r="AD19" i="16"/>
  <c r="AE119" i="16" s="1"/>
  <c r="AD20" i="16"/>
  <c r="G19" i="16"/>
  <c r="G20" i="16"/>
  <c r="N19" i="16"/>
  <c r="O19" i="16"/>
  <c r="AA19" i="16" s="1"/>
  <c r="P19" i="16"/>
  <c r="Q19" i="16"/>
  <c r="R19" i="16"/>
  <c r="S19" i="16"/>
  <c r="T19" i="16"/>
  <c r="U19" i="16"/>
  <c r="V19" i="16"/>
  <c r="W19" i="16"/>
  <c r="X19" i="16"/>
  <c r="Y19" i="16"/>
  <c r="Z19" i="16"/>
  <c r="N20" i="16"/>
  <c r="O20" i="16"/>
  <c r="P20" i="16"/>
  <c r="Q20" i="16"/>
  <c r="R20" i="16"/>
  <c r="S20" i="16"/>
  <c r="T20" i="16"/>
  <c r="U20" i="16"/>
  <c r="V20" i="16"/>
  <c r="W20" i="16"/>
  <c r="X20" i="16"/>
  <c r="Y20" i="16"/>
  <c r="Z20" i="16"/>
  <c r="B17" i="16"/>
  <c r="B18" i="16"/>
  <c r="B19" i="16"/>
  <c r="O16" i="16"/>
  <c r="P16" i="16"/>
  <c r="Q16" i="16"/>
  <c r="R16" i="16"/>
  <c r="S16" i="16"/>
  <c r="T16" i="16"/>
  <c r="U16" i="16"/>
  <c r="V16" i="16"/>
  <c r="W16" i="16"/>
  <c r="X16" i="16"/>
  <c r="Y16" i="16"/>
  <c r="O17" i="16"/>
  <c r="P17" i="16"/>
  <c r="Q17" i="16"/>
  <c r="R17" i="16"/>
  <c r="S17" i="16"/>
  <c r="T17" i="16"/>
  <c r="U17" i="16"/>
  <c r="V17" i="16"/>
  <c r="W17" i="16"/>
  <c r="X17" i="16"/>
  <c r="Y17" i="16"/>
  <c r="Z17" i="16"/>
  <c r="AA17" i="16" s="1"/>
  <c r="AA11" i="16" s="1"/>
  <c r="A14" i="16"/>
  <c r="AG12" i="16"/>
  <c r="AG13" i="16"/>
  <c r="AD12" i="16"/>
  <c r="AD13" i="16"/>
  <c r="B12" i="16"/>
  <c r="B13" i="16"/>
  <c r="O11" i="16"/>
  <c r="P11" i="16"/>
  <c r="Q11" i="16"/>
  <c r="R11" i="16"/>
  <c r="S11" i="16"/>
  <c r="T11" i="16"/>
  <c r="U11" i="16"/>
  <c r="V11" i="16"/>
  <c r="W11" i="16"/>
  <c r="X11" i="16"/>
  <c r="Y11" i="16"/>
  <c r="Z11" i="16"/>
  <c r="O12" i="16"/>
  <c r="P12" i="16"/>
  <c r="Q12" i="16"/>
  <c r="R12" i="16"/>
  <c r="S12" i="16"/>
  <c r="T12" i="16"/>
  <c r="U12" i="16"/>
  <c r="V12" i="16"/>
  <c r="W12" i="16"/>
  <c r="X12" i="16"/>
  <c r="Y12" i="16"/>
  <c r="Z12" i="16"/>
  <c r="AA12" i="16"/>
  <c r="O13" i="16"/>
  <c r="P13" i="16"/>
  <c r="Q13" i="16"/>
  <c r="R13" i="16"/>
  <c r="S13" i="16"/>
  <c r="T13" i="16"/>
  <c r="U13" i="16"/>
  <c r="V13" i="16"/>
  <c r="W13" i="16"/>
  <c r="X13" i="16"/>
  <c r="Y13" i="16"/>
  <c r="Z13" i="16"/>
  <c r="AA13" i="16"/>
  <c r="C10" i="16"/>
  <c r="D10" i="16"/>
  <c r="C9" i="16"/>
  <c r="C1" i="16"/>
  <c r="C2" i="16"/>
  <c r="C3" i="16"/>
  <c r="C4" i="16"/>
  <c r="C5" i="16"/>
  <c r="C6" i="16"/>
  <c r="C7" i="16"/>
  <c r="C8" i="16"/>
  <c r="E6" i="16"/>
  <c r="B51" i="16" s="1"/>
  <c r="E4" i="16"/>
  <c r="F4" i="16"/>
  <c r="B3" i="16"/>
  <c r="AG76" i="7"/>
  <c r="AD76" i="7"/>
  <c r="O76" i="7"/>
  <c r="P76" i="7"/>
  <c r="Q76" i="7"/>
  <c r="R76" i="7"/>
  <c r="S76" i="7"/>
  <c r="T76" i="7"/>
  <c r="U76" i="7"/>
  <c r="V76" i="7"/>
  <c r="W76" i="7"/>
  <c r="X76" i="7"/>
  <c r="Y76" i="7"/>
  <c r="Z76" i="7"/>
  <c r="AI71" i="7"/>
  <c r="AD72" i="7"/>
  <c r="AD73" i="7"/>
  <c r="AD74" i="7"/>
  <c r="AG72" i="7"/>
  <c r="AG73" i="7"/>
  <c r="AG74" i="7"/>
  <c r="O72" i="7"/>
  <c r="P72" i="7"/>
  <c r="Q72" i="7"/>
  <c r="R72" i="7"/>
  <c r="S72" i="7"/>
  <c r="T72" i="7"/>
  <c r="U72" i="7"/>
  <c r="V72" i="7"/>
  <c r="W72" i="7"/>
  <c r="X72" i="7"/>
  <c r="Y72" i="7"/>
  <c r="Z72" i="7"/>
  <c r="O73" i="7"/>
  <c r="P73" i="7"/>
  <c r="Q73" i="7"/>
  <c r="R73" i="7"/>
  <c r="S73" i="7"/>
  <c r="T73" i="7"/>
  <c r="U73" i="7"/>
  <c r="V73" i="7"/>
  <c r="W73" i="7"/>
  <c r="X73" i="7"/>
  <c r="Y73" i="7"/>
  <c r="Z73" i="7"/>
  <c r="O74" i="7"/>
  <c r="P74" i="7"/>
  <c r="Q74" i="7"/>
  <c r="R74" i="7"/>
  <c r="S74" i="7"/>
  <c r="T74" i="7"/>
  <c r="U74" i="7"/>
  <c r="V74" i="7"/>
  <c r="W74" i="7"/>
  <c r="X74" i="7"/>
  <c r="Y74" i="7"/>
  <c r="Z74" i="7"/>
  <c r="AF71" i="7"/>
  <c r="AG65" i="7"/>
  <c r="AG66" i="7"/>
  <c r="AG68" i="7"/>
  <c r="AG69" i="7"/>
  <c r="AG70" i="7"/>
  <c r="AD65" i="7"/>
  <c r="AD66" i="7"/>
  <c r="AD68" i="7"/>
  <c r="AD69" i="7"/>
  <c r="AD70" i="7"/>
  <c r="B65" i="7"/>
  <c r="B66" i="7"/>
  <c r="O65" i="7"/>
  <c r="P65" i="7"/>
  <c r="Q65" i="7"/>
  <c r="R65" i="7"/>
  <c r="S65" i="7"/>
  <c r="T65" i="7"/>
  <c r="U65" i="7"/>
  <c r="V65" i="7"/>
  <c r="W65" i="7"/>
  <c r="X65" i="7"/>
  <c r="Y65" i="7"/>
  <c r="Z65" i="7"/>
  <c r="O66" i="7"/>
  <c r="P66" i="7"/>
  <c r="Q66" i="7"/>
  <c r="R66" i="7"/>
  <c r="S66" i="7"/>
  <c r="T66" i="7"/>
  <c r="U66" i="7"/>
  <c r="V66" i="7"/>
  <c r="W66" i="7"/>
  <c r="X66" i="7"/>
  <c r="Y66" i="7"/>
  <c r="Z66" i="7"/>
  <c r="O68" i="7"/>
  <c r="P68" i="7"/>
  <c r="Q68" i="7"/>
  <c r="R68" i="7"/>
  <c r="S68" i="7"/>
  <c r="T68" i="7"/>
  <c r="U68" i="7"/>
  <c r="V68" i="7"/>
  <c r="W68" i="7"/>
  <c r="X68" i="7"/>
  <c r="Y68" i="7"/>
  <c r="Z68" i="7"/>
  <c r="O69" i="7"/>
  <c r="P69" i="7"/>
  <c r="Q69" i="7"/>
  <c r="R69" i="7"/>
  <c r="S69" i="7"/>
  <c r="T69" i="7"/>
  <c r="U69" i="7"/>
  <c r="V69" i="7"/>
  <c r="W69" i="7"/>
  <c r="X69" i="7"/>
  <c r="Y69" i="7"/>
  <c r="Z69" i="7"/>
  <c r="O70" i="7"/>
  <c r="P70" i="7"/>
  <c r="Q70" i="7"/>
  <c r="R70" i="7"/>
  <c r="S70" i="7"/>
  <c r="T70" i="7"/>
  <c r="U70" i="7"/>
  <c r="V70" i="7"/>
  <c r="W70" i="7"/>
  <c r="X70" i="7"/>
  <c r="Y70" i="7"/>
  <c r="Z70" i="7"/>
  <c r="AG63" i="7"/>
  <c r="AG67" i="7" s="1"/>
  <c r="Z63" i="7"/>
  <c r="Z67" i="7" s="1"/>
  <c r="B60" i="7"/>
  <c r="B61" i="7"/>
  <c r="B62" i="7"/>
  <c r="A57" i="7"/>
  <c r="AH54" i="7"/>
  <c r="AH55" i="7"/>
  <c r="AH56" i="7"/>
  <c r="AH57" i="7"/>
  <c r="AH59" i="7"/>
  <c r="AH60" i="7"/>
  <c r="AE54" i="7"/>
  <c r="AE55" i="7"/>
  <c r="AE56" i="7"/>
  <c r="AE57" i="7"/>
  <c r="AE59" i="7"/>
  <c r="AE60" i="7"/>
  <c r="AA55" i="7"/>
  <c r="AA60" i="7"/>
  <c r="I54" i="7"/>
  <c r="AA54" i="7" s="1"/>
  <c r="AB54" i="7" s="1"/>
  <c r="J54" i="7"/>
  <c r="L54" i="7"/>
  <c r="M54" i="7"/>
  <c r="N54" i="7"/>
  <c r="I55" i="7"/>
  <c r="K55" i="7" s="1"/>
  <c r="J55" i="7"/>
  <c r="L55" i="7"/>
  <c r="M55" i="7"/>
  <c r="N55" i="7"/>
  <c r="I56" i="7"/>
  <c r="K56" i="7" s="1"/>
  <c r="J56" i="7"/>
  <c r="L56" i="7"/>
  <c r="M56" i="7"/>
  <c r="N56" i="7"/>
  <c r="I57" i="7"/>
  <c r="AA57" i="7" s="1"/>
  <c r="J57" i="7"/>
  <c r="L57" i="7"/>
  <c r="M57" i="7"/>
  <c r="N57" i="7"/>
  <c r="I58" i="7"/>
  <c r="AA58" i="7" s="1"/>
  <c r="J58" i="7"/>
  <c r="K58" i="7"/>
  <c r="L58" i="7"/>
  <c r="M58" i="7"/>
  <c r="N58" i="7"/>
  <c r="I59" i="7"/>
  <c r="K59" i="7" s="1"/>
  <c r="J59" i="7"/>
  <c r="L59" i="7"/>
  <c r="M59" i="7"/>
  <c r="N59" i="7"/>
  <c r="I60" i="7"/>
  <c r="K60" i="7" s="1"/>
  <c r="J60" i="7"/>
  <c r="L60" i="7"/>
  <c r="M60" i="7"/>
  <c r="N60" i="7"/>
  <c r="I61" i="7"/>
  <c r="AA61" i="7" s="1"/>
  <c r="J61" i="7"/>
  <c r="L61" i="7"/>
  <c r="M61" i="7"/>
  <c r="N61" i="7"/>
  <c r="N53" i="7"/>
  <c r="I53" i="7"/>
  <c r="J53" i="7"/>
  <c r="B53" i="7"/>
  <c r="AA51" i="7"/>
  <c r="AF51" i="7" s="1"/>
  <c r="N50" i="7"/>
  <c r="N51" i="7"/>
  <c r="N76" i="7" s="1"/>
  <c r="I50" i="7"/>
  <c r="AA50" i="7" s="1"/>
  <c r="AI50" i="7" s="1"/>
  <c r="J50" i="7"/>
  <c r="I51" i="7"/>
  <c r="J51" i="7"/>
  <c r="B47" i="7"/>
  <c r="B48" i="7"/>
  <c r="B49" i="7"/>
  <c r="I48" i="7"/>
  <c r="AA48" i="7" s="1"/>
  <c r="J48" i="7"/>
  <c r="AI48" i="7"/>
  <c r="AD47" i="7"/>
  <c r="AG47" i="7"/>
  <c r="O47" i="7"/>
  <c r="P47" i="7"/>
  <c r="Q47" i="7"/>
  <c r="R47" i="7"/>
  <c r="S47" i="7"/>
  <c r="T47" i="7"/>
  <c r="U47" i="7"/>
  <c r="V47" i="7"/>
  <c r="W47" i="7"/>
  <c r="X47" i="7"/>
  <c r="Y47" i="7"/>
  <c r="Z47" i="7"/>
  <c r="A44" i="7"/>
  <c r="AH34" i="7"/>
  <c r="AH35" i="7"/>
  <c r="AH36" i="7"/>
  <c r="AH37" i="7"/>
  <c r="AH39" i="7"/>
  <c r="AH40" i="7"/>
  <c r="AH42" i="7"/>
  <c r="AH43" i="7"/>
  <c r="AH44" i="7"/>
  <c r="AH45" i="7"/>
  <c r="AE34" i="7"/>
  <c r="AE35" i="7"/>
  <c r="AE36" i="7"/>
  <c r="AE37" i="7"/>
  <c r="AE39" i="7"/>
  <c r="AE40" i="7"/>
  <c r="AE42" i="7"/>
  <c r="AE43" i="7"/>
  <c r="AE44" i="7"/>
  <c r="AA37" i="7"/>
  <c r="I34" i="7"/>
  <c r="AA34" i="7" s="1"/>
  <c r="AI34" i="7" s="1"/>
  <c r="J34" i="7"/>
  <c r="L34" i="7"/>
  <c r="M34" i="7"/>
  <c r="N34" i="7"/>
  <c r="I35" i="7"/>
  <c r="K35" i="7" s="1"/>
  <c r="J35" i="7"/>
  <c r="L35" i="7"/>
  <c r="M35" i="7"/>
  <c r="N35" i="7"/>
  <c r="I36" i="7"/>
  <c r="AA36" i="7" s="1"/>
  <c r="J36" i="7"/>
  <c r="L36" i="7"/>
  <c r="M36" i="7"/>
  <c r="N36" i="7"/>
  <c r="I37" i="7"/>
  <c r="K37" i="7" s="1"/>
  <c r="J37" i="7"/>
  <c r="L37" i="7"/>
  <c r="M37" i="7"/>
  <c r="N37" i="7"/>
  <c r="I38" i="7"/>
  <c r="AA38" i="7" s="1"/>
  <c r="AI38" i="7" s="1"/>
  <c r="J38" i="7"/>
  <c r="K38" i="7"/>
  <c r="L38" i="7"/>
  <c r="M38" i="7"/>
  <c r="N38" i="7"/>
  <c r="I39" i="7"/>
  <c r="K39" i="7" s="1"/>
  <c r="J39" i="7"/>
  <c r="L39" i="7"/>
  <c r="M39" i="7"/>
  <c r="N39" i="7"/>
  <c r="I40" i="7"/>
  <c r="AA40" i="7" s="1"/>
  <c r="J40" i="7"/>
  <c r="L40" i="7"/>
  <c r="M40" i="7"/>
  <c r="N40" i="7"/>
  <c r="I41" i="7"/>
  <c r="AA41" i="7" s="1"/>
  <c r="AI41" i="7" s="1"/>
  <c r="J41" i="7"/>
  <c r="K41" i="7"/>
  <c r="L41" i="7"/>
  <c r="M41" i="7"/>
  <c r="N41" i="7"/>
  <c r="I42" i="7"/>
  <c r="AA42" i="7" s="1"/>
  <c r="AI42" i="7" s="1"/>
  <c r="J42" i="7"/>
  <c r="L42" i="7"/>
  <c r="M42" i="7"/>
  <c r="N42" i="7"/>
  <c r="I43" i="7"/>
  <c r="K43" i="7" s="1"/>
  <c r="J43" i="7"/>
  <c r="L43" i="7"/>
  <c r="M43" i="7"/>
  <c r="N43" i="7"/>
  <c r="I44" i="7"/>
  <c r="K44" i="7" s="1"/>
  <c r="J44" i="7"/>
  <c r="L44" i="7"/>
  <c r="M44" i="7"/>
  <c r="N44" i="7"/>
  <c r="I45" i="7"/>
  <c r="K45" i="7" s="1"/>
  <c r="J45" i="7"/>
  <c r="L45" i="7"/>
  <c r="M45" i="7"/>
  <c r="N45" i="7"/>
  <c r="N33" i="7"/>
  <c r="I33" i="7"/>
  <c r="J33" i="7"/>
  <c r="AM31" i="7"/>
  <c r="AG32" i="7"/>
  <c r="AM32" i="7" s="1"/>
  <c r="AD32" i="7"/>
  <c r="AK32" i="7" s="1"/>
  <c r="O32" i="7"/>
  <c r="P32" i="7"/>
  <c r="Q32" i="7"/>
  <c r="R32" i="7"/>
  <c r="S32" i="7"/>
  <c r="T32" i="7"/>
  <c r="U32" i="7"/>
  <c r="V32" i="7"/>
  <c r="W32" i="7"/>
  <c r="X32" i="7"/>
  <c r="Y32" i="7"/>
  <c r="Z32" i="7"/>
  <c r="AJ32" i="7" s="1"/>
  <c r="AJ31" i="7"/>
  <c r="AK31" i="7"/>
  <c r="AG31" i="7"/>
  <c r="AD31" i="7"/>
  <c r="O31" i="7"/>
  <c r="P31" i="7"/>
  <c r="Q31" i="7"/>
  <c r="R31" i="7"/>
  <c r="S31" i="7"/>
  <c r="T31" i="7"/>
  <c r="U31" i="7"/>
  <c r="V31" i="7"/>
  <c r="W31" i="7"/>
  <c r="X31" i="7"/>
  <c r="Y31" i="7"/>
  <c r="Z31" i="7"/>
  <c r="AA31" i="7"/>
  <c r="N26" i="7"/>
  <c r="N27" i="7"/>
  <c r="N28" i="7"/>
  <c r="N29" i="7"/>
  <c r="B22" i="7"/>
  <c r="B23" i="7"/>
  <c r="AG16" i="7"/>
  <c r="AG19" i="7"/>
  <c r="AH41" i="7" s="1"/>
  <c r="AG20" i="7"/>
  <c r="AH58" i="7" s="1"/>
  <c r="AG21" i="7"/>
  <c r="AG22" i="7"/>
  <c r="AM42" i="7" s="1"/>
  <c r="AD19" i="7"/>
  <c r="AE41" i="7" s="1"/>
  <c r="AD20" i="7"/>
  <c r="AE61" i="7" s="1"/>
  <c r="AD21" i="7"/>
  <c r="AD63" i="7" s="1"/>
  <c r="AD67" i="7" s="1"/>
  <c r="AD22" i="7"/>
  <c r="AK47" i="7" s="1"/>
  <c r="G19" i="7"/>
  <c r="G20" i="7"/>
  <c r="N19" i="7"/>
  <c r="O19" i="7"/>
  <c r="P19" i="7"/>
  <c r="Q19" i="7"/>
  <c r="R19" i="7"/>
  <c r="S19" i="7"/>
  <c r="T19" i="7"/>
  <c r="U19" i="7"/>
  <c r="V19" i="7"/>
  <c r="W19" i="7"/>
  <c r="X19" i="7"/>
  <c r="Y19" i="7"/>
  <c r="Z19" i="7"/>
  <c r="N20" i="7"/>
  <c r="O20" i="7"/>
  <c r="P20" i="7"/>
  <c r="Q20" i="7"/>
  <c r="R20" i="7"/>
  <c r="S20" i="7"/>
  <c r="T20" i="7"/>
  <c r="U20" i="7"/>
  <c r="V20" i="7"/>
  <c r="W20" i="7"/>
  <c r="X20" i="7"/>
  <c r="Y20" i="7"/>
  <c r="Z20" i="7"/>
  <c r="N21" i="7"/>
  <c r="N63" i="7" s="1"/>
  <c r="O21" i="7"/>
  <c r="O63" i="7" s="1"/>
  <c r="O67" i="7" s="1"/>
  <c r="P21" i="7"/>
  <c r="P63" i="7" s="1"/>
  <c r="P67" i="7" s="1"/>
  <c r="Q21" i="7"/>
  <c r="Q63" i="7" s="1"/>
  <c r="Q67" i="7" s="1"/>
  <c r="R21" i="7"/>
  <c r="R63" i="7" s="1"/>
  <c r="R67" i="7" s="1"/>
  <c r="S21" i="7"/>
  <c r="S63" i="7" s="1"/>
  <c r="S67" i="7" s="1"/>
  <c r="T21" i="7"/>
  <c r="T63" i="7" s="1"/>
  <c r="T67" i="7" s="1"/>
  <c r="U21" i="7"/>
  <c r="U63" i="7" s="1"/>
  <c r="U67" i="7" s="1"/>
  <c r="V21" i="7"/>
  <c r="V63" i="7" s="1"/>
  <c r="V67" i="7" s="1"/>
  <c r="W21" i="7"/>
  <c r="W63" i="7" s="1"/>
  <c r="W67" i="7" s="1"/>
  <c r="X21" i="7"/>
  <c r="X63" i="7" s="1"/>
  <c r="X67" i="7" s="1"/>
  <c r="Y21" i="7"/>
  <c r="Y63" i="7" s="1"/>
  <c r="Y67" i="7" s="1"/>
  <c r="Z21" i="7"/>
  <c r="N22" i="7"/>
  <c r="O22" i="7"/>
  <c r="P22" i="7"/>
  <c r="Q22" i="7"/>
  <c r="R22" i="7"/>
  <c r="S22" i="7"/>
  <c r="T22" i="7"/>
  <c r="U22" i="7"/>
  <c r="V22" i="7"/>
  <c r="W22" i="7"/>
  <c r="X22" i="7"/>
  <c r="Y22" i="7"/>
  <c r="Z22" i="7"/>
  <c r="B17" i="7"/>
  <c r="B18" i="7"/>
  <c r="B19" i="7"/>
  <c r="O17" i="7"/>
  <c r="P17" i="7"/>
  <c r="Q17" i="7"/>
  <c r="R17" i="7"/>
  <c r="S17" i="7"/>
  <c r="T17" i="7"/>
  <c r="U17" i="7"/>
  <c r="V17" i="7"/>
  <c r="W17" i="7"/>
  <c r="X17" i="7"/>
  <c r="Y17" i="7"/>
  <c r="Z17" i="7"/>
  <c r="O16" i="7"/>
  <c r="P16" i="7"/>
  <c r="Q16" i="7"/>
  <c r="R16" i="7"/>
  <c r="S16" i="7"/>
  <c r="T16" i="7"/>
  <c r="U16" i="7"/>
  <c r="V16" i="7"/>
  <c r="W16" i="7"/>
  <c r="X16" i="7"/>
  <c r="Y16" i="7"/>
  <c r="A14" i="7"/>
  <c r="AG12" i="7"/>
  <c r="AG13" i="7"/>
  <c r="AD12" i="7"/>
  <c r="AD13" i="7"/>
  <c r="B12" i="7"/>
  <c r="B13" i="7"/>
  <c r="O12" i="7"/>
  <c r="P12" i="7"/>
  <c r="Q12" i="7"/>
  <c r="R12" i="7"/>
  <c r="S12" i="7"/>
  <c r="T12" i="7"/>
  <c r="U12" i="7"/>
  <c r="V12" i="7"/>
  <c r="W12" i="7"/>
  <c r="X12" i="7"/>
  <c r="Y12" i="7"/>
  <c r="Z12" i="7"/>
  <c r="AA12" i="7"/>
  <c r="O13" i="7"/>
  <c r="P13" i="7"/>
  <c r="Q13" i="7"/>
  <c r="R13" i="7"/>
  <c r="S13" i="7"/>
  <c r="T13" i="7"/>
  <c r="U13" i="7"/>
  <c r="V13" i="7"/>
  <c r="W13" i="7"/>
  <c r="X13" i="7"/>
  <c r="Y13" i="7"/>
  <c r="Z13" i="7"/>
  <c r="AA13" i="7"/>
  <c r="O11" i="7"/>
  <c r="P11" i="7"/>
  <c r="Q11" i="7"/>
  <c r="R11" i="7"/>
  <c r="S11" i="7"/>
  <c r="T11" i="7"/>
  <c r="U11" i="7"/>
  <c r="V11" i="7"/>
  <c r="W11" i="7"/>
  <c r="X11" i="7"/>
  <c r="Y11" i="7"/>
  <c r="Z11" i="7"/>
  <c r="C10" i="7"/>
  <c r="D10" i="7"/>
  <c r="C9" i="7"/>
  <c r="C1" i="7"/>
  <c r="C2" i="7"/>
  <c r="C3" i="7"/>
  <c r="C4" i="7"/>
  <c r="C5" i="7"/>
  <c r="C6" i="7"/>
  <c r="C7" i="7"/>
  <c r="C8" i="7"/>
  <c r="E6" i="7"/>
  <c r="E4" i="7"/>
  <c r="F4" i="7"/>
  <c r="G4" i="7"/>
  <c r="B3" i="7"/>
  <c r="AG154" i="6"/>
  <c r="AH154" i="6"/>
  <c r="AD154" i="6"/>
  <c r="AE154" i="6"/>
  <c r="N154" i="6"/>
  <c r="O154" i="6"/>
  <c r="P154" i="6"/>
  <c r="Q154" i="6"/>
  <c r="R154" i="6"/>
  <c r="S154" i="6"/>
  <c r="T154" i="6"/>
  <c r="U154" i="6"/>
  <c r="V154" i="6"/>
  <c r="W154" i="6"/>
  <c r="X154" i="6"/>
  <c r="Y154" i="6"/>
  <c r="Z154" i="6"/>
  <c r="AD152" i="6"/>
  <c r="AE152" i="6"/>
  <c r="AG152" i="6"/>
  <c r="AH152" i="6"/>
  <c r="AI152" i="6"/>
  <c r="O152" i="6"/>
  <c r="P152" i="6"/>
  <c r="Q152" i="6"/>
  <c r="R152" i="6"/>
  <c r="S152" i="6"/>
  <c r="T152" i="6"/>
  <c r="U152" i="6"/>
  <c r="V152" i="6"/>
  <c r="W152" i="6"/>
  <c r="X152" i="6"/>
  <c r="Y152" i="6"/>
  <c r="Z152" i="6"/>
  <c r="AA152" i="6"/>
  <c r="AB152" i="6"/>
  <c r="L152" i="6"/>
  <c r="M152" i="6"/>
  <c r="AB119" i="6"/>
  <c r="AB120" i="6"/>
  <c r="AB121" i="6"/>
  <c r="AB122" i="6"/>
  <c r="AB123" i="6"/>
  <c r="AB124" i="6"/>
  <c r="AB125" i="6"/>
  <c r="AB126" i="6"/>
  <c r="AB127" i="6"/>
  <c r="AB128" i="6"/>
  <c r="AB129" i="6"/>
  <c r="AB130" i="6"/>
  <c r="AB131" i="6"/>
  <c r="AB132" i="6"/>
  <c r="AB133" i="6"/>
  <c r="AB134" i="6"/>
  <c r="AB135" i="6"/>
  <c r="AB136" i="6"/>
  <c r="AB137" i="6"/>
  <c r="AB138" i="6"/>
  <c r="AB139" i="6"/>
  <c r="AB140" i="6"/>
  <c r="AB141" i="6"/>
  <c r="AB142" i="6"/>
  <c r="AB143" i="6"/>
  <c r="AB144" i="6"/>
  <c r="AB145" i="6"/>
  <c r="AB146" i="6"/>
  <c r="AB147" i="6"/>
  <c r="AB148" i="6"/>
  <c r="AB149" i="6"/>
  <c r="AB150" i="6"/>
  <c r="AB151"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AH119" i="6"/>
  <c r="AH120" i="6"/>
  <c r="AH121" i="6"/>
  <c r="AH122" i="6"/>
  <c r="AH123" i="6"/>
  <c r="AH124" i="6"/>
  <c r="AH125" i="6"/>
  <c r="AH126" i="6"/>
  <c r="AH127" i="6"/>
  <c r="AH128" i="6"/>
  <c r="AH129" i="6"/>
  <c r="AH130" i="6"/>
  <c r="AH131" i="6"/>
  <c r="AH132" i="6"/>
  <c r="AH133" i="6"/>
  <c r="AH134" i="6"/>
  <c r="AH135" i="6"/>
  <c r="AH136" i="6"/>
  <c r="AH137" i="6"/>
  <c r="AH138" i="6"/>
  <c r="AH139" i="6"/>
  <c r="AH140" i="6"/>
  <c r="AH141" i="6"/>
  <c r="AH142" i="6"/>
  <c r="AH143" i="6"/>
  <c r="AH144" i="6"/>
  <c r="AH145" i="6"/>
  <c r="AH146" i="6"/>
  <c r="AH147" i="6"/>
  <c r="AH148" i="6"/>
  <c r="AH149" i="6"/>
  <c r="AH150" i="6"/>
  <c r="AH151" i="6"/>
  <c r="AI151" i="6"/>
  <c r="AE119" i="6"/>
  <c r="AE120" i="6"/>
  <c r="AE121" i="6"/>
  <c r="AE122" i="6"/>
  <c r="AE123" i="6"/>
  <c r="AE124" i="6"/>
  <c r="AE125" i="6"/>
  <c r="AE126" i="6"/>
  <c r="AE127" i="6"/>
  <c r="AE128" i="6"/>
  <c r="AE129" i="6"/>
  <c r="AE130" i="6"/>
  <c r="AE131" i="6"/>
  <c r="AE132" i="6"/>
  <c r="AE133" i="6"/>
  <c r="AE134" i="6"/>
  <c r="AE135" i="6"/>
  <c r="AE136" i="6"/>
  <c r="AE137" i="6"/>
  <c r="AE138" i="6"/>
  <c r="AE139" i="6"/>
  <c r="AE140" i="6"/>
  <c r="AE141" i="6"/>
  <c r="AE142" i="6"/>
  <c r="AE143" i="6"/>
  <c r="AE144" i="6"/>
  <c r="AE145" i="6"/>
  <c r="AE146" i="6"/>
  <c r="AE147" i="6"/>
  <c r="AE148" i="6"/>
  <c r="AE149" i="6"/>
  <c r="AE150" i="6"/>
  <c r="AE151" i="6"/>
  <c r="AF151" i="6"/>
  <c r="L119" i="6"/>
  <c r="M119" i="6"/>
  <c r="N119" i="6"/>
  <c r="L120" i="6"/>
  <c r="M120" i="6"/>
  <c r="N120" i="6"/>
  <c r="L121" i="6"/>
  <c r="M121" i="6"/>
  <c r="N121" i="6"/>
  <c r="L122" i="6"/>
  <c r="M122" i="6"/>
  <c r="N122" i="6"/>
  <c r="L123" i="6"/>
  <c r="M123" i="6"/>
  <c r="N123" i="6"/>
  <c r="L124" i="6"/>
  <c r="M124" i="6"/>
  <c r="N124" i="6"/>
  <c r="L125" i="6"/>
  <c r="M125" i="6"/>
  <c r="N125" i="6"/>
  <c r="L126" i="6"/>
  <c r="M126" i="6"/>
  <c r="N126" i="6"/>
  <c r="L127" i="6"/>
  <c r="M127" i="6"/>
  <c r="N127" i="6"/>
  <c r="L128" i="6"/>
  <c r="M128" i="6"/>
  <c r="N128" i="6"/>
  <c r="L129" i="6"/>
  <c r="M129" i="6"/>
  <c r="N129" i="6"/>
  <c r="L130" i="6"/>
  <c r="M130" i="6"/>
  <c r="N130" i="6"/>
  <c r="L131" i="6"/>
  <c r="M131" i="6"/>
  <c r="N131" i="6"/>
  <c r="L132" i="6"/>
  <c r="M132" i="6"/>
  <c r="N132" i="6"/>
  <c r="L133" i="6"/>
  <c r="M133" i="6"/>
  <c r="N133" i="6"/>
  <c r="L134" i="6"/>
  <c r="M134" i="6"/>
  <c r="N134" i="6"/>
  <c r="L135" i="6"/>
  <c r="M135" i="6"/>
  <c r="N135" i="6"/>
  <c r="L136" i="6"/>
  <c r="M136" i="6"/>
  <c r="N136" i="6"/>
  <c r="L137" i="6"/>
  <c r="M137" i="6"/>
  <c r="N137" i="6"/>
  <c r="L138" i="6"/>
  <c r="M138" i="6"/>
  <c r="N138" i="6"/>
  <c r="L139" i="6"/>
  <c r="M139" i="6"/>
  <c r="N139" i="6"/>
  <c r="L140" i="6"/>
  <c r="M140" i="6"/>
  <c r="N140" i="6"/>
  <c r="L141" i="6"/>
  <c r="M141" i="6"/>
  <c r="N141" i="6"/>
  <c r="L142" i="6"/>
  <c r="M142" i="6"/>
  <c r="N142" i="6"/>
  <c r="L143" i="6"/>
  <c r="M143" i="6"/>
  <c r="N143" i="6"/>
  <c r="L144" i="6"/>
  <c r="M144" i="6"/>
  <c r="N144" i="6"/>
  <c r="L145" i="6"/>
  <c r="M145" i="6"/>
  <c r="N145" i="6"/>
  <c r="L146" i="6"/>
  <c r="M146" i="6"/>
  <c r="N146" i="6"/>
  <c r="L147" i="6"/>
  <c r="M147" i="6"/>
  <c r="N147" i="6"/>
  <c r="L148" i="6"/>
  <c r="M148" i="6"/>
  <c r="N148" i="6"/>
  <c r="L149" i="6"/>
  <c r="M149" i="6"/>
  <c r="N149" i="6"/>
  <c r="L150" i="6"/>
  <c r="M150" i="6"/>
  <c r="N150" i="6"/>
  <c r="L151" i="6"/>
  <c r="M151" i="6"/>
  <c r="N151" i="6"/>
  <c r="N118" i="6"/>
  <c r="I118" i="6"/>
  <c r="J118" i="6"/>
  <c r="I119" i="6"/>
  <c r="J119" i="6"/>
  <c r="I120" i="6"/>
  <c r="J120" i="6"/>
  <c r="I121" i="6"/>
  <c r="J121" i="6"/>
  <c r="I122" i="6"/>
  <c r="J122" i="6"/>
  <c r="I123" i="6"/>
  <c r="J123" i="6"/>
  <c r="I124" i="6"/>
  <c r="J124" i="6"/>
  <c r="I125" i="6"/>
  <c r="J125" i="6"/>
  <c r="I126" i="6"/>
  <c r="J126" i="6"/>
  <c r="I127" i="6"/>
  <c r="J127" i="6"/>
  <c r="I128" i="6"/>
  <c r="J128" i="6"/>
  <c r="I129" i="6"/>
  <c r="J129" i="6"/>
  <c r="I130" i="6"/>
  <c r="J130" i="6"/>
  <c r="I131" i="6"/>
  <c r="J131" i="6"/>
  <c r="I132" i="6"/>
  <c r="J132" i="6"/>
  <c r="I133" i="6"/>
  <c r="J133" i="6"/>
  <c r="I134" i="6"/>
  <c r="J134" i="6"/>
  <c r="I135" i="6"/>
  <c r="J135" i="6"/>
  <c r="I136" i="6"/>
  <c r="J136" i="6"/>
  <c r="I137" i="6"/>
  <c r="J137" i="6"/>
  <c r="I138" i="6"/>
  <c r="J138" i="6"/>
  <c r="I139" i="6"/>
  <c r="J139" i="6"/>
  <c r="I140" i="6"/>
  <c r="J140" i="6"/>
  <c r="I141" i="6"/>
  <c r="J141" i="6"/>
  <c r="I142" i="6"/>
  <c r="J142" i="6"/>
  <c r="I143" i="6"/>
  <c r="J143" i="6"/>
  <c r="I144" i="6"/>
  <c r="J144" i="6"/>
  <c r="I145" i="6"/>
  <c r="J145" i="6"/>
  <c r="I146" i="6"/>
  <c r="J146" i="6"/>
  <c r="I147" i="6"/>
  <c r="J147" i="6"/>
  <c r="I148" i="6"/>
  <c r="J148" i="6"/>
  <c r="I149" i="6"/>
  <c r="J149" i="6"/>
  <c r="I150" i="6"/>
  <c r="J150" i="6"/>
  <c r="I151" i="6"/>
  <c r="J151" i="6"/>
  <c r="I152" i="6"/>
  <c r="J152" i="6"/>
  <c r="AH76" i="6"/>
  <c r="AH81" i="6"/>
  <c r="AI85" i="6"/>
  <c r="AI89" i="6"/>
  <c r="AH91" i="6"/>
  <c r="AI93" i="6"/>
  <c r="AI97" i="6"/>
  <c r="AH98" i="6"/>
  <c r="AI99" i="6"/>
  <c r="AH100" i="6"/>
  <c r="AH104" i="6"/>
  <c r="AH108" i="6"/>
  <c r="AI109" i="6"/>
  <c r="AH110" i="6"/>
  <c r="AH112" i="6"/>
  <c r="AI113" i="6"/>
  <c r="AF74" i="6"/>
  <c r="AF78" i="6"/>
  <c r="AE79" i="6"/>
  <c r="AE81" i="6"/>
  <c r="AF82" i="6"/>
  <c r="AE83" i="6"/>
  <c r="AF84" i="6"/>
  <c r="AF88" i="6"/>
  <c r="AE91" i="6"/>
  <c r="AF92" i="6"/>
  <c r="AF94" i="6"/>
  <c r="AE99" i="6"/>
  <c r="AE104" i="6"/>
  <c r="AE108" i="6"/>
  <c r="AE110" i="6"/>
  <c r="AE111" i="6"/>
  <c r="AE112" i="6"/>
  <c r="AE113" i="6"/>
  <c r="AE114" i="6"/>
  <c r="AE115" i="6"/>
  <c r="AF116" i="6"/>
  <c r="AA72" i="6"/>
  <c r="AI72" i="6" s="1"/>
  <c r="AA73" i="6"/>
  <c r="AF73" i="6" s="1"/>
  <c r="AA74" i="6"/>
  <c r="AA75" i="6"/>
  <c r="AF75" i="6" s="1"/>
  <c r="AA76" i="6"/>
  <c r="AI76" i="6" s="1"/>
  <c r="AA77" i="6"/>
  <c r="AF77" i="6" s="1"/>
  <c r="AA78" i="6"/>
  <c r="AA79" i="6"/>
  <c r="AF79" i="6" s="1"/>
  <c r="AA80" i="6"/>
  <c r="AI80" i="6" s="1"/>
  <c r="AA81" i="6"/>
  <c r="AF81" i="6" s="1"/>
  <c r="AA82" i="6"/>
  <c r="AA83" i="6"/>
  <c r="AF83" i="6" s="1"/>
  <c r="AA84" i="6"/>
  <c r="AI84" i="6" s="1"/>
  <c r="AA85" i="6"/>
  <c r="AF85" i="6" s="1"/>
  <c r="AA86" i="6"/>
  <c r="AF86" i="6" s="1"/>
  <c r="AA87" i="6"/>
  <c r="AF87" i="6" s="1"/>
  <c r="AA88" i="6"/>
  <c r="AI88" i="6" s="1"/>
  <c r="AA89" i="6"/>
  <c r="AF89" i="6" s="1"/>
  <c r="AA90" i="6"/>
  <c r="AF90" i="6" s="1"/>
  <c r="AA91" i="6"/>
  <c r="AF91" i="6" s="1"/>
  <c r="AA92" i="6"/>
  <c r="AI92" i="6" s="1"/>
  <c r="AA93" i="6"/>
  <c r="AF93" i="6" s="1"/>
  <c r="AA94" i="6"/>
  <c r="AA95" i="6"/>
  <c r="AF95" i="6" s="1"/>
  <c r="AA96" i="6"/>
  <c r="AI96" i="6" s="1"/>
  <c r="AA97" i="6"/>
  <c r="AF97" i="6" s="1"/>
  <c r="AA98" i="6"/>
  <c r="AF98" i="6" s="1"/>
  <c r="AA99" i="6"/>
  <c r="AF99" i="6" s="1"/>
  <c r="AA100" i="6"/>
  <c r="AI100" i="6" s="1"/>
  <c r="AA101" i="6"/>
  <c r="AF101" i="6" s="1"/>
  <c r="AA102" i="6"/>
  <c r="AF102" i="6" s="1"/>
  <c r="AA103" i="6"/>
  <c r="AF103" i="6" s="1"/>
  <c r="AA104" i="6"/>
  <c r="AI104" i="6" s="1"/>
  <c r="AA105" i="6"/>
  <c r="AA106" i="6"/>
  <c r="AF106" i="6" s="1"/>
  <c r="AA107" i="6"/>
  <c r="AF107" i="6" s="1"/>
  <c r="AA108" i="6"/>
  <c r="AI108" i="6" s="1"/>
  <c r="AA109" i="6"/>
  <c r="AF109" i="6" s="1"/>
  <c r="AA110" i="6"/>
  <c r="AB110" i="6" s="1"/>
  <c r="AA111" i="6"/>
  <c r="AF111" i="6" s="1"/>
  <c r="AA112" i="6"/>
  <c r="AI112" i="6" s="1"/>
  <c r="AA113" i="6"/>
  <c r="AF113" i="6" s="1"/>
  <c r="AA114" i="6"/>
  <c r="AF114" i="6" s="1"/>
  <c r="AA115" i="6"/>
  <c r="AF115" i="6" s="1"/>
  <c r="AA116" i="6"/>
  <c r="AI116" i="6" s="1"/>
  <c r="L72" i="6"/>
  <c r="M72" i="6"/>
  <c r="N72" i="6"/>
  <c r="L73" i="6"/>
  <c r="M73" i="6"/>
  <c r="N73" i="6"/>
  <c r="L74" i="6"/>
  <c r="M74" i="6"/>
  <c r="N74" i="6"/>
  <c r="L75" i="6"/>
  <c r="M75" i="6"/>
  <c r="N75" i="6"/>
  <c r="L76" i="6"/>
  <c r="M76" i="6"/>
  <c r="N76" i="6"/>
  <c r="L77" i="6"/>
  <c r="M77" i="6"/>
  <c r="N77" i="6"/>
  <c r="L78" i="6"/>
  <c r="M78" i="6"/>
  <c r="N78" i="6"/>
  <c r="L79" i="6"/>
  <c r="M79" i="6"/>
  <c r="N79" i="6"/>
  <c r="L80" i="6"/>
  <c r="M80" i="6"/>
  <c r="N80" i="6"/>
  <c r="L81" i="6"/>
  <c r="M81" i="6"/>
  <c r="N81" i="6"/>
  <c r="L82" i="6"/>
  <c r="M82" i="6"/>
  <c r="N82" i="6"/>
  <c r="L83" i="6"/>
  <c r="M83" i="6"/>
  <c r="N83" i="6"/>
  <c r="L84" i="6"/>
  <c r="M84" i="6"/>
  <c r="N84" i="6"/>
  <c r="L85" i="6"/>
  <c r="M85" i="6"/>
  <c r="N85" i="6"/>
  <c r="L86" i="6"/>
  <c r="M86" i="6"/>
  <c r="N86" i="6"/>
  <c r="L87" i="6"/>
  <c r="M87" i="6"/>
  <c r="N87" i="6"/>
  <c r="L88" i="6"/>
  <c r="M88" i="6"/>
  <c r="N88" i="6"/>
  <c r="L89" i="6"/>
  <c r="M89" i="6"/>
  <c r="N89" i="6"/>
  <c r="L90" i="6"/>
  <c r="M90" i="6"/>
  <c r="N90" i="6"/>
  <c r="L91" i="6"/>
  <c r="M91" i="6"/>
  <c r="N91" i="6"/>
  <c r="L92" i="6"/>
  <c r="M92" i="6"/>
  <c r="N92" i="6"/>
  <c r="L93" i="6"/>
  <c r="M93" i="6"/>
  <c r="N93" i="6"/>
  <c r="L94" i="6"/>
  <c r="M94" i="6"/>
  <c r="N94" i="6"/>
  <c r="L95" i="6"/>
  <c r="M95" i="6"/>
  <c r="N95" i="6"/>
  <c r="L96" i="6"/>
  <c r="M96" i="6"/>
  <c r="N96" i="6"/>
  <c r="L97" i="6"/>
  <c r="M97" i="6"/>
  <c r="N97" i="6"/>
  <c r="L98" i="6"/>
  <c r="M98" i="6"/>
  <c r="N98" i="6"/>
  <c r="L99" i="6"/>
  <c r="M99" i="6"/>
  <c r="N99" i="6"/>
  <c r="L100" i="6"/>
  <c r="M100" i="6"/>
  <c r="N100" i="6"/>
  <c r="L101" i="6"/>
  <c r="M101" i="6"/>
  <c r="N101" i="6"/>
  <c r="L102" i="6"/>
  <c r="M102" i="6"/>
  <c r="N102" i="6"/>
  <c r="L103" i="6"/>
  <c r="M103" i="6"/>
  <c r="N103" i="6"/>
  <c r="L104" i="6"/>
  <c r="M104" i="6"/>
  <c r="N104" i="6"/>
  <c r="L105" i="6"/>
  <c r="M105" i="6"/>
  <c r="N105" i="6"/>
  <c r="L106" i="6"/>
  <c r="M106" i="6"/>
  <c r="N106" i="6"/>
  <c r="L107" i="6"/>
  <c r="M107" i="6"/>
  <c r="N107" i="6"/>
  <c r="L108" i="6"/>
  <c r="M108" i="6"/>
  <c r="N108" i="6"/>
  <c r="L109" i="6"/>
  <c r="M109" i="6"/>
  <c r="N109" i="6"/>
  <c r="L110" i="6"/>
  <c r="M110" i="6"/>
  <c r="N110" i="6"/>
  <c r="L111" i="6"/>
  <c r="M111" i="6"/>
  <c r="N111" i="6"/>
  <c r="L112" i="6"/>
  <c r="M112" i="6"/>
  <c r="N112" i="6"/>
  <c r="L113" i="6"/>
  <c r="M113" i="6"/>
  <c r="N113" i="6"/>
  <c r="L114" i="6"/>
  <c r="M114" i="6"/>
  <c r="N114" i="6"/>
  <c r="L115" i="6"/>
  <c r="M115" i="6"/>
  <c r="N115" i="6"/>
  <c r="L116" i="6"/>
  <c r="M116" i="6"/>
  <c r="N116" i="6"/>
  <c r="N71"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I105" i="6"/>
  <c r="J105" i="6"/>
  <c r="I106" i="6"/>
  <c r="J106" i="6"/>
  <c r="I107" i="6"/>
  <c r="J107" i="6"/>
  <c r="I108" i="6"/>
  <c r="J108" i="6"/>
  <c r="I109" i="6"/>
  <c r="J109" i="6"/>
  <c r="I110" i="6"/>
  <c r="J110" i="6"/>
  <c r="I111" i="6"/>
  <c r="J111" i="6"/>
  <c r="I112" i="6"/>
  <c r="J112" i="6"/>
  <c r="I113" i="6"/>
  <c r="J113" i="6"/>
  <c r="I114" i="6"/>
  <c r="J114" i="6"/>
  <c r="I115" i="6"/>
  <c r="J115" i="6"/>
  <c r="I116" i="6"/>
  <c r="J116" i="6"/>
  <c r="AA54" i="6"/>
  <c r="AA55" i="6"/>
  <c r="AA140" i="6" s="1"/>
  <c r="AA56" i="6"/>
  <c r="AF56" i="6" s="1"/>
  <c r="AA57" i="6"/>
  <c r="AA58" i="6"/>
  <c r="AA143" i="6" s="1"/>
  <c r="AA59" i="6"/>
  <c r="AA144" i="6" s="1"/>
  <c r="AA60" i="6"/>
  <c r="AA145" i="6" s="1"/>
  <c r="AA61" i="6"/>
  <c r="AF61" i="6" s="1"/>
  <c r="AA62" i="6"/>
  <c r="AA63" i="6"/>
  <c r="AA148" i="6" s="1"/>
  <c r="AA64" i="6"/>
  <c r="AI64" i="6" s="1"/>
  <c r="AA65" i="6"/>
  <c r="AA66" i="6"/>
  <c r="AB66" i="6" s="1"/>
  <c r="AA67" i="6"/>
  <c r="AI67" i="6" s="1"/>
  <c r="AA68" i="6"/>
  <c r="AF68" i="6" s="1"/>
  <c r="AA69" i="6"/>
  <c r="AA154" i="6" s="1"/>
  <c r="AB53" i="6"/>
  <c r="AA34" i="6"/>
  <c r="AI34" i="6" s="1"/>
  <c r="AA35" i="6"/>
  <c r="AA120" i="6" s="1"/>
  <c r="AA36" i="6"/>
  <c r="AA37" i="6"/>
  <c r="AA38" i="6"/>
  <c r="AI38" i="6" s="1"/>
  <c r="AA39" i="6"/>
  <c r="AI39" i="6" s="1"/>
  <c r="AA40" i="6"/>
  <c r="AA41" i="6"/>
  <c r="AA42" i="6"/>
  <c r="AF42" i="6" s="1"/>
  <c r="AA43" i="6"/>
  <c r="AA128" i="6" s="1"/>
  <c r="AA44" i="6"/>
  <c r="AA45" i="6"/>
  <c r="AI45" i="6" s="1"/>
  <c r="AA46" i="6"/>
  <c r="AA131" i="6" s="1"/>
  <c r="AA47" i="6"/>
  <c r="AI47" i="6" s="1"/>
  <c r="AA48" i="6"/>
  <c r="AI48" i="6" s="1"/>
  <c r="AA49" i="6"/>
  <c r="AA50" i="6"/>
  <c r="AA135" i="6" s="1"/>
  <c r="AA51" i="6"/>
  <c r="AA136" i="6" s="1"/>
  <c r="AA52" i="6"/>
  <c r="AI37" i="6"/>
  <c r="AI40" i="6"/>
  <c r="AI41" i="6"/>
  <c r="AI42" i="6"/>
  <c r="AH43" i="6"/>
  <c r="AI49" i="6"/>
  <c r="AI50" i="6"/>
  <c r="AH53" i="6"/>
  <c r="AI53" i="6"/>
  <c r="AI54" i="6"/>
  <c r="AI57" i="6"/>
  <c r="AI59" i="6"/>
  <c r="AH60" i="6"/>
  <c r="AI61" i="6"/>
  <c r="AH62" i="6"/>
  <c r="AI62" i="6"/>
  <c r="AI63" i="6"/>
  <c r="AI65" i="6"/>
  <c r="AH66" i="6"/>
  <c r="AI66" i="6"/>
  <c r="AF34" i="6"/>
  <c r="AE37" i="6"/>
  <c r="AF37" i="6"/>
  <c r="AF40" i="6"/>
  <c r="AE41" i="6"/>
  <c r="AE43" i="6"/>
  <c r="AE45" i="6"/>
  <c r="AF45" i="6"/>
  <c r="AF48" i="6"/>
  <c r="AE49" i="6"/>
  <c r="AE53" i="6"/>
  <c r="AF53" i="6"/>
  <c r="AF54" i="6"/>
  <c r="AE57" i="6"/>
  <c r="AF57" i="6"/>
  <c r="AF58" i="6"/>
  <c r="AF59" i="6"/>
  <c r="AF60" i="6"/>
  <c r="AE61" i="6"/>
  <c r="AF62" i="6"/>
  <c r="AF63" i="6"/>
  <c r="AF65" i="6"/>
  <c r="AE66" i="6"/>
  <c r="AF66" i="6"/>
  <c r="AE69" i="6"/>
  <c r="L34" i="6"/>
  <c r="M34" i="6"/>
  <c r="N34" i="6"/>
  <c r="L35" i="6"/>
  <c r="M35" i="6"/>
  <c r="N35" i="6"/>
  <c r="L36" i="6"/>
  <c r="M36" i="6"/>
  <c r="N36" i="6"/>
  <c r="L37" i="6"/>
  <c r="M37" i="6"/>
  <c r="N37" i="6"/>
  <c r="L38" i="6"/>
  <c r="M38" i="6"/>
  <c r="N38" i="6"/>
  <c r="L39" i="6"/>
  <c r="M39" i="6"/>
  <c r="N39" i="6"/>
  <c r="L40" i="6"/>
  <c r="M40" i="6"/>
  <c r="N40" i="6"/>
  <c r="L41" i="6"/>
  <c r="M41" i="6"/>
  <c r="N41" i="6"/>
  <c r="L42" i="6"/>
  <c r="M42" i="6"/>
  <c r="N42" i="6"/>
  <c r="L43" i="6"/>
  <c r="M43" i="6"/>
  <c r="N43" i="6"/>
  <c r="L44" i="6"/>
  <c r="M44" i="6"/>
  <c r="N44" i="6"/>
  <c r="L45" i="6"/>
  <c r="M45" i="6"/>
  <c r="N45" i="6"/>
  <c r="L46" i="6"/>
  <c r="M46" i="6"/>
  <c r="N46" i="6"/>
  <c r="L47" i="6"/>
  <c r="M47" i="6"/>
  <c r="N47" i="6"/>
  <c r="L48" i="6"/>
  <c r="M48" i="6"/>
  <c r="N48" i="6"/>
  <c r="L49" i="6"/>
  <c r="M49" i="6"/>
  <c r="N49" i="6"/>
  <c r="L50" i="6"/>
  <c r="M50" i="6"/>
  <c r="N50" i="6"/>
  <c r="L51" i="6"/>
  <c r="M51" i="6"/>
  <c r="N51" i="6"/>
  <c r="L52" i="6"/>
  <c r="M52" i="6"/>
  <c r="N52" i="6"/>
  <c r="L53" i="6"/>
  <c r="M53" i="6"/>
  <c r="N53" i="6"/>
  <c r="L54" i="6"/>
  <c r="M54" i="6"/>
  <c r="N54" i="6"/>
  <c r="L55" i="6"/>
  <c r="M55" i="6"/>
  <c r="N55" i="6"/>
  <c r="L56" i="6"/>
  <c r="M56" i="6"/>
  <c r="N56" i="6"/>
  <c r="L57" i="6"/>
  <c r="M57" i="6"/>
  <c r="N57" i="6"/>
  <c r="L58" i="6"/>
  <c r="M58" i="6"/>
  <c r="N58" i="6"/>
  <c r="L59" i="6"/>
  <c r="M59" i="6"/>
  <c r="N59" i="6"/>
  <c r="L60" i="6"/>
  <c r="M60" i="6"/>
  <c r="N60" i="6"/>
  <c r="L61" i="6"/>
  <c r="M61" i="6"/>
  <c r="N61" i="6"/>
  <c r="L62" i="6"/>
  <c r="M62" i="6"/>
  <c r="N62" i="6"/>
  <c r="L63" i="6"/>
  <c r="M63" i="6"/>
  <c r="N63" i="6"/>
  <c r="L64" i="6"/>
  <c r="M64" i="6"/>
  <c r="N64" i="6"/>
  <c r="L65" i="6"/>
  <c r="M65" i="6"/>
  <c r="N65" i="6"/>
  <c r="L66" i="6"/>
  <c r="M66" i="6"/>
  <c r="N66" i="6"/>
  <c r="L67" i="6"/>
  <c r="M67" i="6"/>
  <c r="N67" i="6"/>
  <c r="L68" i="6"/>
  <c r="M68" i="6"/>
  <c r="N68" i="6"/>
  <c r="L69" i="6"/>
  <c r="M69" i="6"/>
  <c r="N69" i="6"/>
  <c r="N33" i="6"/>
  <c r="I33" i="6"/>
  <c r="J33" i="6"/>
  <c r="I34" i="6"/>
  <c r="J34" i="6"/>
  <c r="I35" i="6"/>
  <c r="J35" i="6"/>
  <c r="I36" i="6"/>
  <c r="J36" i="6"/>
  <c r="I37" i="6"/>
  <c r="J37" i="6"/>
  <c r="I38" i="6"/>
  <c r="J38" i="6"/>
  <c r="I39" i="6"/>
  <c r="J39" i="6"/>
  <c r="I40" i="6"/>
  <c r="J40" i="6"/>
  <c r="I41" i="6"/>
  <c r="J41" i="6"/>
  <c r="I42" i="6"/>
  <c r="J42" i="6"/>
  <c r="I43" i="6"/>
  <c r="J43" i="6"/>
  <c r="I44" i="6"/>
  <c r="J44" i="6"/>
  <c r="I45" i="6"/>
  <c r="J45" i="6"/>
  <c r="I46" i="6"/>
  <c r="J46" i="6"/>
  <c r="I47" i="6"/>
  <c r="J47" i="6"/>
  <c r="I48" i="6"/>
  <c r="J48" i="6"/>
  <c r="I49" i="6"/>
  <c r="J49" i="6"/>
  <c r="I50" i="6"/>
  <c r="J50" i="6"/>
  <c r="I51" i="6"/>
  <c r="J51" i="6"/>
  <c r="I52" i="6"/>
  <c r="J52"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AG32" i="6"/>
  <c r="AD32" i="6"/>
  <c r="O32" i="6"/>
  <c r="P32" i="6"/>
  <c r="Q32" i="6"/>
  <c r="R32" i="6"/>
  <c r="S32" i="6"/>
  <c r="T32" i="6"/>
  <c r="U32" i="6"/>
  <c r="V32" i="6"/>
  <c r="W32" i="6"/>
  <c r="X32" i="6"/>
  <c r="Y32" i="6"/>
  <c r="Z32" i="6"/>
  <c r="AG31" i="6"/>
  <c r="AD31" i="6"/>
  <c r="O31" i="6"/>
  <c r="P31" i="6"/>
  <c r="Q31" i="6"/>
  <c r="R31" i="6"/>
  <c r="S31" i="6"/>
  <c r="T31" i="6"/>
  <c r="U31" i="6"/>
  <c r="V31" i="6"/>
  <c r="W31" i="6"/>
  <c r="X31" i="6"/>
  <c r="Y31" i="6"/>
  <c r="Z31" i="6"/>
  <c r="AA31" i="6"/>
  <c r="N26" i="6"/>
  <c r="N27" i="6"/>
  <c r="N28" i="6"/>
  <c r="N29" i="6"/>
  <c r="B23" i="6"/>
  <c r="AG16" i="6"/>
  <c r="AG19" i="6"/>
  <c r="AH34" i="6" s="1"/>
  <c r="AG20" i="6"/>
  <c r="AH73" i="6" s="1"/>
  <c r="AD19" i="6"/>
  <c r="AE34" i="6" s="1"/>
  <c r="AD20" i="6"/>
  <c r="AE72" i="6" s="1"/>
  <c r="G19" i="6"/>
  <c r="G20" i="6"/>
  <c r="N19" i="6"/>
  <c r="O19" i="6"/>
  <c r="P19" i="6"/>
  <c r="Q19" i="6"/>
  <c r="R19" i="6"/>
  <c r="S19" i="6"/>
  <c r="T19" i="6"/>
  <c r="U19" i="6"/>
  <c r="V19" i="6"/>
  <c r="W19" i="6"/>
  <c r="X19" i="6"/>
  <c r="Y19" i="6"/>
  <c r="Z19" i="6"/>
  <c r="N20" i="6"/>
  <c r="O20" i="6"/>
  <c r="P20" i="6"/>
  <c r="Q20" i="6"/>
  <c r="R20" i="6"/>
  <c r="S20" i="6"/>
  <c r="T20" i="6"/>
  <c r="U20" i="6"/>
  <c r="V20" i="6"/>
  <c r="W20" i="6"/>
  <c r="X20" i="6"/>
  <c r="Y20" i="6"/>
  <c r="Z20" i="6"/>
  <c r="B17" i="6"/>
  <c r="B18" i="6"/>
  <c r="B19" i="6"/>
  <c r="O16" i="6"/>
  <c r="P16" i="6"/>
  <c r="Q16" i="6"/>
  <c r="R16" i="6"/>
  <c r="S16" i="6"/>
  <c r="T16" i="6"/>
  <c r="U16" i="6"/>
  <c r="V16" i="6"/>
  <c r="W16" i="6"/>
  <c r="X16" i="6"/>
  <c r="Y16" i="6"/>
  <c r="O17" i="6"/>
  <c r="P17" i="6"/>
  <c r="Q17" i="6"/>
  <c r="R17" i="6"/>
  <c r="S17" i="6"/>
  <c r="T17" i="6"/>
  <c r="U17" i="6"/>
  <c r="V17" i="6"/>
  <c r="W17" i="6"/>
  <c r="X17" i="6"/>
  <c r="Y17" i="6"/>
  <c r="Z17" i="6"/>
  <c r="AA17" i="6" s="1"/>
  <c r="AA18" i="6" s="1"/>
  <c r="A14" i="6"/>
  <c r="AG12" i="6"/>
  <c r="AG13" i="6"/>
  <c r="AD12" i="6"/>
  <c r="AD13" i="6"/>
  <c r="B12" i="6"/>
  <c r="B13" i="6"/>
  <c r="O12" i="6"/>
  <c r="P12" i="6"/>
  <c r="Q12" i="6"/>
  <c r="R12" i="6"/>
  <c r="S12" i="6"/>
  <c r="T12" i="6"/>
  <c r="U12" i="6"/>
  <c r="V12" i="6"/>
  <c r="W12" i="6"/>
  <c r="X12" i="6"/>
  <c r="Y12" i="6"/>
  <c r="Z12" i="6"/>
  <c r="AA12" i="6"/>
  <c r="O13" i="6"/>
  <c r="P13" i="6"/>
  <c r="Q13" i="6"/>
  <c r="R13" i="6"/>
  <c r="S13" i="6"/>
  <c r="T13" i="6"/>
  <c r="U13" i="6"/>
  <c r="V13" i="6"/>
  <c r="W13" i="6"/>
  <c r="X13" i="6"/>
  <c r="Y13" i="6"/>
  <c r="Z13" i="6"/>
  <c r="AA13" i="6"/>
  <c r="O11" i="6"/>
  <c r="P11" i="6"/>
  <c r="Q11" i="6"/>
  <c r="R11" i="6"/>
  <c r="S11" i="6"/>
  <c r="T11" i="6"/>
  <c r="U11" i="6"/>
  <c r="V11" i="6"/>
  <c r="W11" i="6"/>
  <c r="X11" i="6"/>
  <c r="Y11" i="6"/>
  <c r="Z11" i="6"/>
  <c r="C10" i="6"/>
  <c r="D10" i="6"/>
  <c r="Z16" i="6" s="1"/>
  <c r="C9" i="6"/>
  <c r="C1" i="6"/>
  <c r="C2" i="6"/>
  <c r="C3" i="6"/>
  <c r="C4" i="6"/>
  <c r="C5" i="6"/>
  <c r="C6" i="6"/>
  <c r="C7" i="6"/>
  <c r="C8" i="6"/>
  <c r="E6" i="6"/>
  <c r="E4" i="6"/>
  <c r="F4" i="6"/>
  <c r="B3" i="6"/>
  <c r="AG102" i="4"/>
  <c r="AG103" i="4"/>
  <c r="AD102" i="4"/>
  <c r="AD103" i="4"/>
  <c r="O102" i="4"/>
  <c r="P102" i="4"/>
  <c r="Q102" i="4"/>
  <c r="R102" i="4"/>
  <c r="S102" i="4"/>
  <c r="T102" i="4"/>
  <c r="U102" i="4"/>
  <c r="V102" i="4"/>
  <c r="W102" i="4"/>
  <c r="X102" i="4"/>
  <c r="Y102" i="4"/>
  <c r="Z102" i="4"/>
  <c r="O103" i="4"/>
  <c r="P103" i="4"/>
  <c r="Q103" i="4"/>
  <c r="R103" i="4"/>
  <c r="S103" i="4"/>
  <c r="T103" i="4"/>
  <c r="U103" i="4"/>
  <c r="V103" i="4"/>
  <c r="W103" i="4"/>
  <c r="X103" i="4"/>
  <c r="Y103" i="4"/>
  <c r="Z103" i="4"/>
  <c r="N99" i="4"/>
  <c r="N102" i="4" s="1"/>
  <c r="N100" i="4"/>
  <c r="N103" i="4" s="1"/>
  <c r="I99" i="4"/>
  <c r="AA99" i="4" s="1"/>
  <c r="J99" i="4"/>
  <c r="I100" i="4"/>
  <c r="AA100" i="4" s="1"/>
  <c r="J100" i="4"/>
  <c r="N72" i="4"/>
  <c r="N73" i="4"/>
  <c r="N74" i="4"/>
  <c r="N75" i="4"/>
  <c r="N76" i="4"/>
  <c r="N77" i="4"/>
  <c r="N78" i="4"/>
  <c r="N79" i="4"/>
  <c r="N80" i="4"/>
  <c r="N81" i="4"/>
  <c r="N82" i="4"/>
  <c r="N83" i="4"/>
  <c r="N84" i="4"/>
  <c r="N85" i="4"/>
  <c r="N86" i="4"/>
  <c r="N87" i="4"/>
  <c r="N88" i="4"/>
  <c r="N89" i="4"/>
  <c r="N90" i="4"/>
  <c r="N91" i="4"/>
  <c r="N92" i="4"/>
  <c r="N93" i="4"/>
  <c r="N94" i="4"/>
  <c r="N95" i="4"/>
  <c r="N96" i="4"/>
  <c r="N97" i="4"/>
  <c r="I97" i="4"/>
  <c r="AA97" i="4" s="1"/>
  <c r="AF97" i="4" s="1"/>
  <c r="J97" i="4"/>
  <c r="B84" i="4"/>
  <c r="B78" i="4"/>
  <c r="B79" i="4"/>
  <c r="B80" i="4"/>
  <c r="A75" i="4"/>
  <c r="AK74" i="4"/>
  <c r="AM77" i="4"/>
  <c r="AK82" i="4"/>
  <c r="AM85" i="4"/>
  <c r="AK90" i="4"/>
  <c r="AM93" i="4"/>
  <c r="AF74" i="4"/>
  <c r="AE93" i="4"/>
  <c r="AA74" i="4"/>
  <c r="AA77" i="4"/>
  <c r="AI77" i="4" s="1"/>
  <c r="AA82" i="4"/>
  <c r="AA85" i="4"/>
  <c r="AI85" i="4" s="1"/>
  <c r="AA86" i="4"/>
  <c r="AI86" i="4" s="1"/>
  <c r="AA93" i="4"/>
  <c r="AI93" i="4" s="1"/>
  <c r="AB93" i="4"/>
  <c r="AA94" i="4"/>
  <c r="AI94" i="4" s="1"/>
  <c r="I73" i="4"/>
  <c r="J73" i="4"/>
  <c r="L73" i="4"/>
  <c r="M73" i="4"/>
  <c r="I74" i="4"/>
  <c r="J74" i="4"/>
  <c r="K74" i="4"/>
  <c r="L74" i="4"/>
  <c r="M74" i="4"/>
  <c r="I75" i="4"/>
  <c r="AA75" i="4" s="1"/>
  <c r="J75" i="4"/>
  <c r="L75" i="4"/>
  <c r="M75" i="4"/>
  <c r="I76" i="4"/>
  <c r="J76" i="4"/>
  <c r="L76" i="4"/>
  <c r="M76" i="4"/>
  <c r="I77" i="4"/>
  <c r="K77" i="4" s="1"/>
  <c r="J77" i="4"/>
  <c r="L77" i="4"/>
  <c r="M77" i="4"/>
  <c r="I78" i="4"/>
  <c r="AA78" i="4" s="1"/>
  <c r="J78" i="4"/>
  <c r="L78" i="4"/>
  <c r="M78" i="4"/>
  <c r="I79" i="4"/>
  <c r="AA79" i="4" s="1"/>
  <c r="J79" i="4"/>
  <c r="L79" i="4"/>
  <c r="M79" i="4"/>
  <c r="I80" i="4"/>
  <c r="AA80" i="4" s="1"/>
  <c r="J80" i="4"/>
  <c r="L80" i="4"/>
  <c r="M80" i="4"/>
  <c r="I81" i="4"/>
  <c r="J81" i="4"/>
  <c r="L81" i="4"/>
  <c r="M81" i="4"/>
  <c r="I82" i="4"/>
  <c r="J82" i="4"/>
  <c r="K82" i="4"/>
  <c r="L82" i="4"/>
  <c r="M82" i="4"/>
  <c r="I83" i="4"/>
  <c r="AA83" i="4" s="1"/>
  <c r="J83" i="4"/>
  <c r="L83" i="4"/>
  <c r="M83" i="4"/>
  <c r="I84" i="4"/>
  <c r="J84" i="4"/>
  <c r="L84" i="4"/>
  <c r="M84" i="4"/>
  <c r="I85" i="4"/>
  <c r="J85" i="4"/>
  <c r="K85" i="4"/>
  <c r="L85" i="4"/>
  <c r="M85" i="4"/>
  <c r="I86" i="4"/>
  <c r="J86" i="4"/>
  <c r="K86" i="4" s="1"/>
  <c r="L86" i="4"/>
  <c r="M86" i="4"/>
  <c r="I87" i="4"/>
  <c r="AA87" i="4" s="1"/>
  <c r="J87" i="4"/>
  <c r="K87" i="4" s="1"/>
  <c r="L87" i="4"/>
  <c r="M87" i="4"/>
  <c r="I88" i="4"/>
  <c r="AA88" i="4" s="1"/>
  <c r="J88" i="4"/>
  <c r="L88" i="4"/>
  <c r="M88" i="4"/>
  <c r="I89" i="4"/>
  <c r="K89" i="4" s="1"/>
  <c r="J89" i="4"/>
  <c r="L89" i="4"/>
  <c r="M89" i="4"/>
  <c r="I90" i="4"/>
  <c r="AA90" i="4" s="1"/>
  <c r="J90" i="4"/>
  <c r="L90" i="4"/>
  <c r="M90" i="4"/>
  <c r="I91" i="4"/>
  <c r="AA91" i="4" s="1"/>
  <c r="J91" i="4"/>
  <c r="L91" i="4"/>
  <c r="M91" i="4"/>
  <c r="I92" i="4"/>
  <c r="J92" i="4"/>
  <c r="L92" i="4"/>
  <c r="M92" i="4"/>
  <c r="I93" i="4"/>
  <c r="J93" i="4"/>
  <c r="K93" i="4"/>
  <c r="L93" i="4"/>
  <c r="M93" i="4"/>
  <c r="I94" i="4"/>
  <c r="J94" i="4"/>
  <c r="K94" i="4" s="1"/>
  <c r="L94" i="4"/>
  <c r="M94" i="4"/>
  <c r="I95" i="4"/>
  <c r="AA95" i="4" s="1"/>
  <c r="J95" i="4"/>
  <c r="K95" i="4" s="1"/>
  <c r="L95" i="4"/>
  <c r="M95" i="4"/>
  <c r="I96" i="4"/>
  <c r="AA96" i="4" s="1"/>
  <c r="J96" i="4"/>
  <c r="K96" i="4"/>
  <c r="L96" i="4"/>
  <c r="M96" i="4"/>
  <c r="I72" i="4"/>
  <c r="J72" i="4"/>
  <c r="AM59" i="4"/>
  <c r="AI63" i="4"/>
  <c r="AK65" i="4"/>
  <c r="AM66" i="4"/>
  <c r="AM68" i="4"/>
  <c r="AE63" i="4"/>
  <c r="AA58" i="4"/>
  <c r="AI58" i="4" s="1"/>
  <c r="AA63" i="4"/>
  <c r="AF63" i="4" s="1"/>
  <c r="AA66" i="4"/>
  <c r="AI66" i="4" s="1"/>
  <c r="AK56" i="4"/>
  <c r="AH56" i="4"/>
  <c r="AE56" i="4"/>
  <c r="I55" i="4"/>
  <c r="AA55" i="4" s="1"/>
  <c r="J55" i="4"/>
  <c r="K55" i="4"/>
  <c r="L55" i="4"/>
  <c r="M55" i="4"/>
  <c r="N55" i="4"/>
  <c r="I56" i="4"/>
  <c r="AA56" i="4" s="1"/>
  <c r="J56" i="4"/>
  <c r="L56" i="4"/>
  <c r="M56" i="4"/>
  <c r="N56" i="4"/>
  <c r="I57" i="4"/>
  <c r="K57" i="4" s="1"/>
  <c r="J57" i="4"/>
  <c r="L57" i="4"/>
  <c r="M57" i="4"/>
  <c r="N57" i="4"/>
  <c r="I58" i="4"/>
  <c r="J58" i="4"/>
  <c r="K58" i="4"/>
  <c r="L58" i="4"/>
  <c r="M58" i="4"/>
  <c r="N58" i="4"/>
  <c r="I59" i="4"/>
  <c r="AA59" i="4" s="1"/>
  <c r="J59" i="4"/>
  <c r="L59" i="4"/>
  <c r="M59" i="4"/>
  <c r="N59" i="4"/>
  <c r="I60" i="4"/>
  <c r="AA60" i="4" s="1"/>
  <c r="J60" i="4"/>
  <c r="L60" i="4"/>
  <c r="M60" i="4"/>
  <c r="N60" i="4"/>
  <c r="I61" i="4"/>
  <c r="K61" i="4" s="1"/>
  <c r="J61" i="4"/>
  <c r="L61" i="4"/>
  <c r="M61" i="4"/>
  <c r="N61" i="4"/>
  <c r="I62" i="4"/>
  <c r="AA62" i="4" s="1"/>
  <c r="AF62" i="4" s="1"/>
  <c r="J62" i="4"/>
  <c r="L62" i="4"/>
  <c r="M62" i="4"/>
  <c r="N62" i="4"/>
  <c r="I63" i="4"/>
  <c r="J63" i="4"/>
  <c r="K63" i="4"/>
  <c r="L63" i="4"/>
  <c r="M63" i="4"/>
  <c r="N63" i="4"/>
  <c r="I64" i="4"/>
  <c r="AA64" i="4" s="1"/>
  <c r="J64" i="4"/>
  <c r="L64" i="4"/>
  <c r="M64" i="4"/>
  <c r="N64" i="4"/>
  <c r="I65" i="4"/>
  <c r="K65" i="4" s="1"/>
  <c r="J65" i="4"/>
  <c r="L65" i="4"/>
  <c r="M65" i="4"/>
  <c r="N65" i="4"/>
  <c r="I66" i="4"/>
  <c r="J66" i="4"/>
  <c r="K66" i="4"/>
  <c r="L66" i="4"/>
  <c r="M66" i="4"/>
  <c r="N66" i="4"/>
  <c r="I67" i="4"/>
  <c r="K67" i="4" s="1"/>
  <c r="J67" i="4"/>
  <c r="L67" i="4"/>
  <c r="M67" i="4"/>
  <c r="N67" i="4"/>
  <c r="I68" i="4"/>
  <c r="AA68" i="4" s="1"/>
  <c r="J68" i="4"/>
  <c r="L68" i="4"/>
  <c r="M68" i="4"/>
  <c r="N68" i="4"/>
  <c r="I69" i="4"/>
  <c r="K69" i="4" s="1"/>
  <c r="J69" i="4"/>
  <c r="L69" i="4"/>
  <c r="M69" i="4"/>
  <c r="N69" i="4"/>
  <c r="I70" i="4"/>
  <c r="K70" i="4" s="1"/>
  <c r="J70" i="4"/>
  <c r="L70" i="4"/>
  <c r="M70" i="4"/>
  <c r="N70" i="4"/>
  <c r="N53" i="4"/>
  <c r="N54" i="4"/>
  <c r="I53" i="4"/>
  <c r="J53" i="4"/>
  <c r="I54" i="4"/>
  <c r="J54" i="4"/>
  <c r="B52" i="4"/>
  <c r="B53" i="4"/>
  <c r="B47" i="4"/>
  <c r="B48" i="4"/>
  <c r="B49" i="4"/>
  <c r="A44" i="4"/>
  <c r="AM35" i="4"/>
  <c r="AM38" i="4"/>
  <c r="AK39" i="4"/>
  <c r="AH41" i="4"/>
  <c r="AK41" i="4"/>
  <c r="AK43" i="4"/>
  <c r="AH44" i="4"/>
  <c r="AK44" i="4"/>
  <c r="AM46" i="4"/>
  <c r="AH48" i="4"/>
  <c r="AM48" i="4"/>
  <c r="AM49" i="4"/>
  <c r="AM50" i="4"/>
  <c r="AM51" i="4"/>
  <c r="AE35" i="4"/>
  <c r="AE41" i="4"/>
  <c r="AE47" i="4"/>
  <c r="AE48" i="4"/>
  <c r="AA36" i="4"/>
  <c r="AF36" i="4" s="1"/>
  <c r="AA46" i="4"/>
  <c r="AA50" i="4"/>
  <c r="AI50" i="4" s="1"/>
  <c r="I35" i="4"/>
  <c r="AA35" i="4" s="1"/>
  <c r="J35" i="4"/>
  <c r="L35" i="4"/>
  <c r="M35" i="4"/>
  <c r="N35" i="4"/>
  <c r="I36" i="4"/>
  <c r="J36" i="4"/>
  <c r="K36" i="4"/>
  <c r="L36" i="4"/>
  <c r="M36" i="4"/>
  <c r="N36" i="4"/>
  <c r="I37" i="4"/>
  <c r="K37" i="4" s="1"/>
  <c r="J37" i="4"/>
  <c r="L37" i="4"/>
  <c r="M37" i="4"/>
  <c r="N37" i="4"/>
  <c r="I38" i="4"/>
  <c r="AA38" i="4" s="1"/>
  <c r="J38" i="4"/>
  <c r="L38" i="4"/>
  <c r="M38" i="4"/>
  <c r="N38" i="4"/>
  <c r="I39" i="4"/>
  <c r="AA39" i="4" s="1"/>
  <c r="J39" i="4"/>
  <c r="K39" i="4"/>
  <c r="L39" i="4"/>
  <c r="M39" i="4"/>
  <c r="N39" i="4"/>
  <c r="I40" i="4"/>
  <c r="K40" i="4" s="1"/>
  <c r="J40" i="4"/>
  <c r="L40" i="4"/>
  <c r="M40" i="4"/>
  <c r="N40" i="4"/>
  <c r="I41" i="4"/>
  <c r="K41" i="4" s="1"/>
  <c r="J41" i="4"/>
  <c r="L41" i="4"/>
  <c r="M41" i="4"/>
  <c r="N41" i="4"/>
  <c r="I42" i="4"/>
  <c r="K42" i="4" s="1"/>
  <c r="J42" i="4"/>
  <c r="L42" i="4"/>
  <c r="M42" i="4"/>
  <c r="N42" i="4"/>
  <c r="I43" i="4"/>
  <c r="AA43" i="4" s="1"/>
  <c r="J43" i="4"/>
  <c r="K43" i="4"/>
  <c r="L43" i="4"/>
  <c r="M43" i="4"/>
  <c r="N43" i="4"/>
  <c r="I44" i="4"/>
  <c r="AA44" i="4" s="1"/>
  <c r="J44" i="4"/>
  <c r="L44" i="4"/>
  <c r="M44" i="4"/>
  <c r="N44" i="4"/>
  <c r="I45" i="4"/>
  <c r="K45" i="4" s="1"/>
  <c r="J45" i="4"/>
  <c r="L45" i="4"/>
  <c r="M45" i="4"/>
  <c r="N45" i="4"/>
  <c r="I46" i="4"/>
  <c r="J46" i="4"/>
  <c r="K46" i="4"/>
  <c r="L46" i="4"/>
  <c r="M46" i="4"/>
  <c r="N46" i="4"/>
  <c r="I47" i="4"/>
  <c r="AA47" i="4" s="1"/>
  <c r="J47" i="4"/>
  <c r="L47" i="4"/>
  <c r="M47" i="4"/>
  <c r="N47" i="4"/>
  <c r="I48" i="4"/>
  <c r="AA48" i="4" s="1"/>
  <c r="J48" i="4"/>
  <c r="K48" i="4"/>
  <c r="L48" i="4"/>
  <c r="M48" i="4"/>
  <c r="N48" i="4"/>
  <c r="I49" i="4"/>
  <c r="K49" i="4" s="1"/>
  <c r="J49" i="4"/>
  <c r="L49" i="4"/>
  <c r="M49" i="4"/>
  <c r="N49" i="4"/>
  <c r="I50" i="4"/>
  <c r="J50" i="4"/>
  <c r="K50" i="4"/>
  <c r="L50" i="4"/>
  <c r="M50" i="4"/>
  <c r="N50" i="4"/>
  <c r="I51" i="4"/>
  <c r="AA51" i="4" s="1"/>
  <c r="J51" i="4"/>
  <c r="L51" i="4"/>
  <c r="M51" i="4"/>
  <c r="N51" i="4"/>
  <c r="N33" i="4"/>
  <c r="N34" i="4"/>
  <c r="I33" i="4"/>
  <c r="J33" i="4"/>
  <c r="I34" i="4"/>
  <c r="J34" i="4"/>
  <c r="AM31" i="4"/>
  <c r="AM32" i="4"/>
  <c r="AG32" i="4"/>
  <c r="AD32" i="4"/>
  <c r="AK32" i="4" s="1"/>
  <c r="O32" i="4"/>
  <c r="P32" i="4"/>
  <c r="Q32" i="4"/>
  <c r="R32" i="4"/>
  <c r="S32" i="4"/>
  <c r="T32" i="4"/>
  <c r="U32" i="4"/>
  <c r="V32" i="4"/>
  <c r="W32" i="4"/>
  <c r="X32" i="4"/>
  <c r="Y32" i="4"/>
  <c r="Z32" i="4"/>
  <c r="AJ32" i="4" s="1"/>
  <c r="AJ31" i="4"/>
  <c r="AK31" i="4"/>
  <c r="AG31" i="4"/>
  <c r="AD31" i="4"/>
  <c r="O31" i="4"/>
  <c r="P31" i="4"/>
  <c r="Q31" i="4"/>
  <c r="R31" i="4"/>
  <c r="S31" i="4"/>
  <c r="T31" i="4"/>
  <c r="U31" i="4"/>
  <c r="V31" i="4"/>
  <c r="W31" i="4"/>
  <c r="X31" i="4"/>
  <c r="Y31" i="4"/>
  <c r="Z31" i="4"/>
  <c r="AA31" i="4"/>
  <c r="N26" i="4"/>
  <c r="N27" i="4"/>
  <c r="N28" i="4"/>
  <c r="N29" i="4"/>
  <c r="B22" i="4"/>
  <c r="B23" i="4"/>
  <c r="AG16" i="4"/>
  <c r="AG19" i="4"/>
  <c r="AH100" i="4" s="1"/>
  <c r="AG20" i="4"/>
  <c r="AM74" i="4" s="1"/>
  <c r="AD19" i="4"/>
  <c r="AE60" i="4" s="1"/>
  <c r="AD20" i="4"/>
  <c r="AK80" i="4" s="1"/>
  <c r="N19" i="4"/>
  <c r="O19" i="4"/>
  <c r="P19" i="4"/>
  <c r="Q19" i="4"/>
  <c r="AA19" i="4" s="1"/>
  <c r="AB77" i="4" s="1"/>
  <c r="R19" i="4"/>
  <c r="S19" i="4"/>
  <c r="T19" i="4"/>
  <c r="U19" i="4"/>
  <c r="V19" i="4"/>
  <c r="W19" i="4"/>
  <c r="X19" i="4"/>
  <c r="Y19" i="4"/>
  <c r="Z19" i="4"/>
  <c r="N20" i="4"/>
  <c r="O20" i="4"/>
  <c r="P20" i="4"/>
  <c r="Q20" i="4"/>
  <c r="R20" i="4"/>
  <c r="S20" i="4"/>
  <c r="T20" i="4"/>
  <c r="U20" i="4"/>
  <c r="V20" i="4"/>
  <c r="W20" i="4"/>
  <c r="X20" i="4"/>
  <c r="Y20" i="4"/>
  <c r="Z20" i="4"/>
  <c r="G19" i="4"/>
  <c r="B17" i="4"/>
  <c r="B18" i="4"/>
  <c r="B19" i="4"/>
  <c r="O17" i="4"/>
  <c r="P17" i="4"/>
  <c r="Q17" i="4"/>
  <c r="R17" i="4"/>
  <c r="S17" i="4"/>
  <c r="T17" i="4"/>
  <c r="U17" i="4"/>
  <c r="V17" i="4"/>
  <c r="W17" i="4"/>
  <c r="X17" i="4"/>
  <c r="Y17" i="4"/>
  <c r="Z17" i="4"/>
  <c r="O16" i="4"/>
  <c r="P16" i="4"/>
  <c r="Q16" i="4"/>
  <c r="R16" i="4"/>
  <c r="S16" i="4"/>
  <c r="T16" i="4"/>
  <c r="U16" i="4"/>
  <c r="V16" i="4"/>
  <c r="W16" i="4"/>
  <c r="X16" i="4"/>
  <c r="Y16" i="4"/>
  <c r="A14" i="4"/>
  <c r="AG12" i="4"/>
  <c r="AG13" i="4"/>
  <c r="AD12" i="4"/>
  <c r="AD13" i="4"/>
  <c r="B12" i="4"/>
  <c r="AA16" i="4" s="1"/>
  <c r="B13" i="4"/>
  <c r="O12" i="4"/>
  <c r="P12" i="4"/>
  <c r="Q12" i="4"/>
  <c r="R12" i="4"/>
  <c r="S12" i="4"/>
  <c r="T12" i="4"/>
  <c r="U12" i="4"/>
  <c r="V12" i="4"/>
  <c r="W12" i="4"/>
  <c r="X12" i="4"/>
  <c r="Y12" i="4"/>
  <c r="Z12" i="4"/>
  <c r="AA12" i="4"/>
  <c r="O13" i="4"/>
  <c r="P13" i="4"/>
  <c r="Q13" i="4"/>
  <c r="R13" i="4"/>
  <c r="S13" i="4"/>
  <c r="T13" i="4"/>
  <c r="U13" i="4"/>
  <c r="V13" i="4"/>
  <c r="W13" i="4"/>
  <c r="X13" i="4"/>
  <c r="Y13" i="4"/>
  <c r="Z13" i="4"/>
  <c r="AA13" i="4"/>
  <c r="O11" i="4"/>
  <c r="P11" i="4"/>
  <c r="Q11" i="4"/>
  <c r="R11" i="4"/>
  <c r="S11" i="4"/>
  <c r="T11" i="4"/>
  <c r="U11" i="4"/>
  <c r="V11" i="4"/>
  <c r="W11" i="4"/>
  <c r="X11" i="4"/>
  <c r="Y11" i="4"/>
  <c r="Z11" i="4"/>
  <c r="C10" i="4"/>
  <c r="D10" i="4"/>
  <c r="C9" i="4"/>
  <c r="C1" i="4"/>
  <c r="C2" i="4"/>
  <c r="C3" i="4"/>
  <c r="C4" i="4"/>
  <c r="C5" i="4"/>
  <c r="C6" i="4"/>
  <c r="C7" i="4"/>
  <c r="C8" i="4"/>
  <c r="E6" i="4"/>
  <c r="E4" i="4"/>
  <c r="F4" i="4"/>
  <c r="B3" i="4"/>
  <c r="M97" i="37"/>
  <c r="M98" i="37"/>
  <c r="M99" i="37"/>
  <c r="M100" i="37"/>
  <c r="M101" i="37"/>
  <c r="M102" i="37"/>
  <c r="M103" i="37"/>
  <c r="M104" i="37"/>
  <c r="M105" i="37"/>
  <c r="AH98" i="37"/>
  <c r="AG103" i="37"/>
  <c r="AE97" i="37"/>
  <c r="AD98" i="37"/>
  <c r="AE99" i="37"/>
  <c r="AE105" i="37"/>
  <c r="Z97" i="37"/>
  <c r="AH97" i="37" s="1"/>
  <c r="Z98" i="37"/>
  <c r="AE98" i="37" s="1"/>
  <c r="Z99" i="37"/>
  <c r="AH99" i="37" s="1"/>
  <c r="Z100" i="37"/>
  <c r="AH100" i="37" s="1"/>
  <c r="AA100" i="37"/>
  <c r="Z101" i="37"/>
  <c r="AH101" i="37" s="1"/>
  <c r="Z102" i="37"/>
  <c r="AE102" i="37" s="1"/>
  <c r="Z103" i="37"/>
  <c r="AE103" i="37" s="1"/>
  <c r="Z104" i="37"/>
  <c r="AH104" i="37" s="1"/>
  <c r="AA104" i="37"/>
  <c r="Z105" i="37"/>
  <c r="AH105" i="37" s="1"/>
  <c r="I97" i="37"/>
  <c r="J97" i="37"/>
  <c r="I98" i="37"/>
  <c r="J98" i="37"/>
  <c r="I99" i="37"/>
  <c r="J99" i="37"/>
  <c r="I100" i="37"/>
  <c r="J100" i="37"/>
  <c r="I101" i="37"/>
  <c r="J101" i="37"/>
  <c r="I102" i="37"/>
  <c r="J102" i="37"/>
  <c r="I103" i="37"/>
  <c r="J103" i="37"/>
  <c r="I104" i="37"/>
  <c r="J104" i="37"/>
  <c r="I105" i="37"/>
  <c r="J105" i="37"/>
  <c r="AC94" i="37"/>
  <c r="AC95" i="37" s="1"/>
  <c r="AC71" i="37" s="1"/>
  <c r="AF94" i="37"/>
  <c r="AF95" i="37" s="1"/>
  <c r="AF71" i="37" s="1"/>
  <c r="N94" i="37"/>
  <c r="O94" i="37"/>
  <c r="O95" i="37" s="1"/>
  <c r="P94" i="37"/>
  <c r="P95" i="37" s="1"/>
  <c r="P71" i="37" s="1"/>
  <c r="P72" i="37" s="1"/>
  <c r="Q94" i="37"/>
  <c r="Q95" i="37" s="1"/>
  <c r="Q71" i="37" s="1"/>
  <c r="Q72" i="37" s="1"/>
  <c r="R94" i="37"/>
  <c r="R95" i="37" s="1"/>
  <c r="R71" i="37" s="1"/>
  <c r="R72" i="37" s="1"/>
  <c r="S94" i="37"/>
  <c r="T94" i="37"/>
  <c r="U94" i="37"/>
  <c r="V94" i="37"/>
  <c r="V95" i="37" s="1"/>
  <c r="V71" i="37" s="1"/>
  <c r="V72" i="37" s="1"/>
  <c r="W94" i="37"/>
  <c r="W95" i="37" s="1"/>
  <c r="W71" i="37" s="1"/>
  <c r="W72" i="37" s="1"/>
  <c r="X94" i="37"/>
  <c r="X95" i="37" s="1"/>
  <c r="X71" i="37" s="1"/>
  <c r="X72" i="37" s="1"/>
  <c r="Y94" i="37"/>
  <c r="Y95" i="37" s="1"/>
  <c r="Y71" i="37" s="1"/>
  <c r="Y72" i="37" s="1"/>
  <c r="N95" i="37"/>
  <c r="N71" i="37" s="1"/>
  <c r="N72" i="37" s="1"/>
  <c r="S95" i="37"/>
  <c r="S71" i="37" s="1"/>
  <c r="S72" i="37" s="1"/>
  <c r="T95" i="37"/>
  <c r="T71" i="37" s="1"/>
  <c r="T72" i="37" s="1"/>
  <c r="U95" i="37"/>
  <c r="U71" i="37" s="1"/>
  <c r="U72" i="37" s="1"/>
  <c r="M93" i="37"/>
  <c r="M94" i="37"/>
  <c r="Z93" i="37"/>
  <c r="AE93" i="37" s="1"/>
  <c r="I93" i="37"/>
  <c r="J93" i="37"/>
  <c r="I94" i="37"/>
  <c r="J94" i="37"/>
  <c r="M82" i="37"/>
  <c r="M83" i="37"/>
  <c r="M84" i="37"/>
  <c r="M86" i="37"/>
  <c r="M87" i="37"/>
  <c r="I87" i="37"/>
  <c r="J87" i="37"/>
  <c r="AD83" i="37"/>
  <c r="I83" i="37"/>
  <c r="J83" i="37"/>
  <c r="AG83" i="37"/>
  <c r="Z83" i="37"/>
  <c r="AE83" i="37" s="1"/>
  <c r="AA83" i="37"/>
  <c r="AI83" i="37" s="1"/>
  <c r="Z87" i="37"/>
  <c r="AH87" i="37" s="1"/>
  <c r="AC80" i="37"/>
  <c r="AF80" i="37"/>
  <c r="M80" i="37"/>
  <c r="N80" i="37"/>
  <c r="O80" i="37"/>
  <c r="P80" i="37"/>
  <c r="Q80" i="37"/>
  <c r="R80" i="37"/>
  <c r="S80" i="37"/>
  <c r="T80" i="37"/>
  <c r="U80" i="37"/>
  <c r="V80" i="37"/>
  <c r="W80" i="37"/>
  <c r="X80" i="37"/>
  <c r="Y80" i="37"/>
  <c r="M74" i="37"/>
  <c r="M76" i="37"/>
  <c r="M77" i="37"/>
  <c r="M78" i="37"/>
  <c r="M79" i="37"/>
  <c r="AH78" i="37"/>
  <c r="AG79" i="37"/>
  <c r="AD79" i="37"/>
  <c r="Z77" i="37"/>
  <c r="AH77" i="37" s="1"/>
  <c r="Z78" i="37"/>
  <c r="AE78" i="37" s="1"/>
  <c r="Z79" i="37"/>
  <c r="AH79" i="37" s="1"/>
  <c r="AA79" i="37"/>
  <c r="AI79" i="37" s="1"/>
  <c r="I76" i="37"/>
  <c r="J76" i="37"/>
  <c r="I77" i="37"/>
  <c r="J77" i="37"/>
  <c r="I78" i="37"/>
  <c r="J78" i="37"/>
  <c r="I79" i="37"/>
  <c r="J79" i="37"/>
  <c r="M66" i="37"/>
  <c r="M72" i="37" s="1"/>
  <c r="M67" i="37"/>
  <c r="M68" i="37"/>
  <c r="M69" i="37"/>
  <c r="M70" i="37"/>
  <c r="AG67" i="37"/>
  <c r="AD67" i="37"/>
  <c r="AE68" i="37"/>
  <c r="AD69" i="37"/>
  <c r="Z67" i="37"/>
  <c r="AH67" i="37" s="1"/>
  <c r="Z68" i="37"/>
  <c r="AH68" i="37" s="1"/>
  <c r="Z69" i="37"/>
  <c r="AH69" i="37" s="1"/>
  <c r="Z70" i="37"/>
  <c r="AE70" i="37" s="1"/>
  <c r="I66" i="37"/>
  <c r="J66" i="37"/>
  <c r="I67" i="37"/>
  <c r="J67" i="37"/>
  <c r="I68" i="37"/>
  <c r="J68" i="37"/>
  <c r="I69" i="37"/>
  <c r="J69" i="37"/>
  <c r="I70" i="37"/>
  <c r="J70" i="37"/>
  <c r="M64" i="37"/>
  <c r="AD63" i="37"/>
  <c r="M53" i="37"/>
  <c r="M59" i="37" s="1"/>
  <c r="M54" i="37"/>
  <c r="M55" i="37"/>
  <c r="M56" i="37"/>
  <c r="M57" i="37"/>
  <c r="M58" i="37"/>
  <c r="M61" i="37"/>
  <c r="M63" i="37"/>
  <c r="I63" i="37"/>
  <c r="J63" i="37"/>
  <c r="AC59" i="37"/>
  <c r="AD59" i="37" s="1"/>
  <c r="AF59" i="37"/>
  <c r="AF60" i="37" s="1"/>
  <c r="AG60" i="37" s="1"/>
  <c r="N59" i="37"/>
  <c r="N60" i="37" s="1"/>
  <c r="O59" i="37"/>
  <c r="O60" i="37" s="1"/>
  <c r="P59" i="37"/>
  <c r="Q59" i="37"/>
  <c r="Q60" i="37" s="1"/>
  <c r="R59" i="37"/>
  <c r="R60" i="37" s="1"/>
  <c r="S59" i="37"/>
  <c r="S60" i="37" s="1"/>
  <c r="T59" i="37"/>
  <c r="T60" i="37" s="1"/>
  <c r="U59" i="37"/>
  <c r="V59" i="37"/>
  <c r="W59" i="37"/>
  <c r="X59" i="37"/>
  <c r="Y59" i="37"/>
  <c r="Y60" i="37" s="1"/>
  <c r="P60" i="37"/>
  <c r="U60" i="37"/>
  <c r="V60" i="37"/>
  <c r="W60" i="37"/>
  <c r="X60" i="37"/>
  <c r="AH57" i="37"/>
  <c r="AD54" i="37"/>
  <c r="AD56" i="37"/>
  <c r="AE56" i="37"/>
  <c r="Z54" i="37"/>
  <c r="AE54" i="37" s="1"/>
  <c r="Z55" i="37"/>
  <c r="AE55" i="37" s="1"/>
  <c r="Z56" i="37"/>
  <c r="AH56" i="37" s="1"/>
  <c r="Z57" i="37"/>
  <c r="AE57" i="37" s="1"/>
  <c r="Z58" i="37"/>
  <c r="AE58" i="37" s="1"/>
  <c r="Z63" i="37"/>
  <c r="AE63" i="37" s="1"/>
  <c r="I53" i="37"/>
  <c r="J53" i="37"/>
  <c r="I54" i="37"/>
  <c r="J54" i="37"/>
  <c r="I55" i="37"/>
  <c r="J55" i="37"/>
  <c r="I56" i="37"/>
  <c r="J56" i="37"/>
  <c r="I57" i="37"/>
  <c r="J57" i="37"/>
  <c r="I58" i="37"/>
  <c r="J58" i="37"/>
  <c r="B53" i="37"/>
  <c r="AC50" i="37"/>
  <c r="AD50" i="37" s="1"/>
  <c r="AC49" i="37"/>
  <c r="AF49" i="37"/>
  <c r="AF50" i="37" s="1"/>
  <c r="AG50" i="37" s="1"/>
  <c r="N49" i="37"/>
  <c r="Z49" i="37" s="1"/>
  <c r="AH49" i="37" s="1"/>
  <c r="O49" i="37"/>
  <c r="O50" i="37" s="1"/>
  <c r="P49" i="37"/>
  <c r="Q49" i="37"/>
  <c r="Q50" i="37" s="1"/>
  <c r="R49" i="37"/>
  <c r="R50" i="37" s="1"/>
  <c r="S49" i="37"/>
  <c r="T49" i="37"/>
  <c r="U49" i="37"/>
  <c r="U50" i="37" s="1"/>
  <c r="V49" i="37"/>
  <c r="V51" i="37" s="1"/>
  <c r="V52" i="37" s="1"/>
  <c r="W49" i="37"/>
  <c r="W50" i="37" s="1"/>
  <c r="X49" i="37"/>
  <c r="Y49" i="37"/>
  <c r="Y50" i="37" s="1"/>
  <c r="S50" i="37"/>
  <c r="T50" i="37"/>
  <c r="V50" i="37"/>
  <c r="M33" i="37"/>
  <c r="M34" i="37"/>
  <c r="M35" i="37"/>
  <c r="M36" i="37"/>
  <c r="M37" i="37"/>
  <c r="M38" i="37"/>
  <c r="M43" i="37" s="1"/>
  <c r="M39" i="37"/>
  <c r="M40" i="37"/>
  <c r="M41" i="37"/>
  <c r="M42" i="37"/>
  <c r="M45" i="37"/>
  <c r="M49" i="37" s="1"/>
  <c r="M46" i="37"/>
  <c r="M47" i="37"/>
  <c r="M48" i="37"/>
  <c r="B47" i="37"/>
  <c r="B48" i="37"/>
  <c r="B49" i="37"/>
  <c r="AG46" i="37"/>
  <c r="AG47" i="37"/>
  <c r="AG48" i="37"/>
  <c r="AD46" i="37"/>
  <c r="AD47" i="37"/>
  <c r="AD48" i="37"/>
  <c r="Z46" i="37"/>
  <c r="AH46" i="37" s="1"/>
  <c r="Z47" i="37"/>
  <c r="AE47" i="37" s="1"/>
  <c r="Z48" i="37"/>
  <c r="AH48" i="37" s="1"/>
  <c r="I45" i="37"/>
  <c r="J45" i="37"/>
  <c r="I46" i="37"/>
  <c r="J46" i="37"/>
  <c r="I47" i="37"/>
  <c r="J47" i="37"/>
  <c r="I48" i="37"/>
  <c r="J48" i="37"/>
  <c r="AF44" i="37"/>
  <c r="AG44" i="37" s="1"/>
  <c r="A44" i="37"/>
  <c r="AK39" i="37"/>
  <c r="AK40" i="37"/>
  <c r="AC43" i="37"/>
  <c r="AD70" i="37" s="1"/>
  <c r="AF43" i="37"/>
  <c r="AF51" i="37" s="1"/>
  <c r="AG43" i="37"/>
  <c r="N43" i="37"/>
  <c r="AA97" i="37" s="1"/>
  <c r="O43" i="37"/>
  <c r="P43" i="37"/>
  <c r="P44" i="37" s="1"/>
  <c r="Q43" i="37"/>
  <c r="Q51" i="37" s="1"/>
  <c r="Q52" i="37" s="1"/>
  <c r="R43" i="37"/>
  <c r="S43" i="37"/>
  <c r="S44" i="37" s="1"/>
  <c r="T43" i="37"/>
  <c r="T51" i="37" s="1"/>
  <c r="T52" i="37" s="1"/>
  <c r="U43" i="37"/>
  <c r="U61" i="37" s="1"/>
  <c r="V43" i="37"/>
  <c r="W43" i="37"/>
  <c r="X43" i="37"/>
  <c r="Y43" i="37"/>
  <c r="Y51" i="37" s="1"/>
  <c r="Y52" i="37" s="1"/>
  <c r="N44" i="37"/>
  <c r="V44" i="37"/>
  <c r="AH39" i="37"/>
  <c r="AI39" i="37"/>
  <c r="AG42" i="37"/>
  <c r="AE40" i="37"/>
  <c r="Z39" i="37"/>
  <c r="AE39" i="37" s="1"/>
  <c r="Z40" i="37"/>
  <c r="AH40" i="37" s="1"/>
  <c r="Z41" i="37"/>
  <c r="AH41" i="37" s="1"/>
  <c r="Z42" i="37"/>
  <c r="AK42" i="37" s="1"/>
  <c r="AE33" i="37"/>
  <c r="AE34" i="37"/>
  <c r="Z33" i="37"/>
  <c r="AH33" i="37" s="1"/>
  <c r="Z34" i="37"/>
  <c r="AI34" i="37" s="1"/>
  <c r="Z35" i="37"/>
  <c r="AK35" i="37" s="1"/>
  <c r="Z37" i="37"/>
  <c r="AE37" i="37" s="1"/>
  <c r="AH34" i="37"/>
  <c r="I33" i="37"/>
  <c r="J33" i="37"/>
  <c r="I34" i="37"/>
  <c r="J34" i="37"/>
  <c r="I35" i="37"/>
  <c r="J35" i="37"/>
  <c r="I36" i="37"/>
  <c r="J36" i="37"/>
  <c r="I37" i="37"/>
  <c r="J37" i="37"/>
  <c r="I38" i="37"/>
  <c r="J38" i="37"/>
  <c r="I39" i="37"/>
  <c r="J39" i="37"/>
  <c r="I40" i="37"/>
  <c r="J40" i="37"/>
  <c r="I41" i="37"/>
  <c r="J41" i="37"/>
  <c r="I42" i="37"/>
  <c r="J42" i="37"/>
  <c r="AF32" i="37"/>
  <c r="AC32" i="37"/>
  <c r="N32" i="37"/>
  <c r="O32" i="37"/>
  <c r="P32" i="37"/>
  <c r="Q32" i="37"/>
  <c r="R32" i="37"/>
  <c r="S32" i="37"/>
  <c r="T32" i="37"/>
  <c r="U32" i="37"/>
  <c r="V32" i="37"/>
  <c r="W32" i="37"/>
  <c r="X32" i="37"/>
  <c r="Y32" i="37"/>
  <c r="AK31" i="37"/>
  <c r="AI31" i="37"/>
  <c r="AF31" i="37"/>
  <c r="AC31" i="37"/>
  <c r="N31" i="37"/>
  <c r="O31" i="37"/>
  <c r="P31" i="37"/>
  <c r="Q31" i="37"/>
  <c r="R31" i="37"/>
  <c r="S31" i="37"/>
  <c r="T31" i="37"/>
  <c r="U31" i="37"/>
  <c r="V31" i="37"/>
  <c r="W31" i="37"/>
  <c r="X31" i="37"/>
  <c r="Y31" i="37"/>
  <c r="Z31" i="37"/>
  <c r="M26" i="37"/>
  <c r="M27" i="37"/>
  <c r="M28" i="37"/>
  <c r="M29" i="37"/>
  <c r="B23" i="37"/>
  <c r="AF16" i="37"/>
  <c r="AF19" i="37"/>
  <c r="AG40" i="37" s="1"/>
  <c r="AC16" i="37"/>
  <c r="AC19" i="37"/>
  <c r="AD39" i="37" s="1"/>
  <c r="M19" i="37"/>
  <c r="N19" i="37"/>
  <c r="O19" i="37"/>
  <c r="P19" i="37"/>
  <c r="Q19" i="37"/>
  <c r="R19" i="37"/>
  <c r="S19" i="37"/>
  <c r="Z19" i="37" s="1"/>
  <c r="T19" i="37"/>
  <c r="U19" i="37"/>
  <c r="V19" i="37"/>
  <c r="W19" i="37"/>
  <c r="X19" i="37"/>
  <c r="Y19" i="37"/>
  <c r="B17" i="37"/>
  <c r="B18" i="37"/>
  <c r="B19" i="37"/>
  <c r="N17" i="37"/>
  <c r="O17" i="37"/>
  <c r="P17" i="37"/>
  <c r="Q17" i="37"/>
  <c r="R17" i="37"/>
  <c r="S17" i="37"/>
  <c r="T17" i="37"/>
  <c r="U17" i="37"/>
  <c r="V17" i="37"/>
  <c r="W17" i="37"/>
  <c r="X17" i="37"/>
  <c r="Y17" i="37"/>
  <c r="N16" i="37"/>
  <c r="O16" i="37"/>
  <c r="P16" i="37"/>
  <c r="Q16" i="37"/>
  <c r="R16" i="37"/>
  <c r="S16" i="37"/>
  <c r="T16" i="37"/>
  <c r="U16" i="37"/>
  <c r="V16" i="37"/>
  <c r="W16" i="37"/>
  <c r="X16" i="37"/>
  <c r="A14" i="37"/>
  <c r="AF12" i="37"/>
  <c r="AF13" i="37"/>
  <c r="AC12" i="37"/>
  <c r="AC13" i="37"/>
  <c r="B12" i="37"/>
  <c r="B13" i="37"/>
  <c r="N12" i="37"/>
  <c r="O12" i="37"/>
  <c r="P12" i="37"/>
  <c r="Q12" i="37"/>
  <c r="R12" i="37"/>
  <c r="S12" i="37"/>
  <c r="T12" i="37"/>
  <c r="U12" i="37"/>
  <c r="V12" i="37"/>
  <c r="W12" i="37"/>
  <c r="X12" i="37"/>
  <c r="Y12" i="37"/>
  <c r="Z12" i="37"/>
  <c r="N13" i="37"/>
  <c r="O13" i="37"/>
  <c r="P13" i="37"/>
  <c r="Q13" i="37"/>
  <c r="R13" i="37"/>
  <c r="S13" i="37"/>
  <c r="T13" i="37"/>
  <c r="U13" i="37"/>
  <c r="V13" i="37"/>
  <c r="W13" i="37"/>
  <c r="X13" i="37"/>
  <c r="Y13" i="37"/>
  <c r="Z13" i="37"/>
  <c r="N11" i="37"/>
  <c r="O11" i="37"/>
  <c r="P11" i="37"/>
  <c r="Q11" i="37"/>
  <c r="R11" i="37"/>
  <c r="S11" i="37"/>
  <c r="T11" i="37"/>
  <c r="U11" i="37"/>
  <c r="V11" i="37"/>
  <c r="W11" i="37"/>
  <c r="X11" i="37"/>
  <c r="Y11" i="37"/>
  <c r="C10" i="37"/>
  <c r="D10" i="37"/>
  <c r="Y16" i="37" s="1"/>
  <c r="C9" i="37"/>
  <c r="C1" i="37"/>
  <c r="C2" i="37"/>
  <c r="C3" i="37"/>
  <c r="C4" i="37"/>
  <c r="C5" i="37"/>
  <c r="C6" i="37"/>
  <c r="C7" i="37"/>
  <c r="C8" i="37"/>
  <c r="E6" i="37"/>
  <c r="E4" i="37"/>
  <c r="F4" i="37"/>
  <c r="B3" i="37"/>
  <c r="T28" i="5"/>
  <c r="I28" i="5" s="1"/>
  <c r="T29" i="5"/>
  <c r="I29" i="5" s="1"/>
  <c r="T30" i="5"/>
  <c r="I30" i="5" s="1"/>
  <c r="T31" i="5"/>
  <c r="I31" i="5" s="1"/>
  <c r="T32" i="5"/>
  <c r="I32" i="5" s="1"/>
  <c r="T33" i="5"/>
  <c r="I33" i="5" s="1"/>
  <c r="T34" i="5"/>
  <c r="I34" i="5" s="1"/>
  <c r="T35" i="5"/>
  <c r="I35" i="5" s="1"/>
  <c r="T36" i="5"/>
  <c r="T37" i="5"/>
  <c r="I37" i="5" s="1"/>
  <c r="T38" i="5"/>
  <c r="I38" i="5" s="1"/>
  <c r="T39" i="5"/>
  <c r="I39" i="5" s="1"/>
  <c r="T40" i="5"/>
  <c r="I40" i="5" s="1"/>
  <c r="T41" i="5"/>
  <c r="I41" i="5" s="1"/>
  <c r="T42" i="5"/>
  <c r="I42" i="5" s="1"/>
  <c r="T43" i="5"/>
  <c r="I43" i="5" s="1"/>
  <c r="T44" i="5"/>
  <c r="T45" i="5"/>
  <c r="T46" i="5"/>
  <c r="I46" i="5" s="1"/>
  <c r="T47" i="5"/>
  <c r="I47" i="5" s="1"/>
  <c r="T48" i="5"/>
  <c r="I48" i="5" s="1"/>
  <c r="T49" i="5"/>
  <c r="I49" i="5" s="1"/>
  <c r="T50" i="5"/>
  <c r="I50" i="5" s="1"/>
  <c r="I36" i="5"/>
  <c r="I44" i="5"/>
  <c r="I45" i="5"/>
  <c r="K24" i="5"/>
  <c r="I24" i="5"/>
  <c r="E24" i="5"/>
  <c r="C13" i="5"/>
  <c r="D10" i="5"/>
  <c r="B9" i="7" s="1"/>
  <c r="J6" i="5"/>
  <c r="J7" i="5"/>
  <c r="G6" i="5"/>
  <c r="AD17" i="4" s="1"/>
  <c r="AD18" i="4" s="1"/>
  <c r="G7" i="5"/>
  <c r="AD16" i="4" s="1"/>
  <c r="D6" i="5"/>
  <c r="M11" i="7" s="1"/>
  <c r="D7" i="5"/>
  <c r="B10" i="6" s="1"/>
  <c r="Q6" i="5"/>
  <c r="F1" i="5"/>
  <c r="C1" i="5"/>
  <c r="D1" i="5"/>
  <c r="AI48" i="4" l="1"/>
  <c r="AF48" i="4"/>
  <c r="AI78" i="4"/>
  <c r="AF78" i="4"/>
  <c r="AI148" i="6"/>
  <c r="AF148" i="6"/>
  <c r="AI140" i="6"/>
  <c r="AF140" i="6"/>
  <c r="AF59" i="4"/>
  <c r="AI59" i="4"/>
  <c r="AI56" i="16"/>
  <c r="AF56" i="16"/>
  <c r="AI44" i="4"/>
  <c r="AF44" i="4"/>
  <c r="AB90" i="4"/>
  <c r="AF90" i="4"/>
  <c r="AH35" i="37"/>
  <c r="U44" i="37"/>
  <c r="AK34" i="37"/>
  <c r="AI40" i="37"/>
  <c r="U51" i="37"/>
  <c r="U52" i="37" s="1"/>
  <c r="X51" i="37"/>
  <c r="X52" i="37" s="1"/>
  <c r="P51" i="37"/>
  <c r="P52" i="37" s="1"/>
  <c r="AC51" i="37"/>
  <c r="AD55" i="37"/>
  <c r="AG77" i="37"/>
  <c r="AD102" i="37"/>
  <c r="K38" i="4"/>
  <c r="AA42" i="4"/>
  <c r="AI42" i="4" s="1"/>
  <c r="AK51" i="4"/>
  <c r="AM40" i="4"/>
  <c r="AI36" i="4"/>
  <c r="K62" i="4"/>
  <c r="K59" i="4"/>
  <c r="AA70" i="4"/>
  <c r="AE67" i="4"/>
  <c r="AH68" i="4"/>
  <c r="AM63" i="4"/>
  <c r="K90" i="4"/>
  <c r="AF94" i="4"/>
  <c r="AK97" i="4"/>
  <c r="AK89" i="4"/>
  <c r="AK81" i="4"/>
  <c r="AF67" i="6"/>
  <c r="AF55" i="6"/>
  <c r="AF46" i="6"/>
  <c r="AF38" i="6"/>
  <c r="AH67" i="6"/>
  <c r="AI58" i="6"/>
  <c r="AA134" i="6"/>
  <c r="AA126" i="6"/>
  <c r="AB154" i="6"/>
  <c r="AB81" i="6"/>
  <c r="AF112" i="6"/>
  <c r="AF96" i="6"/>
  <c r="AF76" i="6"/>
  <c r="AI111" i="6"/>
  <c r="AI101" i="6"/>
  <c r="AH92" i="6"/>
  <c r="AI83" i="6"/>
  <c r="AI73" i="6"/>
  <c r="K34" i="7"/>
  <c r="AB34" i="7"/>
  <c r="AM37" i="7"/>
  <c r="AK51" i="7"/>
  <c r="K57" i="7"/>
  <c r="K54" i="7"/>
  <c r="AA65" i="7"/>
  <c r="Z16" i="16"/>
  <c r="AL93" i="16"/>
  <c r="AL94" i="16"/>
  <c r="AL96" i="16"/>
  <c r="AL110" i="16"/>
  <c r="AL77" i="16"/>
  <c r="AL97" i="16"/>
  <c r="AL112" i="16"/>
  <c r="AL78" i="16"/>
  <c r="AL113" i="16"/>
  <c r="AL83" i="16"/>
  <c r="AL52" i="16"/>
  <c r="AL44" i="16"/>
  <c r="K48" i="16"/>
  <c r="AH50" i="16"/>
  <c r="AM61" i="16"/>
  <c r="AL62" i="16"/>
  <c r="K101" i="16"/>
  <c r="K95" i="16"/>
  <c r="AH70" i="37"/>
  <c r="Z94" i="37"/>
  <c r="AH37" i="4"/>
  <c r="Z36" i="37"/>
  <c r="AE36" i="37" s="1"/>
  <c r="R51" i="37"/>
  <c r="R52" i="37" s="1"/>
  <c r="AK41" i="37"/>
  <c r="AA47" i="37"/>
  <c r="AK47" i="37" s="1"/>
  <c r="N51" i="37"/>
  <c r="AE101" i="37"/>
  <c r="AG99" i="37"/>
  <c r="Z16" i="4"/>
  <c r="K35" i="4"/>
  <c r="AA40" i="4"/>
  <c r="AE43" i="4"/>
  <c r="AH51" i="4"/>
  <c r="AK47" i="4"/>
  <c r="AM43" i="4"/>
  <c r="AK40" i="4"/>
  <c r="AH36" i="4"/>
  <c r="AA67" i="4"/>
  <c r="AM67" i="4"/>
  <c r="AK63" i="4"/>
  <c r="AM58" i="4"/>
  <c r="K92" i="4"/>
  <c r="K88" i="4"/>
  <c r="K81" i="4"/>
  <c r="K79" i="4"/>
  <c r="AH95" i="4"/>
  <c r="AH87" i="4"/>
  <c r="AH79" i="4"/>
  <c r="AH51" i="6"/>
  <c r="AH45" i="6"/>
  <c r="AF104" i="6"/>
  <c r="AE95" i="6"/>
  <c r="AE75" i="6"/>
  <c r="AI91" i="6"/>
  <c r="AI81" i="6"/>
  <c r="AH72" i="6"/>
  <c r="AA22" i="7"/>
  <c r="AM41" i="7"/>
  <c r="AK37" i="7"/>
  <c r="AE39" i="16"/>
  <c r="K68" i="16"/>
  <c r="AI79" i="16"/>
  <c r="AF79" i="16"/>
  <c r="K107" i="16"/>
  <c r="AA107" i="16"/>
  <c r="AI107" i="16" s="1"/>
  <c r="AA19" i="7"/>
  <c r="AF34" i="7"/>
  <c r="AH47" i="37"/>
  <c r="AH94" i="4"/>
  <c r="AH86" i="4"/>
  <c r="AH78" i="4"/>
  <c r="AH37" i="6"/>
  <c r="X61" i="37"/>
  <c r="AC60" i="37"/>
  <c r="AD60" i="37" s="1"/>
  <c r="AG80" i="37"/>
  <c r="AK46" i="4"/>
  <c r="AK35" i="4"/>
  <c r="AK61" i="4"/>
  <c r="AF86" i="4"/>
  <c r="AA19" i="6"/>
  <c r="AH61" i="6"/>
  <c r="AI56" i="6"/>
  <c r="AH35" i="6"/>
  <c r="AA123" i="6"/>
  <c r="AF110" i="6"/>
  <c r="AE103" i="6"/>
  <c r="AF72" i="6"/>
  <c r="AH80" i="6"/>
  <c r="AA44" i="7"/>
  <c r="AK40" i="7"/>
  <c r="AG123" i="16"/>
  <c r="AL70" i="16"/>
  <c r="AE126" i="17"/>
  <c r="AE116" i="17"/>
  <c r="AE102" i="17"/>
  <c r="AE66" i="17"/>
  <c r="AE57" i="17"/>
  <c r="AE47" i="17"/>
  <c r="AE133" i="17"/>
  <c r="AE96" i="17"/>
  <c r="AE48" i="17"/>
  <c r="AE125" i="17"/>
  <c r="AE73" i="17"/>
  <c r="AE137" i="17"/>
  <c r="AE74" i="17"/>
  <c r="AE35" i="17"/>
  <c r="AE37" i="17"/>
  <c r="AE39" i="17"/>
  <c r="AE64" i="17"/>
  <c r="AE55" i="17"/>
  <c r="AE44" i="17"/>
  <c r="AH57" i="6"/>
  <c r="M11" i="4"/>
  <c r="AH43" i="4"/>
  <c r="L11" i="37"/>
  <c r="W51" i="37"/>
  <c r="W52" i="37" s="1"/>
  <c r="AD49" i="37"/>
  <c r="K47" i="4"/>
  <c r="AE51" i="4"/>
  <c r="AE39" i="4"/>
  <c r="AK49" i="4"/>
  <c r="AM45" i="4"/>
  <c r="AM42" i="4"/>
  <c r="AK38" i="4"/>
  <c r="AH35" i="4"/>
  <c r="AH55" i="4"/>
  <c r="AE59" i="4"/>
  <c r="AK66" i="4"/>
  <c r="AH61" i="4"/>
  <c r="K84" i="4"/>
  <c r="K80" i="4"/>
  <c r="K73" i="4"/>
  <c r="AB82" i="4"/>
  <c r="AF82" i="4"/>
  <c r="AM92" i="4"/>
  <c r="AM84" i="4"/>
  <c r="AM76" i="4"/>
  <c r="AE65" i="6"/>
  <c r="AF50" i="6"/>
  <c r="AI69" i="6"/>
  <c r="AH65" i="6"/>
  <c r="AI60" i="6"/>
  <c r="AI55" i="6"/>
  <c r="AH49" i="6"/>
  <c r="AA130" i="6"/>
  <c r="AA122" i="6"/>
  <c r="AB78" i="6"/>
  <c r="AH116" i="6"/>
  <c r="AI107" i="6"/>
  <c r="AH88" i="6"/>
  <c r="AI79" i="6"/>
  <c r="AA21" i="7"/>
  <c r="AA63" i="7" s="1"/>
  <c r="AA67" i="7" s="1"/>
  <c r="K42" i="7"/>
  <c r="AK35" i="7"/>
  <c r="AM47" i="7"/>
  <c r="AA59" i="7"/>
  <c r="K39" i="16"/>
  <c r="K36" i="16"/>
  <c r="AH36" i="16"/>
  <c r="AE41" i="16"/>
  <c r="K60" i="16"/>
  <c r="AM60" i="16"/>
  <c r="AM66" i="16"/>
  <c r="AA84" i="16"/>
  <c r="K84" i="16"/>
  <c r="AI75" i="16"/>
  <c r="P61" i="37"/>
  <c r="AG70" i="37"/>
  <c r="Z16" i="37"/>
  <c r="AG39" i="37"/>
  <c r="O51" i="37"/>
  <c r="O52" i="37" s="1"/>
  <c r="AE35" i="37"/>
  <c r="AE41" i="37"/>
  <c r="X44" i="37"/>
  <c r="V61" i="37"/>
  <c r="AC44" i="37"/>
  <c r="AD44" i="37" s="1"/>
  <c r="N50" i="37"/>
  <c r="AD58" i="37"/>
  <c r="AH55" i="37"/>
  <c r="AG68" i="37"/>
  <c r="AD78" i="37"/>
  <c r="AD80" i="37"/>
  <c r="AG87" i="37"/>
  <c r="M91" i="37"/>
  <c r="AH103" i="37"/>
  <c r="K51" i="4"/>
  <c r="K44" i="4"/>
  <c r="AH49" i="4"/>
  <c r="AH45" i="4"/>
  <c r="AM41" i="4"/>
  <c r="AM37" i="4"/>
  <c r="AM57" i="4"/>
  <c r="AK69" i="4"/>
  <c r="AM65" i="4"/>
  <c r="AM60" i="4"/>
  <c r="K78" i="4"/>
  <c r="AM91" i="4"/>
  <c r="AM83" i="4"/>
  <c r="AM75" i="4"/>
  <c r="AM99" i="4"/>
  <c r="AF69" i="6"/>
  <c r="AF64" i="6"/>
  <c r="AF49" i="6"/>
  <c r="AF41" i="6"/>
  <c r="AH69" i="6"/>
  <c r="AH55" i="6"/>
  <c r="AH41" i="6"/>
  <c r="AA137" i="6"/>
  <c r="AA129" i="6"/>
  <c r="AA121" i="6"/>
  <c r="AA150" i="6"/>
  <c r="AA142" i="6"/>
  <c r="AF108" i="6"/>
  <c r="AF100" i="6"/>
  <c r="AF80" i="6"/>
  <c r="AI115" i="6"/>
  <c r="AI105" i="6"/>
  <c r="AH96" i="6"/>
  <c r="AI87" i="6"/>
  <c r="AI77" i="6"/>
  <c r="AF152" i="6"/>
  <c r="K36" i="7"/>
  <c r="AA39" i="7"/>
  <c r="AM39" i="7"/>
  <c r="AA56" i="7"/>
  <c r="AF54" i="7"/>
  <c r="AI54" i="7"/>
  <c r="AL37" i="16"/>
  <c r="AH44" i="16"/>
  <c r="AL54" i="16"/>
  <c r="AL64" i="16"/>
  <c r="AA70" i="16"/>
  <c r="AF70" i="16" s="1"/>
  <c r="AA87" i="16"/>
  <c r="K87" i="16"/>
  <c r="AL102" i="16"/>
  <c r="AL120" i="16"/>
  <c r="AE56" i="17"/>
  <c r="AE65" i="17"/>
  <c r="AA20" i="6"/>
  <c r="AI68" i="6"/>
  <c r="AH47" i="6"/>
  <c r="AI95" i="6"/>
  <c r="AA132" i="6"/>
  <c r="AK39" i="7"/>
  <c r="AA92" i="16"/>
  <c r="K92" i="16"/>
  <c r="Z80" i="37"/>
  <c r="AA20" i="4"/>
  <c r="AH69" i="4"/>
  <c r="AH60" i="4"/>
  <c r="AA48" i="37"/>
  <c r="AI48" i="37" s="1"/>
  <c r="AH102" i="37"/>
  <c r="AK48" i="4"/>
  <c r="AK36" i="4"/>
  <c r="AK55" i="4"/>
  <c r="AK64" i="4"/>
  <c r="K76" i="4"/>
  <c r="AB74" i="4"/>
  <c r="AM97" i="4"/>
  <c r="AM89" i="4"/>
  <c r="AM81" i="4"/>
  <c r="AK73" i="4"/>
  <c r="AH63" i="6"/>
  <c r="AH59" i="6"/>
  <c r="AI46" i="6"/>
  <c r="AH39" i="6"/>
  <c r="AA127" i="6"/>
  <c r="AA119" i="6"/>
  <c r="AE107" i="6"/>
  <c r="AE87" i="6"/>
  <c r="AI103" i="6"/>
  <c r="AH84" i="6"/>
  <c r="AI75" i="6"/>
  <c r="AA124" i="6"/>
  <c r="AH61" i="7"/>
  <c r="AM63" i="16"/>
  <c r="AL85" i="16"/>
  <c r="AN65" i="16"/>
  <c r="K83" i="16"/>
  <c r="K80" i="16"/>
  <c r="K108" i="16"/>
  <c r="K99" i="16"/>
  <c r="K93" i="16"/>
  <c r="AA100" i="16"/>
  <c r="AF37" i="17"/>
  <c r="AH72" i="17"/>
  <c r="AF81" i="17"/>
  <c r="AF102" i="17"/>
  <c r="AE147" i="17"/>
  <c r="K57" i="9"/>
  <c r="K41" i="9"/>
  <c r="AA46" i="9"/>
  <c r="AK55" i="9"/>
  <c r="AK50" i="9"/>
  <c r="AK39" i="9"/>
  <c r="K67" i="9"/>
  <c r="AM67" i="9"/>
  <c r="AK63" i="9"/>
  <c r="K82" i="9"/>
  <c r="AK90" i="9"/>
  <c r="K107" i="9"/>
  <c r="AF115" i="9"/>
  <c r="AE124" i="39"/>
  <c r="AE99" i="39"/>
  <c r="AE103" i="39"/>
  <c r="AH37" i="39"/>
  <c r="AE79" i="39"/>
  <c r="AF75" i="39"/>
  <c r="V126" i="39"/>
  <c r="V127" i="39" s="1"/>
  <c r="AE122" i="39"/>
  <c r="AI138" i="39"/>
  <c r="AA52" i="51"/>
  <c r="AK57" i="51"/>
  <c r="AK49" i="51"/>
  <c r="AK45" i="51"/>
  <c r="AK36" i="51"/>
  <c r="AF62" i="51"/>
  <c r="AN68" i="51"/>
  <c r="AK65" i="51"/>
  <c r="AA81" i="51"/>
  <c r="AK78" i="51"/>
  <c r="AA102" i="51"/>
  <c r="AF102" i="51" s="1"/>
  <c r="AK95" i="51"/>
  <c r="AF64" i="52"/>
  <c r="AN66" i="52"/>
  <c r="AM66" i="52"/>
  <c r="AA77" i="53"/>
  <c r="AB76" i="54"/>
  <c r="AN76" i="54" s="1"/>
  <c r="AF76" i="54"/>
  <c r="AI76" i="54"/>
  <c r="AN58" i="11"/>
  <c r="AM58" i="11"/>
  <c r="AI108" i="65"/>
  <c r="AF108" i="65"/>
  <c r="AF109" i="17"/>
  <c r="AE143" i="17"/>
  <c r="AA42" i="9"/>
  <c r="AH45" i="9"/>
  <c r="AH39" i="9"/>
  <c r="AN62" i="9"/>
  <c r="AA80" i="9"/>
  <c r="AK85" i="9"/>
  <c r="AH36" i="39"/>
  <c r="AH48" i="39"/>
  <c r="AI80" i="39"/>
  <c r="AH85" i="39"/>
  <c r="AA53" i="39"/>
  <c r="AA42" i="39"/>
  <c r="AF99" i="39"/>
  <c r="AI99" i="39"/>
  <c r="AA39" i="51"/>
  <c r="K39" i="51"/>
  <c r="AK52" i="51"/>
  <c r="AK68" i="51"/>
  <c r="AN65" i="51"/>
  <c r="AA78" i="51"/>
  <c r="K100" i="51"/>
  <c r="AA100" i="51"/>
  <c r="AI98" i="51"/>
  <c r="AB98" i="51"/>
  <c r="AI94" i="55"/>
  <c r="AF94" i="55"/>
  <c r="AB109" i="55"/>
  <c r="AF109" i="55"/>
  <c r="AI109" i="55"/>
  <c r="B29" i="52"/>
  <c r="B62" i="52"/>
  <c r="AA20" i="52"/>
  <c r="AJ66" i="52" s="1"/>
  <c r="AI66" i="52"/>
  <c r="AF66" i="52"/>
  <c r="AI37" i="53"/>
  <c r="AB37" i="53"/>
  <c r="AI108" i="64"/>
  <c r="AF108" i="64"/>
  <c r="AA125" i="64"/>
  <c r="AA19" i="17"/>
  <c r="AH47" i="17"/>
  <c r="AI49" i="17"/>
  <c r="AH64" i="17"/>
  <c r="AA59" i="17"/>
  <c r="AA51" i="17"/>
  <c r="AA111" i="17"/>
  <c r="AF111" i="17" s="1"/>
  <c r="AF137" i="17"/>
  <c r="K45" i="9"/>
  <c r="AA38" i="9"/>
  <c r="AK54" i="9"/>
  <c r="AH49" i="9"/>
  <c r="AK44" i="9"/>
  <c r="AK38" i="9"/>
  <c r="K63" i="9"/>
  <c r="AM62" i="9"/>
  <c r="K86" i="9"/>
  <c r="K103" i="9"/>
  <c r="K101" i="9"/>
  <c r="AK108" i="9"/>
  <c r="AH97" i="9"/>
  <c r="AH122" i="39"/>
  <c r="AH123" i="39"/>
  <c r="AH108" i="39"/>
  <c r="AH117" i="39"/>
  <c r="AH45" i="39"/>
  <c r="AI106" i="39"/>
  <c r="K43" i="51"/>
  <c r="AK44" i="51"/>
  <c r="AA70" i="51"/>
  <c r="AA84" i="51"/>
  <c r="K84" i="51"/>
  <c r="AM77" i="51"/>
  <c r="AI61" i="55"/>
  <c r="AF61" i="55"/>
  <c r="AB39" i="55"/>
  <c r="AF39" i="55"/>
  <c r="AA35" i="52"/>
  <c r="K35" i="52"/>
  <c r="AA65" i="52"/>
  <c r="K65" i="52"/>
  <c r="AM64" i="52"/>
  <c r="K51" i="53"/>
  <c r="AA51" i="53"/>
  <c r="K102" i="16"/>
  <c r="AA20" i="17"/>
  <c r="AB104" i="17" s="1"/>
  <c r="AH45" i="17"/>
  <c r="AI48" i="17"/>
  <c r="AI54" i="17"/>
  <c r="AA105" i="17"/>
  <c r="AF105" i="17" s="1"/>
  <c r="AF125" i="17"/>
  <c r="AE142" i="17"/>
  <c r="AI154" i="17"/>
  <c r="AF163" i="17"/>
  <c r="K55" i="9"/>
  <c r="K39" i="9"/>
  <c r="AK58" i="9"/>
  <c r="AK48" i="9"/>
  <c r="AH44" i="9"/>
  <c r="AH37" i="9"/>
  <c r="K70" i="9"/>
  <c r="AK68" i="9"/>
  <c r="AK62" i="9"/>
  <c r="AM68" i="9"/>
  <c r="AK78" i="9"/>
  <c r="K97" i="9"/>
  <c r="K95" i="9"/>
  <c r="AA101" i="9"/>
  <c r="AI48" i="39"/>
  <c r="AH57" i="39"/>
  <c r="AE65" i="39"/>
  <c r="AB80" i="39"/>
  <c r="AA82" i="39"/>
  <c r="AE110" i="39"/>
  <c r="AH106" i="39"/>
  <c r="AH115" i="39"/>
  <c r="AE123" i="39"/>
  <c r="AH124" i="39"/>
  <c r="AF130" i="39"/>
  <c r="AI134" i="39"/>
  <c r="AA55" i="51"/>
  <c r="AI55" i="51" s="1"/>
  <c r="K55" i="51"/>
  <c r="AF37" i="51"/>
  <c r="AK47" i="51"/>
  <c r="AK39" i="51"/>
  <c r="AN67" i="51"/>
  <c r="K88" i="51"/>
  <c r="K85" i="51"/>
  <c r="AH107" i="55"/>
  <c r="AH115" i="55"/>
  <c r="AH45" i="55"/>
  <c r="AB79" i="55"/>
  <c r="AF79" i="55"/>
  <c r="AB71" i="55"/>
  <c r="AI71" i="55"/>
  <c r="AF108" i="55"/>
  <c r="AI108" i="55"/>
  <c r="AD126" i="55"/>
  <c r="AA58" i="52"/>
  <c r="AI83" i="56"/>
  <c r="AF83" i="56"/>
  <c r="AB83" i="56"/>
  <c r="AI71" i="56"/>
  <c r="AF71" i="56"/>
  <c r="AF60" i="56"/>
  <c r="AI60" i="56"/>
  <c r="AB91" i="17"/>
  <c r="AA58" i="9"/>
  <c r="AF58" i="9" s="1"/>
  <c r="AH57" i="9"/>
  <c r="AH43" i="9"/>
  <c r="AF99" i="9"/>
  <c r="AH66" i="39"/>
  <c r="AA81" i="39"/>
  <c r="AA62" i="39"/>
  <c r="AF92" i="39"/>
  <c r="AF111" i="39"/>
  <c r="AI111" i="39"/>
  <c r="AI114" i="39"/>
  <c r="B29" i="51"/>
  <c r="AI85" i="51"/>
  <c r="AA63" i="55"/>
  <c r="AA62" i="55"/>
  <c r="AB59" i="55"/>
  <c r="Z126" i="55"/>
  <c r="Z127" i="55" s="1"/>
  <c r="R126" i="55"/>
  <c r="R127" i="55" s="1"/>
  <c r="AA146" i="55"/>
  <c r="AI130" i="55"/>
  <c r="AF138" i="55"/>
  <c r="AI138" i="55"/>
  <c r="AN64" i="52"/>
  <c r="AA20" i="56"/>
  <c r="AF116" i="56"/>
  <c r="AB116" i="56"/>
  <c r="AI116" i="56"/>
  <c r="AI68" i="57"/>
  <c r="AB68" i="57"/>
  <c r="AF57" i="57"/>
  <c r="AI57" i="57"/>
  <c r="AA39" i="61"/>
  <c r="K39" i="61"/>
  <c r="K94" i="16"/>
  <c r="AH39" i="17"/>
  <c r="AA68" i="17"/>
  <c r="AF90" i="17"/>
  <c r="W148" i="17"/>
  <c r="U148" i="17"/>
  <c r="AE145" i="17"/>
  <c r="AE141" i="17"/>
  <c r="K43" i="9"/>
  <c r="AH36" i="9"/>
  <c r="K66" i="9"/>
  <c r="K84" i="9"/>
  <c r="K110" i="9"/>
  <c r="AK115" i="9"/>
  <c r="AK105" i="51"/>
  <c r="AK79" i="51"/>
  <c r="AK87" i="51"/>
  <c r="AK37" i="51"/>
  <c r="AK55" i="51"/>
  <c r="AK98" i="51"/>
  <c r="AK99" i="51"/>
  <c r="AK42" i="51"/>
  <c r="AK53" i="51"/>
  <c r="AK66" i="51"/>
  <c r="AK63" i="51"/>
  <c r="AK91" i="51"/>
  <c r="AF80" i="55"/>
  <c r="AB80" i="55"/>
  <c r="AI80" i="55"/>
  <c r="AB69" i="55"/>
  <c r="AA73" i="55"/>
  <c r="AA51" i="52"/>
  <c r="K51" i="52"/>
  <c r="AA45" i="52"/>
  <c r="K45" i="52"/>
  <c r="K42" i="52"/>
  <c r="AA42" i="52"/>
  <c r="AJ42" i="52" s="1"/>
  <c r="AD126" i="56"/>
  <c r="AE121" i="56"/>
  <c r="AF52" i="53"/>
  <c r="AI52" i="53"/>
  <c r="AF91" i="62"/>
  <c r="AI91" i="62"/>
  <c r="AI102" i="62"/>
  <c r="AF102" i="62"/>
  <c r="AF84" i="17"/>
  <c r="AF159" i="17"/>
  <c r="AK56" i="9"/>
  <c r="AH47" i="9"/>
  <c r="AH35" i="9"/>
  <c r="AM70" i="9"/>
  <c r="AA64" i="9"/>
  <c r="AF64" i="9" s="1"/>
  <c r="K106" i="9"/>
  <c r="K102" i="9"/>
  <c r="K98" i="9"/>
  <c r="K96" i="9"/>
  <c r="AA113" i="9"/>
  <c r="AI113" i="9" s="1"/>
  <c r="AB35" i="39"/>
  <c r="AI61" i="39"/>
  <c r="AB57" i="39"/>
  <c r="AH103" i="39"/>
  <c r="AE106" i="39"/>
  <c r="AG126" i="39"/>
  <c r="AF140" i="39"/>
  <c r="AL58" i="51"/>
  <c r="AK50" i="51"/>
  <c r="AK69" i="51"/>
  <c r="AK83" i="51"/>
  <c r="AA97" i="51"/>
  <c r="K97" i="51"/>
  <c r="AI39" i="55"/>
  <c r="AF59" i="55"/>
  <c r="AH119" i="55"/>
  <c r="K76" i="52"/>
  <c r="AA76" i="52"/>
  <c r="AJ76" i="52" s="1"/>
  <c r="AA147" i="17"/>
  <c r="AI147" i="17" s="1"/>
  <c r="AA146" i="17"/>
  <c r="S148" i="17"/>
  <c r="AE144" i="17"/>
  <c r="AA110" i="9"/>
  <c r="AA94" i="9"/>
  <c r="AK99" i="9"/>
  <c r="AE35" i="39"/>
  <c r="AE47" i="39"/>
  <c r="AE85" i="39"/>
  <c r="AA94" i="39"/>
  <c r="AI94" i="39" s="1"/>
  <c r="AH101" i="39"/>
  <c r="AI110" i="39"/>
  <c r="AH119" i="39"/>
  <c r="AA122" i="39"/>
  <c r="AL106" i="51"/>
  <c r="AL92" i="51"/>
  <c r="AL64" i="51"/>
  <c r="AL67" i="51"/>
  <c r="AL48" i="51"/>
  <c r="AL76" i="51"/>
  <c r="AL80" i="51"/>
  <c r="AL88" i="51"/>
  <c r="AL38" i="51"/>
  <c r="AL56" i="51"/>
  <c r="AK58" i="51"/>
  <c r="AL53" i="51"/>
  <c r="AL45" i="51"/>
  <c r="AK41" i="51"/>
  <c r="AA65" i="51"/>
  <c r="K65" i="51"/>
  <c r="AA82" i="51"/>
  <c r="AL79" i="51"/>
  <c r="AK103" i="51"/>
  <c r="AL96" i="51"/>
  <c r="K55" i="52"/>
  <c r="AA68" i="53"/>
  <c r="AI68" i="53" s="1"/>
  <c r="K68" i="53"/>
  <c r="AI41" i="56"/>
  <c r="AB75" i="56"/>
  <c r="AA52" i="56"/>
  <c r="AA43" i="56"/>
  <c r="AF92" i="56"/>
  <c r="AF100" i="56"/>
  <c r="AI109" i="56"/>
  <c r="AM65" i="53"/>
  <c r="AK68" i="53"/>
  <c r="AF67" i="57"/>
  <c r="AB67" i="57"/>
  <c r="AI45" i="57"/>
  <c r="AB45" i="57"/>
  <c r="T126" i="57"/>
  <c r="T127" i="57" s="1"/>
  <c r="AF40" i="62"/>
  <c r="AA35" i="63"/>
  <c r="K35" i="63"/>
  <c r="AA38" i="54"/>
  <c r="K38" i="54"/>
  <c r="AB56" i="54"/>
  <c r="AN56" i="54" s="1"/>
  <c r="AF56" i="54"/>
  <c r="AI56" i="54"/>
  <c r="AA43" i="39"/>
  <c r="U126" i="39"/>
  <c r="U127" i="39" s="1"/>
  <c r="T126" i="39"/>
  <c r="T127" i="39" s="1"/>
  <c r="AN66" i="51"/>
  <c r="K96" i="51"/>
  <c r="AA20" i="55"/>
  <c r="AB87" i="55" s="1"/>
  <c r="AF56" i="55"/>
  <c r="AI56" i="55"/>
  <c r="AI102" i="55"/>
  <c r="X126" i="55"/>
  <c r="X127" i="55" s="1"/>
  <c r="P126" i="55"/>
  <c r="P127" i="55" s="1"/>
  <c r="AA141" i="55"/>
  <c r="Z16" i="52"/>
  <c r="K53" i="52"/>
  <c r="K37" i="52"/>
  <c r="AA50" i="52"/>
  <c r="AK45" i="52"/>
  <c r="AK64" i="52"/>
  <c r="AK84" i="52"/>
  <c r="AB36" i="56"/>
  <c r="AF41" i="56"/>
  <c r="AI39" i="56"/>
  <c r="AB51" i="56"/>
  <c r="AI51" i="56"/>
  <c r="AF57" i="56"/>
  <c r="AI56" i="56"/>
  <c r="AB67" i="56"/>
  <c r="AA72" i="56"/>
  <c r="AB99" i="56"/>
  <c r="AB111" i="56"/>
  <c r="AB114" i="56"/>
  <c r="AL55" i="53"/>
  <c r="AK52" i="53"/>
  <c r="AK38" i="53"/>
  <c r="AF45" i="57"/>
  <c r="AI67" i="57"/>
  <c r="AF103" i="57"/>
  <c r="AB103" i="57"/>
  <c r="AF106" i="57"/>
  <c r="AI106" i="57"/>
  <c r="AB106" i="57"/>
  <c r="AA55" i="61"/>
  <c r="K55" i="61"/>
  <c r="AI60" i="62"/>
  <c r="AI70" i="62"/>
  <c r="AF62" i="62"/>
  <c r="AI62" i="62"/>
  <c r="AI51" i="62"/>
  <c r="AB51" i="62"/>
  <c r="AF51" i="62"/>
  <c r="Z16" i="63"/>
  <c r="AA16" i="63"/>
  <c r="AA38" i="63"/>
  <c r="K38" i="63"/>
  <c r="AA70" i="63"/>
  <c r="AI70" i="63" s="1"/>
  <c r="K70" i="63"/>
  <c r="AI68" i="63"/>
  <c r="AF68" i="63"/>
  <c r="AB76" i="63"/>
  <c r="AI76" i="63"/>
  <c r="AB102" i="55"/>
  <c r="AA121" i="55"/>
  <c r="AM67" i="52"/>
  <c r="AH72" i="52"/>
  <c r="AA19" i="56"/>
  <c r="AF39" i="56"/>
  <c r="AI49" i="56"/>
  <c r="AB61" i="56"/>
  <c r="AF56" i="56"/>
  <c r="AA94" i="56"/>
  <c r="AI94" i="56" s="1"/>
  <c r="AB103" i="56"/>
  <c r="AB106" i="56"/>
  <c r="AB118" i="56"/>
  <c r="V126" i="56"/>
  <c r="V127" i="56" s="1"/>
  <c r="AH72" i="53"/>
  <c r="AF65" i="57"/>
  <c r="AB65" i="57"/>
  <c r="AF101" i="57"/>
  <c r="AI111" i="57"/>
  <c r="AF111" i="57"/>
  <c r="AB111" i="57"/>
  <c r="AL87" i="61"/>
  <c r="AL64" i="61"/>
  <c r="AL37" i="61"/>
  <c r="AL45" i="61"/>
  <c r="AL53" i="61"/>
  <c r="AL83" i="61"/>
  <c r="AL79" i="61"/>
  <c r="AL43" i="61"/>
  <c r="AL51" i="61"/>
  <c r="AL52" i="61"/>
  <c r="AL67" i="61"/>
  <c r="AA51" i="63"/>
  <c r="K51" i="63"/>
  <c r="K48" i="63"/>
  <c r="AA48" i="63"/>
  <c r="W126" i="55"/>
  <c r="W127" i="55" s="1"/>
  <c r="AA122" i="55"/>
  <c r="AH122" i="55"/>
  <c r="AA19" i="52"/>
  <c r="AB78" i="52" s="1"/>
  <c r="AL54" i="52"/>
  <c r="AL38" i="52"/>
  <c r="AL70" i="52"/>
  <c r="AB49" i="56"/>
  <c r="T126" i="56"/>
  <c r="T127" i="56" s="1"/>
  <c r="AK88" i="53"/>
  <c r="AK62" i="53"/>
  <c r="AK84" i="53"/>
  <c r="AM69" i="53"/>
  <c r="AN69" i="53"/>
  <c r="AI119" i="57"/>
  <c r="AF119" i="57"/>
  <c r="AA67" i="61"/>
  <c r="AI67" i="61" s="1"/>
  <c r="K67" i="61"/>
  <c r="AA63" i="61"/>
  <c r="K63" i="61"/>
  <c r="AA76" i="61"/>
  <c r="AI76" i="61" s="1"/>
  <c r="K76" i="61"/>
  <c r="AA81" i="62"/>
  <c r="AI80" i="62"/>
  <c r="AF80" i="62"/>
  <c r="AB80" i="62"/>
  <c r="AI38" i="62"/>
  <c r="AF38" i="62"/>
  <c r="AB38" i="62"/>
  <c r="AA54" i="63"/>
  <c r="K54" i="63"/>
  <c r="K36" i="63"/>
  <c r="AA36" i="63"/>
  <c r="AI36" i="63" s="1"/>
  <c r="AN63" i="63"/>
  <c r="AM63" i="63"/>
  <c r="AK72" i="51"/>
  <c r="AA93" i="55"/>
  <c r="AB101" i="55"/>
  <c r="AI115" i="55"/>
  <c r="V126" i="55"/>
  <c r="V127" i="55" s="1"/>
  <c r="U126" i="55"/>
  <c r="U127" i="55" s="1"/>
  <c r="AG126" i="55"/>
  <c r="AA38" i="52"/>
  <c r="AI38" i="52" s="1"/>
  <c r="AK48" i="52"/>
  <c r="AN70" i="52"/>
  <c r="AM68" i="52"/>
  <c r="AE72" i="52"/>
  <c r="AI36" i="56"/>
  <c r="AI47" i="56"/>
  <c r="AI61" i="56"/>
  <c r="AA93" i="56"/>
  <c r="AB102" i="56"/>
  <c r="AF111" i="56"/>
  <c r="AB117" i="56"/>
  <c r="AF118" i="56"/>
  <c r="AA55" i="53"/>
  <c r="AK58" i="53"/>
  <c r="AK54" i="53"/>
  <c r="AL50" i="53"/>
  <c r="AK41" i="53"/>
  <c r="AK36" i="53"/>
  <c r="AK70" i="53"/>
  <c r="AA53" i="57"/>
  <c r="AF49" i="57"/>
  <c r="AA52" i="57"/>
  <c r="AI52" i="57" s="1"/>
  <c r="AI49" i="57"/>
  <c r="AF100" i="57"/>
  <c r="AI100" i="57"/>
  <c r="AI118" i="57"/>
  <c r="AF118" i="57"/>
  <c r="AB118" i="57"/>
  <c r="X126" i="57"/>
  <c r="X127" i="57" s="1"/>
  <c r="P126" i="57"/>
  <c r="P127" i="57" s="1"/>
  <c r="AL56" i="61"/>
  <c r="K70" i="61"/>
  <c r="K80" i="61"/>
  <c r="K77" i="61"/>
  <c r="K58" i="63"/>
  <c r="K55" i="63"/>
  <c r="AF87" i="63"/>
  <c r="AI87" i="63"/>
  <c r="AF92" i="55"/>
  <c r="AA125" i="55"/>
  <c r="AB125" i="55" s="1"/>
  <c r="AA124" i="55"/>
  <c r="AA123" i="55"/>
  <c r="T126" i="55"/>
  <c r="T127" i="55" s="1"/>
  <c r="AF49" i="56"/>
  <c r="AB79" i="56"/>
  <c r="AA53" i="56"/>
  <c r="AA42" i="56"/>
  <c r="AB109" i="56"/>
  <c r="AI106" i="56"/>
  <c r="AG126" i="56"/>
  <c r="AL79" i="53"/>
  <c r="AL76" i="53"/>
  <c r="AL37" i="53"/>
  <c r="AL47" i="53"/>
  <c r="AI36" i="53"/>
  <c r="AL66" i="53"/>
  <c r="AK80" i="53"/>
  <c r="AF80" i="57"/>
  <c r="AA62" i="57"/>
  <c r="AF59" i="57"/>
  <c r="AA63" i="57"/>
  <c r="AI59" i="57"/>
  <c r="AB59" i="57"/>
  <c r="AF48" i="57"/>
  <c r="AB48" i="57"/>
  <c r="AF37" i="57"/>
  <c r="AI37" i="57"/>
  <c r="AF108" i="57"/>
  <c r="AA52" i="61"/>
  <c r="AM66" i="61"/>
  <c r="AN66" i="61"/>
  <c r="AI88" i="63"/>
  <c r="AF88" i="63"/>
  <c r="AI86" i="58"/>
  <c r="AF86" i="58"/>
  <c r="AF75" i="58"/>
  <c r="AI75" i="58"/>
  <c r="AA62" i="58"/>
  <c r="AF61" i="58"/>
  <c r="AI61" i="58"/>
  <c r="Y126" i="56"/>
  <c r="Y127" i="56" s="1"/>
  <c r="Q126" i="56"/>
  <c r="Q127" i="56" s="1"/>
  <c r="AA16" i="53"/>
  <c r="AM66" i="53"/>
  <c r="AI36" i="57"/>
  <c r="AF36" i="57"/>
  <c r="AB36" i="57"/>
  <c r="AI107" i="57"/>
  <c r="AH121" i="57"/>
  <c r="AG126" i="57"/>
  <c r="AG127" i="57" s="1"/>
  <c r="AI77" i="61"/>
  <c r="AF77" i="61"/>
  <c r="AA20" i="63"/>
  <c r="AJ88" i="63" s="1"/>
  <c r="AB80" i="64"/>
  <c r="AF80" i="64"/>
  <c r="AB59" i="64"/>
  <c r="AI59" i="64"/>
  <c r="AF59" i="64"/>
  <c r="AI48" i="64"/>
  <c r="AB48" i="64"/>
  <c r="AI130" i="64"/>
  <c r="AA146" i="64"/>
  <c r="AF130" i="64"/>
  <c r="AI138" i="64"/>
  <c r="AF138" i="64"/>
  <c r="AG121" i="54"/>
  <c r="AH72" i="54"/>
  <c r="AB75" i="57"/>
  <c r="AF75" i="57"/>
  <c r="AF83" i="57"/>
  <c r="W126" i="57"/>
  <c r="W127" i="57" s="1"/>
  <c r="O126" i="57"/>
  <c r="AA141" i="57"/>
  <c r="AI141" i="57" s="1"/>
  <c r="AK55" i="61"/>
  <c r="AK47" i="61"/>
  <c r="AK39" i="61"/>
  <c r="AK63" i="61"/>
  <c r="AF39" i="62"/>
  <c r="AI35" i="62"/>
  <c r="AB47" i="62"/>
  <c r="AI47" i="62"/>
  <c r="AF58" i="62"/>
  <c r="AI56" i="62"/>
  <c r="AI66" i="62"/>
  <c r="AI77" i="62"/>
  <c r="AA72" i="62"/>
  <c r="AB101" i="62"/>
  <c r="AI107" i="62"/>
  <c r="AI114" i="62"/>
  <c r="AA124" i="62"/>
  <c r="U126" i="62"/>
  <c r="U127" i="62" s="1"/>
  <c r="AG126" i="62"/>
  <c r="AI130" i="62"/>
  <c r="AK56" i="63"/>
  <c r="AK45" i="63"/>
  <c r="AK41" i="63"/>
  <c r="AL37" i="63"/>
  <c r="K69" i="63"/>
  <c r="AM67" i="63"/>
  <c r="AL67" i="63"/>
  <c r="AL72" i="63"/>
  <c r="AB61" i="64"/>
  <c r="AI78" i="64"/>
  <c r="AI107" i="64"/>
  <c r="AB107" i="64"/>
  <c r="AF107" i="64"/>
  <c r="AI52" i="54"/>
  <c r="AB52" i="54"/>
  <c r="AL79" i="54"/>
  <c r="AI98" i="54"/>
  <c r="AA36" i="11"/>
  <c r="K36" i="11"/>
  <c r="AB61" i="62"/>
  <c r="AF101" i="62"/>
  <c r="V126" i="62"/>
  <c r="V127" i="62" s="1"/>
  <c r="AI56" i="63"/>
  <c r="AB68" i="64"/>
  <c r="AI68" i="64"/>
  <c r="AF36" i="64"/>
  <c r="AB36" i="64"/>
  <c r="AF117" i="64"/>
  <c r="AI117" i="64"/>
  <c r="R126" i="64"/>
  <c r="R127" i="64" s="1"/>
  <c r="K39" i="54"/>
  <c r="AA39" i="54"/>
  <c r="AA63" i="58"/>
  <c r="AF59" i="58"/>
  <c r="AE82" i="11"/>
  <c r="AE43" i="11"/>
  <c r="AE84" i="11"/>
  <c r="AE88" i="11"/>
  <c r="AE78" i="11"/>
  <c r="AE47" i="11"/>
  <c r="AA16" i="57"/>
  <c r="AA19" i="57"/>
  <c r="AK78" i="61"/>
  <c r="AB87" i="62"/>
  <c r="AI111" i="62"/>
  <c r="AA125" i="62"/>
  <c r="AB125" i="62" s="1"/>
  <c r="AA19" i="63"/>
  <c r="AA40" i="63"/>
  <c r="AL62" i="63"/>
  <c r="AN68" i="63"/>
  <c r="AL77" i="63"/>
  <c r="AB49" i="64"/>
  <c r="K46" i="54"/>
  <c r="AA44" i="54"/>
  <c r="AF52" i="54"/>
  <c r="AL52" i="54"/>
  <c r="AL47" i="54"/>
  <c r="AM66" i="54"/>
  <c r="AI88" i="54"/>
  <c r="AF88" i="54"/>
  <c r="K102" i="54"/>
  <c r="AF117" i="54"/>
  <c r="AI117" i="54"/>
  <c r="AA122" i="58"/>
  <c r="AF122" i="58" s="1"/>
  <c r="AE35" i="11"/>
  <c r="AI74" i="11"/>
  <c r="AF74" i="11"/>
  <c r="AM64" i="53"/>
  <c r="K84" i="53"/>
  <c r="AI99" i="57"/>
  <c r="AM65" i="61"/>
  <c r="AN65" i="61"/>
  <c r="Z16" i="62"/>
  <c r="AF78" i="62"/>
  <c r="AF87" i="62"/>
  <c r="AI100" i="62"/>
  <c r="AF116" i="62"/>
  <c r="AD126" i="62"/>
  <c r="AA141" i="62"/>
  <c r="AI141" i="62" s="1"/>
  <c r="AL51" i="63"/>
  <c r="AA19" i="64"/>
  <c r="AB57" i="64"/>
  <c r="AF61" i="64"/>
  <c r="AF85" i="64"/>
  <c r="AF99" i="64"/>
  <c r="AA43" i="54"/>
  <c r="K67" i="54"/>
  <c r="K84" i="54"/>
  <c r="K111" i="54"/>
  <c r="AI114" i="54"/>
  <c r="V126" i="58"/>
  <c r="V127" i="58" s="1"/>
  <c r="U126" i="58"/>
  <c r="U127" i="58" s="1"/>
  <c r="AA19" i="11"/>
  <c r="AB91" i="11" s="1"/>
  <c r="AA43" i="11"/>
  <c r="K43" i="11"/>
  <c r="AK72" i="53"/>
  <c r="AA42" i="57"/>
  <c r="AA124" i="57"/>
  <c r="S126" i="57"/>
  <c r="S127" i="57" s="1"/>
  <c r="AK68" i="61"/>
  <c r="AI61" i="62"/>
  <c r="AB71" i="62"/>
  <c r="AB85" i="62"/>
  <c r="AI87" i="62"/>
  <c r="AF109" i="62"/>
  <c r="Z126" i="62"/>
  <c r="Z127" i="62" s="1"/>
  <c r="R126" i="62"/>
  <c r="R127" i="62" s="1"/>
  <c r="Y126" i="62"/>
  <c r="Y127" i="62" s="1"/>
  <c r="Q126" i="62"/>
  <c r="Q127" i="62" s="1"/>
  <c r="AE121" i="62"/>
  <c r="AF132" i="62"/>
  <c r="AK58" i="63"/>
  <c r="AL54" i="63"/>
  <c r="AL43" i="63"/>
  <c r="AM68" i="63"/>
  <c r="AM66" i="63"/>
  <c r="AK76" i="63"/>
  <c r="AB46" i="64"/>
  <c r="AB103" i="64"/>
  <c r="AB98" i="64"/>
  <c r="AF115" i="64"/>
  <c r="K50" i="54"/>
  <c r="AL51" i="54"/>
  <c r="AA65" i="54"/>
  <c r="K103" i="54"/>
  <c r="AF99" i="58"/>
  <c r="AA124" i="58"/>
  <c r="K44" i="11"/>
  <c r="AE51" i="11"/>
  <c r="AM61" i="11"/>
  <c r="AA141" i="64"/>
  <c r="AA88" i="64"/>
  <c r="AA74" i="64"/>
  <c r="AF72" i="64"/>
  <c r="AF50" i="64"/>
  <c r="AI50" i="64"/>
  <c r="AF98" i="64"/>
  <c r="AL99" i="54"/>
  <c r="AL101" i="54"/>
  <c r="AL93" i="54"/>
  <c r="AL87" i="54"/>
  <c r="AL43" i="54"/>
  <c r="AL96" i="54"/>
  <c r="AL90" i="54"/>
  <c r="AL117" i="54"/>
  <c r="AL109" i="54"/>
  <c r="AL64" i="54"/>
  <c r="AL68" i="54"/>
  <c r="AL39" i="54"/>
  <c r="AL82" i="54"/>
  <c r="AL69" i="54"/>
  <c r="AL35" i="54"/>
  <c r="AB84" i="54"/>
  <c r="AM84" i="54" s="1"/>
  <c r="AI84" i="54"/>
  <c r="AF84" i="54"/>
  <c r="AA50" i="11"/>
  <c r="AI50" i="11" s="1"/>
  <c r="K50" i="11"/>
  <c r="AA56" i="11"/>
  <c r="K56" i="11"/>
  <c r="AA63" i="11"/>
  <c r="K63" i="11"/>
  <c r="AA74" i="59"/>
  <c r="AI72" i="59"/>
  <c r="AF72" i="59"/>
  <c r="AN75" i="65"/>
  <c r="AM75" i="65"/>
  <c r="AF108" i="62"/>
  <c r="AA20" i="64"/>
  <c r="AB85" i="64"/>
  <c r="AI83" i="64"/>
  <c r="AB83" i="64"/>
  <c r="AB71" i="64"/>
  <c r="AI71" i="64"/>
  <c r="AF114" i="64"/>
  <c r="AI114" i="64"/>
  <c r="AL44" i="54"/>
  <c r="AL36" i="54"/>
  <c r="AL104" i="54"/>
  <c r="AF115" i="59"/>
  <c r="AA85" i="65"/>
  <c r="AI71" i="66"/>
  <c r="AF71" i="66"/>
  <c r="AI102" i="66"/>
  <c r="AF102" i="66"/>
  <c r="AA118" i="66"/>
  <c r="AA35" i="67"/>
  <c r="K35" i="67"/>
  <c r="AI40" i="69"/>
  <c r="AF40" i="69"/>
  <c r="AM46" i="69"/>
  <c r="AA111" i="70"/>
  <c r="AA46" i="15"/>
  <c r="AI46" i="15" s="1"/>
  <c r="K46" i="15"/>
  <c r="AI34" i="19"/>
  <c r="AB34" i="19"/>
  <c r="AL73" i="21"/>
  <c r="AL48" i="21"/>
  <c r="AL56" i="21"/>
  <c r="AL65" i="21"/>
  <c r="AL39" i="21"/>
  <c r="AL42" i="21"/>
  <c r="AL34" i="21"/>
  <c r="AL62" i="21"/>
  <c r="AL51" i="21"/>
  <c r="AI41" i="21"/>
  <c r="AF41" i="21"/>
  <c r="K72" i="23"/>
  <c r="AA72" i="23"/>
  <c r="K69" i="23"/>
  <c r="AA69" i="23"/>
  <c r="AN71" i="23"/>
  <c r="AM71" i="23"/>
  <c r="K59" i="29"/>
  <c r="AA59" i="29"/>
  <c r="AI59" i="29" s="1"/>
  <c r="AI42" i="30"/>
  <c r="AF42" i="30"/>
  <c r="AA81" i="64"/>
  <c r="AA73" i="64"/>
  <c r="V126" i="64"/>
  <c r="V127" i="64" s="1"/>
  <c r="AE45" i="54"/>
  <c r="AH55" i="54"/>
  <c r="K81" i="54"/>
  <c r="AE105" i="54"/>
  <c r="AH113" i="54"/>
  <c r="AH100" i="54"/>
  <c r="AI35" i="58"/>
  <c r="AI51" i="58"/>
  <c r="AE67" i="58"/>
  <c r="AA82" i="58"/>
  <c r="AI91" i="58"/>
  <c r="AE117" i="58"/>
  <c r="AF132" i="58"/>
  <c r="AH50" i="11"/>
  <c r="AH43" i="11"/>
  <c r="AL35" i="11"/>
  <c r="K55" i="11"/>
  <c r="K85" i="11"/>
  <c r="AA20" i="59"/>
  <c r="AB87" i="59" s="1"/>
  <c r="AE38" i="59"/>
  <c r="AF39" i="59"/>
  <c r="AH45" i="59"/>
  <c r="AI50" i="59"/>
  <c r="AE57" i="59"/>
  <c r="AF71" i="59"/>
  <c r="AI71" i="59"/>
  <c r="AF83" i="59"/>
  <c r="AE85" i="59"/>
  <c r="AA62" i="59"/>
  <c r="AA143" i="59"/>
  <c r="AF91" i="59"/>
  <c r="AH111" i="59"/>
  <c r="AE115" i="59"/>
  <c r="AA141" i="59"/>
  <c r="AI141" i="59" s="1"/>
  <c r="AI138" i="59"/>
  <c r="K45" i="65"/>
  <c r="AK48" i="65"/>
  <c r="AK44" i="65"/>
  <c r="AL39" i="65"/>
  <c r="AM65" i="65"/>
  <c r="AA84" i="65"/>
  <c r="AI84" i="65" s="1"/>
  <c r="B29" i="67"/>
  <c r="AF47" i="68"/>
  <c r="AI47" i="68"/>
  <c r="AI36" i="68"/>
  <c r="AF36" i="68"/>
  <c r="AB67" i="70"/>
  <c r="AA62" i="70"/>
  <c r="AB61" i="70"/>
  <c r="AB39" i="70"/>
  <c r="AF39" i="70"/>
  <c r="AI39" i="70"/>
  <c r="AI84" i="70"/>
  <c r="AF84" i="70"/>
  <c r="AB97" i="70"/>
  <c r="AF97" i="70"/>
  <c r="AI97" i="70"/>
  <c r="AC62" i="24"/>
  <c r="AA38" i="18"/>
  <c r="K38" i="18"/>
  <c r="AE68" i="20"/>
  <c r="AE38" i="20"/>
  <c r="AE56" i="20"/>
  <c r="AE34" i="20"/>
  <c r="AE57" i="20"/>
  <c r="AE35" i="20"/>
  <c r="AE52" i="20"/>
  <c r="AE63" i="20"/>
  <c r="AA123" i="58"/>
  <c r="AH42" i="11"/>
  <c r="AH35" i="11"/>
  <c r="AE37" i="59"/>
  <c r="AE56" i="59"/>
  <c r="U126" i="59"/>
  <c r="U127" i="59" s="1"/>
  <c r="AK52" i="65"/>
  <c r="AL47" i="65"/>
  <c r="AK39" i="65"/>
  <c r="AK62" i="65"/>
  <c r="AN63" i="65"/>
  <c r="AF75" i="65"/>
  <c r="AK83" i="65"/>
  <c r="AA97" i="65"/>
  <c r="AF97" i="65" s="1"/>
  <c r="K97" i="65"/>
  <c r="AA72" i="66"/>
  <c r="AA73" i="66" s="1"/>
  <c r="AI69" i="66"/>
  <c r="AB38" i="66"/>
  <c r="AI38" i="66"/>
  <c r="AA120" i="66"/>
  <c r="AA142" i="66"/>
  <c r="AF128" i="66"/>
  <c r="AA42" i="67"/>
  <c r="K42" i="67"/>
  <c r="AA38" i="69"/>
  <c r="K38" i="69"/>
  <c r="AK73" i="15"/>
  <c r="AK63" i="15"/>
  <c r="AK47" i="15"/>
  <c r="AK58" i="15"/>
  <c r="AK35" i="15"/>
  <c r="AK46" i="15"/>
  <c r="AK39" i="15"/>
  <c r="AK70" i="15"/>
  <c r="AK55" i="15"/>
  <c r="AK62" i="15"/>
  <c r="AK40" i="15"/>
  <c r="Z57" i="24"/>
  <c r="S58" i="24"/>
  <c r="U126" i="64"/>
  <c r="U127" i="64" s="1"/>
  <c r="AE57" i="54"/>
  <c r="AM67" i="54"/>
  <c r="AH97" i="54"/>
  <c r="AA143" i="58"/>
  <c r="AI94" i="58"/>
  <c r="AE103" i="58"/>
  <c r="AA40" i="11"/>
  <c r="AI48" i="11"/>
  <c r="AH41" i="11"/>
  <c r="AA78" i="11"/>
  <c r="AF78" i="11" s="1"/>
  <c r="AH38" i="59"/>
  <c r="AF37" i="59"/>
  <c r="AF69" i="59"/>
  <c r="AI69" i="59"/>
  <c r="AI78" i="59"/>
  <c r="AH85" i="59"/>
  <c r="AE119" i="59"/>
  <c r="AF132" i="59"/>
  <c r="AK47" i="65"/>
  <c r="AK65" i="65"/>
  <c r="AK74" i="65"/>
  <c r="K91" i="65"/>
  <c r="AH109" i="65"/>
  <c r="AA16" i="66"/>
  <c r="AA54" i="67"/>
  <c r="K54" i="67"/>
  <c r="AI104" i="68"/>
  <c r="AF104" i="68"/>
  <c r="AG112" i="68"/>
  <c r="AH112" i="68" s="1"/>
  <c r="AH108" i="68"/>
  <c r="AN46" i="15"/>
  <c r="AK60" i="15"/>
  <c r="Z35" i="24"/>
  <c r="K35" i="24"/>
  <c r="AH47" i="24"/>
  <c r="AA47" i="24"/>
  <c r="AL47" i="24" s="1"/>
  <c r="AE47" i="24"/>
  <c r="AH43" i="24"/>
  <c r="AE43" i="24"/>
  <c r="AA43" i="24"/>
  <c r="AA36" i="18"/>
  <c r="K36" i="18"/>
  <c r="K64" i="20"/>
  <c r="AA64" i="20"/>
  <c r="AF64" i="20" s="1"/>
  <c r="K62" i="20"/>
  <c r="AA62" i="20"/>
  <c r="K60" i="20"/>
  <c r="AA60" i="20"/>
  <c r="AA52" i="22"/>
  <c r="K52" i="22"/>
  <c r="AL52" i="36"/>
  <c r="AL46" i="36"/>
  <c r="AL53" i="36"/>
  <c r="AL61" i="36"/>
  <c r="AL37" i="36"/>
  <c r="AL57" i="36"/>
  <c r="AK72" i="54"/>
  <c r="AA102" i="54"/>
  <c r="AF102" i="54" s="1"/>
  <c r="AF51" i="58"/>
  <c r="AB71" i="58"/>
  <c r="AF106" i="58"/>
  <c r="AA121" i="58"/>
  <c r="AD126" i="58"/>
  <c r="AA20" i="11"/>
  <c r="AJ44" i="11" s="1"/>
  <c r="AI60" i="11"/>
  <c r="AH89" i="11"/>
  <c r="AH59" i="59"/>
  <c r="Z126" i="59"/>
  <c r="Z127" i="59" s="1"/>
  <c r="R126" i="59"/>
  <c r="R127" i="59" s="1"/>
  <c r="Y126" i="59"/>
  <c r="Y127" i="59" s="1"/>
  <c r="Q126" i="59"/>
  <c r="Q127" i="59" s="1"/>
  <c r="K43" i="65"/>
  <c r="AK56" i="65"/>
  <c r="AL42" i="65"/>
  <c r="AK38" i="65"/>
  <c r="K61" i="65"/>
  <c r="AM67" i="65"/>
  <c r="K87" i="65"/>
  <c r="K74" i="65"/>
  <c r="AK81" i="65"/>
  <c r="AB105" i="65"/>
  <c r="AI98" i="65"/>
  <c r="AI42" i="66"/>
  <c r="AF49" i="66"/>
  <c r="AF58" i="66"/>
  <c r="AI98" i="66"/>
  <c r="AF98" i="66"/>
  <c r="AA121" i="66"/>
  <c r="AL37" i="67"/>
  <c r="AL50" i="67"/>
  <c r="AL39" i="67"/>
  <c r="AL47" i="67"/>
  <c r="AL55" i="67"/>
  <c r="AL42" i="67"/>
  <c r="K55" i="67"/>
  <c r="K37" i="67"/>
  <c r="AA119" i="68"/>
  <c r="AF41" i="68"/>
  <c r="AB41" i="68"/>
  <c r="AI89" i="68"/>
  <c r="AF89" i="68"/>
  <c r="AI103" i="68"/>
  <c r="AF103" i="68"/>
  <c r="AB103" i="68"/>
  <c r="AA110" i="68"/>
  <c r="W112" i="68"/>
  <c r="W113" i="68" s="1"/>
  <c r="AA108" i="68"/>
  <c r="AI108" i="68" s="1"/>
  <c r="AA37" i="15"/>
  <c r="AK37" i="15"/>
  <c r="K64" i="21"/>
  <c r="AA64" i="21"/>
  <c r="AI77" i="64"/>
  <c r="AF101" i="64"/>
  <c r="AF119" i="64"/>
  <c r="AA121" i="64"/>
  <c r="AA19" i="54"/>
  <c r="AH57" i="54"/>
  <c r="AH48" i="54"/>
  <c r="K79" i="54"/>
  <c r="AH105" i="54"/>
  <c r="G53" i="58"/>
  <c r="AE85" i="58"/>
  <c r="AF94" i="58"/>
  <c r="AE124" i="58"/>
  <c r="AG126" i="58"/>
  <c r="K47" i="11"/>
  <c r="AH47" i="11"/>
  <c r="AH40" i="11"/>
  <c r="K61" i="11"/>
  <c r="AM55" i="11"/>
  <c r="AN60" i="11"/>
  <c r="AN61" i="11"/>
  <c r="K86" i="11"/>
  <c r="AH35" i="59"/>
  <c r="AE48" i="59"/>
  <c r="AH55" i="59"/>
  <c r="AB71" i="59"/>
  <c r="AF67" i="59"/>
  <c r="AI67" i="59"/>
  <c r="AF87" i="59"/>
  <c r="AF98" i="59"/>
  <c r="AH100" i="59"/>
  <c r="AF108" i="59"/>
  <c r="AH123" i="59"/>
  <c r="B29" i="65"/>
  <c r="K53" i="65"/>
  <c r="K37" i="65"/>
  <c r="AL55" i="65"/>
  <c r="AL50" i="65"/>
  <c r="AK42" i="65"/>
  <c r="AH38" i="65"/>
  <c r="K78" i="65"/>
  <c r="AK88" i="65"/>
  <c r="AI81" i="65"/>
  <c r="AF98" i="65"/>
  <c r="AF47" i="66"/>
  <c r="AI55" i="66"/>
  <c r="AF55" i="66"/>
  <c r="AI126" i="66"/>
  <c r="AA49" i="67"/>
  <c r="K49" i="67"/>
  <c r="AI68" i="68"/>
  <c r="AI75" i="68"/>
  <c r="AA78" i="68"/>
  <c r="AA77" i="68"/>
  <c r="AA79" i="68" s="1"/>
  <c r="AA20" i="69"/>
  <c r="AJ53" i="69" s="1"/>
  <c r="AK54" i="69"/>
  <c r="AK45" i="69"/>
  <c r="AK37" i="69"/>
  <c r="AI92" i="70"/>
  <c r="AF92" i="70"/>
  <c r="AB92" i="70"/>
  <c r="P112" i="70"/>
  <c r="P113" i="70" s="1"/>
  <c r="AH65" i="15"/>
  <c r="AH36" i="15"/>
  <c r="AK50" i="15"/>
  <c r="AF61" i="15"/>
  <c r="AI61" i="15"/>
  <c r="X58" i="24"/>
  <c r="P58" i="24"/>
  <c r="K53" i="18"/>
  <c r="AA53" i="18"/>
  <c r="AF53" i="18" s="1"/>
  <c r="AF55" i="18"/>
  <c r="AI55" i="18"/>
  <c r="AI38" i="19"/>
  <c r="AB38" i="19"/>
  <c r="AK64" i="22"/>
  <c r="AK54" i="22"/>
  <c r="AK68" i="22"/>
  <c r="AK51" i="22"/>
  <c r="AK71" i="22"/>
  <c r="AK61" i="22"/>
  <c r="AK36" i="22"/>
  <c r="AK46" i="22"/>
  <c r="K35" i="23"/>
  <c r="AA35" i="23"/>
  <c r="AI35" i="23" s="1"/>
  <c r="K69" i="11"/>
  <c r="AE98" i="59"/>
  <c r="AE108" i="59"/>
  <c r="Z16" i="65"/>
  <c r="K47" i="65"/>
  <c r="AK55" i="65"/>
  <c r="AK50" i="65"/>
  <c r="AK46" i="65"/>
  <c r="AK41" i="65"/>
  <c r="AK36" i="65"/>
  <c r="AL63" i="65"/>
  <c r="K88" i="65"/>
  <c r="K75" i="65"/>
  <c r="AF87" i="65"/>
  <c r="AK105" i="65"/>
  <c r="AI40" i="66"/>
  <c r="AB59" i="66"/>
  <c r="AF106" i="66"/>
  <c r="AI106" i="66"/>
  <c r="AD122" i="66"/>
  <c r="AD123" i="66" s="1"/>
  <c r="AA20" i="68"/>
  <c r="K49" i="69"/>
  <c r="K46" i="69"/>
  <c r="K40" i="69"/>
  <c r="AA20" i="70"/>
  <c r="AB83" i="70" s="1"/>
  <c r="AI56" i="70"/>
  <c r="AB56" i="70"/>
  <c r="AI45" i="70"/>
  <c r="AB45" i="70"/>
  <c r="AK69" i="15"/>
  <c r="AD39" i="24"/>
  <c r="AD36" i="24"/>
  <c r="AH45" i="24"/>
  <c r="AE45" i="24"/>
  <c r="AE69" i="58"/>
  <c r="AA144" i="58"/>
  <c r="T126" i="58"/>
  <c r="T127" i="58" s="1"/>
  <c r="AH38" i="11"/>
  <c r="AE45" i="59"/>
  <c r="AF65" i="59"/>
  <c r="AI65" i="59"/>
  <c r="AB78" i="59"/>
  <c r="AA81" i="59"/>
  <c r="AF116" i="59"/>
  <c r="AA123" i="59"/>
  <c r="AK49" i="65"/>
  <c r="AL66" i="65"/>
  <c r="AK63" i="65"/>
  <c r="AM66" i="65"/>
  <c r="K103" i="65"/>
  <c r="AK94" i="65"/>
  <c r="AI60" i="66"/>
  <c r="X122" i="66"/>
  <c r="X123" i="66" s="1"/>
  <c r="P122" i="66"/>
  <c r="P123" i="66" s="1"/>
  <c r="AA47" i="67"/>
  <c r="K47" i="67"/>
  <c r="AI70" i="68"/>
  <c r="AB70" i="68"/>
  <c r="AA62" i="68"/>
  <c r="AI59" i="68"/>
  <c r="AF38" i="68"/>
  <c r="AI38" i="68"/>
  <c r="K37" i="69"/>
  <c r="AA37" i="69"/>
  <c r="AF56" i="70"/>
  <c r="AI67" i="70"/>
  <c r="AI77" i="70"/>
  <c r="AA79" i="70"/>
  <c r="AB103" i="70"/>
  <c r="AF103" i="70"/>
  <c r="X112" i="70"/>
  <c r="X113" i="70" s="1"/>
  <c r="AA39" i="15"/>
  <c r="K39" i="15"/>
  <c r="AA59" i="15"/>
  <c r="AI59" i="15" s="1"/>
  <c r="K59" i="15"/>
  <c r="AF56" i="15"/>
  <c r="AD40" i="24"/>
  <c r="Z49" i="24"/>
  <c r="Z55" i="24"/>
  <c r="AB35" i="18"/>
  <c r="AB58" i="19"/>
  <c r="AF58" i="19"/>
  <c r="AB62" i="21"/>
  <c r="AF62" i="21"/>
  <c r="AI62" i="21"/>
  <c r="AE56" i="66"/>
  <c r="AH75" i="66"/>
  <c r="AA86" i="66"/>
  <c r="AB109" i="66"/>
  <c r="AB113" i="66"/>
  <c r="AH116" i="66"/>
  <c r="T122" i="66"/>
  <c r="T123" i="66" s="1"/>
  <c r="S115" i="68"/>
  <c r="AF88" i="68"/>
  <c r="AI97" i="68"/>
  <c r="AF102" i="68"/>
  <c r="AA109" i="68"/>
  <c r="Z16" i="69"/>
  <c r="B62" i="69"/>
  <c r="AB36" i="70"/>
  <c r="AA42" i="70"/>
  <c r="AI83" i="70"/>
  <c r="U112" i="70"/>
  <c r="U113" i="70" s="1"/>
  <c r="AA35" i="15"/>
  <c r="AF35" i="15" s="1"/>
  <c r="AE58" i="15"/>
  <c r="AK43" i="24"/>
  <c r="AK36" i="24"/>
  <c r="AE39" i="24"/>
  <c r="V62" i="24"/>
  <c r="N62" i="24"/>
  <c r="Z56" i="24"/>
  <c r="Z60" i="24"/>
  <c r="AA45" i="18"/>
  <c r="AF45" i="18" s="1"/>
  <c r="B29" i="19"/>
  <c r="AA41" i="22"/>
  <c r="AB41" i="22" s="1"/>
  <c r="K41" i="22"/>
  <c r="AA56" i="22"/>
  <c r="AK98" i="23"/>
  <c r="AK63" i="23"/>
  <c r="AK67" i="23"/>
  <c r="AK69" i="23"/>
  <c r="AK34" i="23"/>
  <c r="AK47" i="23"/>
  <c r="AK52" i="23"/>
  <c r="AK77" i="23"/>
  <c r="AK61" i="23"/>
  <c r="AK39" i="23"/>
  <c r="AK53" i="23"/>
  <c r="AK71" i="23"/>
  <c r="AK36" i="23"/>
  <c r="AK44" i="23"/>
  <c r="AK89" i="23"/>
  <c r="AK59" i="23"/>
  <c r="AK72" i="23"/>
  <c r="AK37" i="23"/>
  <c r="AK50" i="23"/>
  <c r="AK42" i="23"/>
  <c r="AK46" i="23"/>
  <c r="AA37" i="23"/>
  <c r="K37" i="23"/>
  <c r="K60" i="23"/>
  <c r="AA60" i="23"/>
  <c r="AK64" i="23"/>
  <c r="AK81" i="23"/>
  <c r="K39" i="25"/>
  <c r="AA39" i="25"/>
  <c r="K46" i="26"/>
  <c r="AA46" i="26"/>
  <c r="AH34" i="27"/>
  <c r="AH36" i="27"/>
  <c r="AH45" i="27"/>
  <c r="Y122" i="66"/>
  <c r="Y123" i="66" s="1"/>
  <c r="Q122" i="66"/>
  <c r="Q123" i="66" s="1"/>
  <c r="AH120" i="66"/>
  <c r="Z16" i="67"/>
  <c r="K53" i="67"/>
  <c r="K46" i="67"/>
  <c r="K39" i="67"/>
  <c r="AH35" i="67"/>
  <c r="AA111" i="68"/>
  <c r="K54" i="69"/>
  <c r="AL52" i="69"/>
  <c r="AL46" i="69"/>
  <c r="AI38" i="70"/>
  <c r="AF60" i="70"/>
  <c r="AF75" i="70"/>
  <c r="AA78" i="70"/>
  <c r="V112" i="70"/>
  <c r="V113" i="70" s="1"/>
  <c r="Z16" i="15"/>
  <c r="K65" i="15"/>
  <c r="AE72" i="15"/>
  <c r="Y62" i="24"/>
  <c r="Q62" i="24"/>
  <c r="AK67" i="19"/>
  <c r="AK64" i="19"/>
  <c r="AK37" i="19"/>
  <c r="AK41" i="19"/>
  <c r="AK56" i="19"/>
  <c r="AK50" i="19"/>
  <c r="AA36" i="19"/>
  <c r="AI36" i="19" s="1"/>
  <c r="K36" i="19"/>
  <c r="AA16" i="21"/>
  <c r="Z16" i="21"/>
  <c r="AN47" i="21"/>
  <c r="AA34" i="22"/>
  <c r="AB71" i="22"/>
  <c r="AM71" i="22" s="1"/>
  <c r="AK80" i="23"/>
  <c r="AE80" i="23"/>
  <c r="AG115" i="68"/>
  <c r="AA19" i="69"/>
  <c r="AI36" i="70"/>
  <c r="AB47" i="70"/>
  <c r="AA72" i="70"/>
  <c r="AF104" i="70"/>
  <c r="K38" i="15"/>
  <c r="K57" i="15"/>
  <c r="S62" i="24"/>
  <c r="W62" i="24"/>
  <c r="O62" i="24"/>
  <c r="K54" i="20"/>
  <c r="AA54" i="20"/>
  <c r="AF63" i="20"/>
  <c r="AB63" i="20"/>
  <c r="AI63" i="20"/>
  <c r="AF67" i="20"/>
  <c r="AI67" i="20"/>
  <c r="AF42" i="22"/>
  <c r="AI42" i="22"/>
  <c r="AB42" i="22"/>
  <c r="AN42" i="22" s="1"/>
  <c r="AM38" i="22"/>
  <c r="AA47" i="23"/>
  <c r="K47" i="23"/>
  <c r="K44" i="23"/>
  <c r="AA44" i="23"/>
  <c r="AK86" i="23"/>
  <c r="AA61" i="28"/>
  <c r="AH62" i="29"/>
  <c r="AH53" i="29"/>
  <c r="AH69" i="29"/>
  <c r="AH71" i="29"/>
  <c r="AH55" i="29"/>
  <c r="AH35" i="29"/>
  <c r="AH40" i="29"/>
  <c r="AH46" i="29"/>
  <c r="AH74" i="29"/>
  <c r="AH57" i="29"/>
  <c r="AH41" i="29"/>
  <c r="AH45" i="29"/>
  <c r="AA43" i="34"/>
  <c r="K43" i="34"/>
  <c r="AK46" i="35"/>
  <c r="AD48" i="35"/>
  <c r="AE48" i="35" s="1"/>
  <c r="AH69" i="66"/>
  <c r="AA140" i="66"/>
  <c r="AH112" i="66"/>
  <c r="W122" i="66"/>
  <c r="W123" i="66" s="1"/>
  <c r="O122" i="66"/>
  <c r="V122" i="66"/>
  <c r="V123" i="66" s="1"/>
  <c r="AA19" i="67"/>
  <c r="K51" i="67"/>
  <c r="AA72" i="68"/>
  <c r="AA118" i="68"/>
  <c r="S112" i="68"/>
  <c r="S113" i="68" s="1"/>
  <c r="AA16" i="69"/>
  <c r="AL55" i="69"/>
  <c r="AL39" i="69"/>
  <c r="AF38" i="70"/>
  <c r="AA118" i="70"/>
  <c r="AB90" i="70"/>
  <c r="AB95" i="70"/>
  <c r="AF95" i="70"/>
  <c r="Z112" i="70"/>
  <c r="Z113" i="70" s="1"/>
  <c r="R112" i="70"/>
  <c r="R113" i="70" s="1"/>
  <c r="AD49" i="24"/>
  <c r="AA51" i="19"/>
  <c r="AI37" i="20"/>
  <c r="AF37" i="20"/>
  <c r="AN55" i="21"/>
  <c r="AM50" i="21"/>
  <c r="AN50" i="21"/>
  <c r="AA46" i="22"/>
  <c r="K46" i="22"/>
  <c r="AF49" i="22"/>
  <c r="AA62" i="22"/>
  <c r="K62" i="22"/>
  <c r="Z16" i="23"/>
  <c r="AA16" i="23"/>
  <c r="AA50" i="23"/>
  <c r="AI50" i="23" s="1"/>
  <c r="K50" i="23"/>
  <c r="AI43" i="23"/>
  <c r="AF43" i="23"/>
  <c r="AB43" i="23"/>
  <c r="AA64" i="23"/>
  <c r="AF64" i="23" s="1"/>
  <c r="K64" i="23"/>
  <c r="AM63" i="23"/>
  <c r="AI73" i="23"/>
  <c r="AK92" i="23"/>
  <c r="AE92" i="23"/>
  <c r="AA66" i="26"/>
  <c r="K66" i="26"/>
  <c r="K55" i="26"/>
  <c r="AA55" i="26"/>
  <c r="K53" i="26"/>
  <c r="AA53" i="26"/>
  <c r="AI53" i="26" s="1"/>
  <c r="AI57" i="26"/>
  <c r="AF57" i="26"/>
  <c r="U58" i="24"/>
  <c r="K38" i="20"/>
  <c r="AA38" i="20"/>
  <c r="AI38" i="20" s="1"/>
  <c r="AA49" i="20"/>
  <c r="AB49" i="20" s="1"/>
  <c r="K49" i="20"/>
  <c r="AJ40" i="21"/>
  <c r="AA93" i="23"/>
  <c r="V96" i="23"/>
  <c r="V100" i="23" s="1"/>
  <c r="K44" i="25"/>
  <c r="AA44" i="25"/>
  <c r="AB44" i="25" s="1"/>
  <c r="AN44" i="25" s="1"/>
  <c r="AB40" i="25"/>
  <c r="AM40" i="25" s="1"/>
  <c r="AI40" i="25"/>
  <c r="AA36" i="26"/>
  <c r="K36" i="26"/>
  <c r="AK37" i="27"/>
  <c r="AK41" i="27"/>
  <c r="AK45" i="27"/>
  <c r="AA20" i="67"/>
  <c r="AK38" i="67"/>
  <c r="AA16" i="68"/>
  <c r="AH82" i="70"/>
  <c r="AF99" i="70"/>
  <c r="AI98" i="70"/>
  <c r="K61" i="15"/>
  <c r="K55" i="15"/>
  <c r="AK39" i="24"/>
  <c r="X62" i="24"/>
  <c r="P62" i="24"/>
  <c r="AK48" i="24"/>
  <c r="AJ50" i="19"/>
  <c r="AM41" i="20"/>
  <c r="AA52" i="20"/>
  <c r="K52" i="20"/>
  <c r="AA20" i="21"/>
  <c r="AJ73" i="21" s="1"/>
  <c r="AA54" i="21"/>
  <c r="K54" i="21"/>
  <c r="K52" i="21"/>
  <c r="AA52" i="21"/>
  <c r="AF52" i="21" s="1"/>
  <c r="Z16" i="22"/>
  <c r="AN54" i="22"/>
  <c r="AD75" i="22"/>
  <c r="AE56" i="22"/>
  <c r="AA60" i="22"/>
  <c r="AI60" i="22" s="1"/>
  <c r="K60" i="22"/>
  <c r="AA74" i="22"/>
  <c r="AI71" i="22"/>
  <c r="AM49" i="19"/>
  <c r="AL56" i="19"/>
  <c r="AL34" i="20"/>
  <c r="AL55" i="20"/>
  <c r="AN51" i="21"/>
  <c r="AN49" i="21"/>
  <c r="AK62" i="21"/>
  <c r="AM51" i="22"/>
  <c r="AL61" i="22"/>
  <c r="AM72" i="23"/>
  <c r="AN61" i="23"/>
  <c r="AM56" i="23"/>
  <c r="AN64" i="23"/>
  <c r="AE81" i="23"/>
  <c r="AE62" i="26"/>
  <c r="AE38" i="26"/>
  <c r="AE39" i="26"/>
  <c r="AE53" i="26"/>
  <c r="AE74" i="26"/>
  <c r="AE47" i="26"/>
  <c r="AA63" i="26"/>
  <c r="K63" i="26"/>
  <c r="AA61" i="26"/>
  <c r="K61" i="26"/>
  <c r="AI39" i="27"/>
  <c r="AL44" i="28"/>
  <c r="AL41" i="28"/>
  <c r="AA20" i="29"/>
  <c r="AK51" i="34"/>
  <c r="AE51" i="34"/>
  <c r="AA16" i="19"/>
  <c r="AL42" i="19"/>
  <c r="AL38" i="19"/>
  <c r="AL35" i="19"/>
  <c r="AL62" i="19"/>
  <c r="AL66" i="19"/>
  <c r="AK34" i="20"/>
  <c r="AL54" i="20"/>
  <c r="AK55" i="21"/>
  <c r="AK49" i="21"/>
  <c r="AK47" i="21"/>
  <c r="AL55" i="22"/>
  <c r="AL53" i="22"/>
  <c r="AM50" i="22"/>
  <c r="K68" i="22"/>
  <c r="K42" i="23"/>
  <c r="K39" i="23"/>
  <c r="AA52" i="23"/>
  <c r="AF52" i="23" s="1"/>
  <c r="AM66" i="23"/>
  <c r="AA61" i="23"/>
  <c r="AA94" i="23"/>
  <c r="AI94" i="23" s="1"/>
  <c r="AA86" i="23"/>
  <c r="AI86" i="23" s="1"/>
  <c r="AA78" i="23"/>
  <c r="AI78" i="23" s="1"/>
  <c r="AA36" i="25"/>
  <c r="K36" i="25"/>
  <c r="AK45" i="25"/>
  <c r="AL51" i="30"/>
  <c r="AL67" i="30"/>
  <c r="AL69" i="30"/>
  <c r="AL39" i="30"/>
  <c r="AL36" i="30"/>
  <c r="AL44" i="30"/>
  <c r="AA61" i="30"/>
  <c r="K61" i="30"/>
  <c r="AA20" i="35"/>
  <c r="K54" i="36"/>
  <c r="AA54" i="36"/>
  <c r="AA20" i="23"/>
  <c r="AA77" i="23"/>
  <c r="AK85" i="23"/>
  <c r="AE85" i="23"/>
  <c r="AK39" i="25"/>
  <c r="AK34" i="25"/>
  <c r="AK48" i="25"/>
  <c r="AK37" i="25"/>
  <c r="K35" i="29"/>
  <c r="AA35" i="29"/>
  <c r="AI35" i="29" s="1"/>
  <c r="AA60" i="29"/>
  <c r="Y66" i="33"/>
  <c r="Y65" i="33"/>
  <c r="AH64" i="33"/>
  <c r="AG66" i="33"/>
  <c r="Z40" i="24"/>
  <c r="AG40" i="24"/>
  <c r="R62" i="24"/>
  <c r="T58" i="24"/>
  <c r="T62" i="24"/>
  <c r="AG60" i="24"/>
  <c r="Z16" i="18"/>
  <c r="Z16" i="19"/>
  <c r="AL44" i="19"/>
  <c r="AL34" i="19"/>
  <c r="AM50" i="19"/>
  <c r="AL51" i="19"/>
  <c r="K36" i="20"/>
  <c r="AH44" i="20"/>
  <c r="AK53" i="20"/>
  <c r="K44" i="21"/>
  <c r="K41" i="21"/>
  <c r="AK38" i="21"/>
  <c r="K56" i="21"/>
  <c r="AK74" i="21"/>
  <c r="K37" i="22"/>
  <c r="AL42" i="22"/>
  <c r="AL34" i="22"/>
  <c r="K54" i="22"/>
  <c r="AN48" i="22"/>
  <c r="AH56" i="22"/>
  <c r="K53" i="23"/>
  <c r="AA48" i="23"/>
  <c r="AA40" i="23"/>
  <c r="AM64" i="23"/>
  <c r="AM59" i="23"/>
  <c r="AN59" i="23"/>
  <c r="AM57" i="23"/>
  <c r="AK90" i="23"/>
  <c r="AK78" i="23"/>
  <c r="AA16" i="26"/>
  <c r="AA41" i="26"/>
  <c r="K41" i="26"/>
  <c r="AA52" i="26"/>
  <c r="AI52" i="26" s="1"/>
  <c r="AA43" i="27"/>
  <c r="K43" i="27"/>
  <c r="AA48" i="28"/>
  <c r="K48" i="28"/>
  <c r="AA16" i="29"/>
  <c r="Z16" i="29"/>
  <c r="AA19" i="34"/>
  <c r="AN38" i="34"/>
  <c r="AM38" i="34"/>
  <c r="AA57" i="35"/>
  <c r="AI63" i="36"/>
  <c r="AF63" i="36"/>
  <c r="AA19" i="20"/>
  <c r="AM42" i="20"/>
  <c r="AA55" i="20"/>
  <c r="AF55" i="20" s="1"/>
  <c r="K63" i="20"/>
  <c r="AM52" i="21"/>
  <c r="AM71" i="21"/>
  <c r="AA19" i="22"/>
  <c r="AM74" i="23"/>
  <c r="AA88" i="23"/>
  <c r="AA80" i="23"/>
  <c r="AA85" i="23"/>
  <c r="AA83" i="23"/>
  <c r="AK84" i="23"/>
  <c r="AB48" i="25"/>
  <c r="AN48" i="25" s="1"/>
  <c r="AI48" i="25"/>
  <c r="AK42" i="25"/>
  <c r="AA44" i="26"/>
  <c r="K44" i="26"/>
  <c r="Z66" i="28"/>
  <c r="R66" i="28"/>
  <c r="AA64" i="30"/>
  <c r="K64" i="30"/>
  <c r="AI53" i="30"/>
  <c r="AH34" i="31"/>
  <c r="AH35" i="31"/>
  <c r="AH36" i="31"/>
  <c r="AA20" i="20"/>
  <c r="AN53" i="22"/>
  <c r="AL62" i="22"/>
  <c r="AN63" i="23"/>
  <c r="AF65" i="23"/>
  <c r="AM73" i="23"/>
  <c r="AK94" i="23"/>
  <c r="AA56" i="26"/>
  <c r="K56" i="26"/>
  <c r="AI50" i="26"/>
  <c r="AB50" i="26"/>
  <c r="AA20" i="27"/>
  <c r="AJ39" i="27" s="1"/>
  <c r="AA41" i="27"/>
  <c r="K41" i="27"/>
  <c r="AM57" i="34"/>
  <c r="AN57" i="34"/>
  <c r="AH39" i="36"/>
  <c r="AI58" i="36"/>
  <c r="AN58" i="23"/>
  <c r="AA89" i="23"/>
  <c r="AB89" i="23" s="1"/>
  <c r="AA81" i="23"/>
  <c r="U96" i="23"/>
  <c r="U100" i="23" s="1"/>
  <c r="Y96" i="23"/>
  <c r="Y100" i="23" s="1"/>
  <c r="Q96" i="23"/>
  <c r="Q100" i="23" s="1"/>
  <c r="AL46" i="25"/>
  <c r="AL37" i="25"/>
  <c r="AH44" i="26"/>
  <c r="AH68" i="26"/>
  <c r="AL60" i="26"/>
  <c r="AH51" i="26"/>
  <c r="AA16" i="27"/>
  <c r="AA19" i="27"/>
  <c r="AB38" i="27" s="1"/>
  <c r="AE34" i="27"/>
  <c r="AK36" i="28"/>
  <c r="AK52" i="28"/>
  <c r="AE60" i="28"/>
  <c r="AI57" i="28"/>
  <c r="AA38" i="29"/>
  <c r="AE35" i="29"/>
  <c r="AA71" i="29"/>
  <c r="AF71" i="29" s="1"/>
  <c r="AK65" i="29"/>
  <c r="AA20" i="30"/>
  <c r="AE65" i="30"/>
  <c r="AE50" i="30"/>
  <c r="AK66" i="30"/>
  <c r="AK51" i="30"/>
  <c r="AA34" i="31"/>
  <c r="AK37" i="31"/>
  <c r="AA20" i="32"/>
  <c r="AA51" i="33"/>
  <c r="AI51" i="33" s="1"/>
  <c r="AA39" i="33"/>
  <c r="AI39" i="33" s="1"/>
  <c r="AL47" i="33"/>
  <c r="AL39" i="33"/>
  <c r="AK35" i="34"/>
  <c r="AH38" i="36"/>
  <c r="AL37" i="26"/>
  <c r="AL43" i="26"/>
  <c r="AL67" i="26"/>
  <c r="AL58" i="26"/>
  <c r="AL50" i="26"/>
  <c r="AE44" i="27"/>
  <c r="AK41" i="28"/>
  <c r="AK51" i="28"/>
  <c r="AA19" i="29"/>
  <c r="AA69" i="29"/>
  <c r="AE45" i="30"/>
  <c r="AF38" i="30"/>
  <c r="AK44" i="30"/>
  <c r="AK36" i="30"/>
  <c r="K69" i="30"/>
  <c r="K53" i="30"/>
  <c r="AE49" i="30"/>
  <c r="AE35" i="31"/>
  <c r="K57" i="33"/>
  <c r="K50" i="33"/>
  <c r="K45" i="33"/>
  <c r="AA59" i="33"/>
  <c r="AI59" i="33" s="1"/>
  <c r="AL34" i="33"/>
  <c r="AA35" i="35"/>
  <c r="AF41" i="35"/>
  <c r="K45" i="35"/>
  <c r="AA62" i="35"/>
  <c r="AA20" i="36"/>
  <c r="AJ59" i="36" s="1"/>
  <c r="K57" i="36"/>
  <c r="AH57" i="36"/>
  <c r="V66" i="28"/>
  <c r="AK49" i="28"/>
  <c r="AL53" i="28"/>
  <c r="AF56" i="28"/>
  <c r="AA47" i="29"/>
  <c r="AA77" i="29" s="1"/>
  <c r="AL44" i="29"/>
  <c r="AA20" i="31"/>
  <c r="AH36" i="32"/>
  <c r="AA58" i="33"/>
  <c r="AB58" i="33" s="1"/>
  <c r="AM58" i="33" s="1"/>
  <c r="Z16" i="34"/>
  <c r="AI38" i="34"/>
  <c r="AK50" i="34"/>
  <c r="AH48" i="36"/>
  <c r="AL63" i="26"/>
  <c r="AK40" i="28"/>
  <c r="AK48" i="28"/>
  <c r="AE53" i="28"/>
  <c r="K60" i="28"/>
  <c r="K42" i="29"/>
  <c r="AK44" i="29"/>
  <c r="AL36" i="29"/>
  <c r="K52" i="29"/>
  <c r="K42" i="30"/>
  <c r="AA45" i="30"/>
  <c r="AJ45" i="30" s="1"/>
  <c r="AK39" i="30"/>
  <c r="K56" i="30"/>
  <c r="AK69" i="30"/>
  <c r="AK58" i="30"/>
  <c r="Z16" i="31"/>
  <c r="AA39" i="31"/>
  <c r="AA16" i="33"/>
  <c r="K46" i="33"/>
  <c r="K34" i="33"/>
  <c r="AL50" i="33"/>
  <c r="AK57" i="35"/>
  <c r="K40" i="36"/>
  <c r="AE37" i="36"/>
  <c r="K61" i="36"/>
  <c r="AH61" i="36"/>
  <c r="AH53" i="36"/>
  <c r="AN74" i="23"/>
  <c r="P96" i="23"/>
  <c r="P100" i="23" s="1"/>
  <c r="AK88" i="23"/>
  <c r="AK82" i="23"/>
  <c r="AA20" i="25"/>
  <c r="AL43" i="25"/>
  <c r="AL39" i="26"/>
  <c r="AL71" i="26"/>
  <c r="AL55" i="26"/>
  <c r="AE40" i="27"/>
  <c r="AE51" i="28"/>
  <c r="AK59" i="28"/>
  <c r="AE63" i="28"/>
  <c r="AA43" i="29"/>
  <c r="AI43" i="29" s="1"/>
  <c r="AE39" i="29"/>
  <c r="AF67" i="29"/>
  <c r="Z16" i="30"/>
  <c r="AE42" i="30"/>
  <c r="AK46" i="30"/>
  <c r="AK38" i="30"/>
  <c r="AA70" i="30"/>
  <c r="AF56" i="30"/>
  <c r="AK68" i="30"/>
  <c r="AE75" i="30"/>
  <c r="Z16" i="32"/>
  <c r="AM36" i="33"/>
  <c r="AL62" i="33"/>
  <c r="AL56" i="33"/>
  <c r="AL42" i="33"/>
  <c r="AK43" i="34"/>
  <c r="AA63" i="34"/>
  <c r="Z16" i="35"/>
  <c r="K39" i="35"/>
  <c r="AB41" i="35"/>
  <c r="X59" i="35"/>
  <c r="P59" i="35"/>
  <c r="AE35" i="36"/>
  <c r="AE49" i="36"/>
  <c r="AH46" i="36"/>
  <c r="AK60" i="36"/>
  <c r="AK52" i="36"/>
  <c r="S66" i="28"/>
  <c r="AK34" i="31"/>
  <c r="AH37" i="31"/>
  <c r="AD53" i="34"/>
  <c r="AD60" i="34" s="1"/>
  <c r="AE60" i="34" s="1"/>
  <c r="W52" i="35"/>
  <c r="W59" i="35" s="1"/>
  <c r="O52" i="35"/>
  <c r="AD71" i="37"/>
  <c r="AC72" i="37"/>
  <c r="AD72" i="37" s="1"/>
  <c r="X64" i="37"/>
  <c r="X74" i="37" s="1"/>
  <c r="X62" i="37"/>
  <c r="P64" i="37"/>
  <c r="P74" i="37" s="1"/>
  <c r="P62" i="37"/>
  <c r="AI35" i="4"/>
  <c r="AJ35" i="4"/>
  <c r="AB35" i="4"/>
  <c r="AF35" i="4"/>
  <c r="AJ36" i="4"/>
  <c r="AF88" i="4"/>
  <c r="AB88" i="4"/>
  <c r="AI88" i="4"/>
  <c r="AJ88" i="4"/>
  <c r="AF75" i="4"/>
  <c r="AB75" i="4"/>
  <c r="AI75" i="4"/>
  <c r="AJ75" i="4"/>
  <c r="AB34" i="6"/>
  <c r="AB42" i="6"/>
  <c r="AB50" i="6"/>
  <c r="AB37" i="6"/>
  <c r="AB45" i="6"/>
  <c r="AB56" i="6"/>
  <c r="AB60" i="6"/>
  <c r="AB64" i="6"/>
  <c r="AB68" i="6"/>
  <c r="AB39" i="6"/>
  <c r="AB47" i="6"/>
  <c r="AB40" i="6"/>
  <c r="AB48" i="6"/>
  <c r="AI131" i="6"/>
  <c r="AF131" i="6"/>
  <c r="AI123" i="6"/>
  <c r="AF123" i="6"/>
  <c r="AB67" i="6"/>
  <c r="AI144" i="6"/>
  <c r="AF144" i="6"/>
  <c r="AB102" i="6"/>
  <c r="AB94" i="6"/>
  <c r="AB86" i="6"/>
  <c r="AI143" i="6"/>
  <c r="AF143" i="6"/>
  <c r="AI67" i="7"/>
  <c r="AF67" i="7"/>
  <c r="AB39" i="4"/>
  <c r="AI39" i="4"/>
  <c r="AJ39" i="4"/>
  <c r="AF39" i="4"/>
  <c r="AJ95" i="4"/>
  <c r="AF95" i="4"/>
  <c r="AB95" i="4"/>
  <c r="AI95" i="4"/>
  <c r="AI122" i="6"/>
  <c r="AF122" i="6"/>
  <c r="V64" i="37"/>
  <c r="V74" i="37" s="1"/>
  <c r="V62" i="37"/>
  <c r="O71" i="37"/>
  <c r="O72" i="37" s="1"/>
  <c r="Z72" i="37" s="1"/>
  <c r="Z95" i="37"/>
  <c r="AI43" i="4"/>
  <c r="AJ43" i="4"/>
  <c r="AB43" i="4"/>
  <c r="AF43" i="4"/>
  <c r="AF91" i="4"/>
  <c r="AB91" i="4"/>
  <c r="AI91" i="4"/>
  <c r="AJ91" i="4"/>
  <c r="AF137" i="6"/>
  <c r="AI137" i="6"/>
  <c r="AF129" i="6"/>
  <c r="AI129" i="6"/>
  <c r="AF121" i="6"/>
  <c r="AI121" i="6"/>
  <c r="AI150" i="6"/>
  <c r="AF150" i="6"/>
  <c r="AI142" i="6"/>
  <c r="AF142" i="6"/>
  <c r="AF99" i="4"/>
  <c r="AI99" i="4"/>
  <c r="AJ99" i="4"/>
  <c r="AB99" i="4"/>
  <c r="AI130" i="6"/>
  <c r="AF130" i="6"/>
  <c r="AE80" i="37"/>
  <c r="AH80" i="37"/>
  <c r="AE94" i="37"/>
  <c r="AH94" i="37"/>
  <c r="AJ59" i="4"/>
  <c r="AJ67" i="4"/>
  <c r="AJ57" i="4"/>
  <c r="AJ63" i="4"/>
  <c r="AJ40" i="4"/>
  <c r="AJ48" i="4"/>
  <c r="AJ97" i="4"/>
  <c r="AB47" i="4"/>
  <c r="AI47" i="4"/>
  <c r="AJ47" i="4"/>
  <c r="AF47" i="4"/>
  <c r="AJ46" i="4"/>
  <c r="AF64" i="4"/>
  <c r="AB64" i="4"/>
  <c r="AI64" i="4"/>
  <c r="AJ64" i="4"/>
  <c r="AF80" i="4"/>
  <c r="AB80" i="4"/>
  <c r="AI80" i="4"/>
  <c r="AJ80" i="4"/>
  <c r="AB73" i="6"/>
  <c r="AB77" i="6"/>
  <c r="AB85" i="6"/>
  <c r="AB89" i="6"/>
  <c r="AB93" i="6"/>
  <c r="AB97" i="6"/>
  <c r="AB101" i="6"/>
  <c r="AB105" i="6"/>
  <c r="AB109" i="6"/>
  <c r="AB113" i="6"/>
  <c r="AI136" i="6"/>
  <c r="AF136" i="6"/>
  <c r="AI128" i="6"/>
  <c r="AF128" i="6"/>
  <c r="AI120" i="6"/>
  <c r="AF120" i="6"/>
  <c r="AI60" i="4"/>
  <c r="AJ60" i="4"/>
  <c r="AF60" i="4"/>
  <c r="AB60" i="4"/>
  <c r="U64" i="37"/>
  <c r="U74" i="37" s="1"/>
  <c r="U62" i="37"/>
  <c r="AF52" i="37"/>
  <c r="AG52" i="37" s="1"/>
  <c r="AG51" i="37"/>
  <c r="AF72" i="37"/>
  <c r="AG72" i="37" s="1"/>
  <c r="AG71" i="37"/>
  <c r="AI51" i="4"/>
  <c r="AJ51" i="4"/>
  <c r="AB51" i="4"/>
  <c r="AA103" i="4"/>
  <c r="AF51" i="4"/>
  <c r="AJ44" i="4"/>
  <c r="AJ87" i="4"/>
  <c r="AF87" i="4"/>
  <c r="AB87" i="4"/>
  <c r="AI87" i="4"/>
  <c r="AI135" i="6"/>
  <c r="AF135" i="6"/>
  <c r="AI127" i="6"/>
  <c r="AF127" i="6"/>
  <c r="AI119" i="6"/>
  <c r="AF119" i="6"/>
  <c r="AB63" i="6"/>
  <c r="AB55" i="6"/>
  <c r="AB114" i="6"/>
  <c r="AB106" i="6"/>
  <c r="AB98" i="6"/>
  <c r="AB90" i="6"/>
  <c r="AB82" i="6"/>
  <c r="AA102" i="4"/>
  <c r="AF96" i="4"/>
  <c r="AB96" i="4"/>
  <c r="AI96" i="4"/>
  <c r="AJ96" i="4"/>
  <c r="AF83" i="4"/>
  <c r="AB83" i="4"/>
  <c r="AI83" i="4"/>
  <c r="AJ83" i="4"/>
  <c r="AI134" i="6"/>
  <c r="AF134" i="6"/>
  <c r="AI126" i="6"/>
  <c r="AF126" i="6"/>
  <c r="AB62" i="6"/>
  <c r="AB54" i="6"/>
  <c r="AB74" i="6"/>
  <c r="AJ55" i="4"/>
  <c r="AB61" i="6"/>
  <c r="AJ34" i="7"/>
  <c r="AJ51" i="7"/>
  <c r="AJ48" i="7"/>
  <c r="AF40" i="7"/>
  <c r="AB40" i="7"/>
  <c r="AI40" i="7"/>
  <c r="AJ40" i="7"/>
  <c r="AA70" i="7"/>
  <c r="AI68" i="4"/>
  <c r="AJ68" i="4"/>
  <c r="AF68" i="4"/>
  <c r="AB68" i="4"/>
  <c r="AA40" i="37"/>
  <c r="AA41" i="37"/>
  <c r="AJ38" i="4"/>
  <c r="AI56" i="4"/>
  <c r="AB56" i="4"/>
  <c r="AJ56" i="4"/>
  <c r="AF56" i="4"/>
  <c r="AJ79" i="4"/>
  <c r="AF79" i="4"/>
  <c r="AB79" i="4"/>
  <c r="AI79" i="4"/>
  <c r="AI100" i="4"/>
  <c r="AJ100" i="4"/>
  <c r="AF100" i="4"/>
  <c r="AB100" i="4"/>
  <c r="AF145" i="6"/>
  <c r="AI145" i="6"/>
  <c r="AG49" i="37"/>
  <c r="T61" i="37"/>
  <c r="AF61" i="37"/>
  <c r="AE69" i="37"/>
  <c r="AB50" i="4"/>
  <c r="AB46" i="4"/>
  <c r="AB42" i="4"/>
  <c r="AB38" i="4"/>
  <c r="AB70" i="4"/>
  <c r="AB66" i="4"/>
  <c r="AB62" i="4"/>
  <c r="AB58" i="4"/>
  <c r="AJ70" i="4"/>
  <c r="AJ62" i="4"/>
  <c r="AE95" i="4"/>
  <c r="AE91" i="4"/>
  <c r="AE87" i="4"/>
  <c r="AE83" i="4"/>
  <c r="AE79" i="4"/>
  <c r="AE75" i="4"/>
  <c r="AE99" i="4"/>
  <c r="AD17" i="6"/>
  <c r="AD18" i="6" s="1"/>
  <c r="AA149" i="6"/>
  <c r="AA141" i="6"/>
  <c r="AA133" i="6"/>
  <c r="AA125" i="6"/>
  <c r="AE48" i="7"/>
  <c r="AE38" i="7"/>
  <c r="AA45" i="7"/>
  <c r="AF37" i="7"/>
  <c r="AB37" i="7"/>
  <c r="AJ37" i="7"/>
  <c r="AI60" i="7"/>
  <c r="AF60" i="7"/>
  <c r="AB60" i="7"/>
  <c r="AF58" i="7"/>
  <c r="AI65" i="7"/>
  <c r="AF65" i="7"/>
  <c r="AB43" i="16"/>
  <c r="AF43" i="16"/>
  <c r="AI43" i="16"/>
  <c r="AI78" i="16"/>
  <c r="AF78" i="16"/>
  <c r="AB78" i="16"/>
  <c r="B4" i="6"/>
  <c r="AD16" i="6"/>
  <c r="B4" i="7"/>
  <c r="I21" i="7" s="1"/>
  <c r="Z16" i="7"/>
  <c r="AA16" i="7"/>
  <c r="AD17" i="7"/>
  <c r="AD18" i="7" s="1"/>
  <c r="AF44" i="7"/>
  <c r="AB44" i="7"/>
  <c r="AI44" i="7"/>
  <c r="AF36" i="7"/>
  <c r="AB36" i="7"/>
  <c r="AI36" i="7"/>
  <c r="AI61" i="7"/>
  <c r="AF61" i="7"/>
  <c r="AI59" i="7"/>
  <c r="AF59" i="7"/>
  <c r="AB59" i="7"/>
  <c r="AI58" i="7"/>
  <c r="AA68" i="7"/>
  <c r="AB75" i="16"/>
  <c r="AB79" i="16"/>
  <c r="AB83" i="16"/>
  <c r="AB87" i="16"/>
  <c r="AB42" i="16"/>
  <c r="AB56" i="16"/>
  <c r="AB46" i="16"/>
  <c r="AK93" i="16"/>
  <c r="AK101" i="16"/>
  <c r="AK109" i="16"/>
  <c r="AK117" i="16"/>
  <c r="AK74" i="16"/>
  <c r="AK82" i="16"/>
  <c r="AK63" i="16"/>
  <c r="AK51" i="16"/>
  <c r="AK40" i="16"/>
  <c r="AK48" i="16"/>
  <c r="AK92" i="16"/>
  <c r="AK100" i="16"/>
  <c r="AK108" i="16"/>
  <c r="AK116" i="16"/>
  <c r="AK81" i="16"/>
  <c r="AK89" i="16"/>
  <c r="AK62" i="16"/>
  <c r="AK50" i="16"/>
  <c r="AK37" i="16"/>
  <c r="AK45" i="16"/>
  <c r="AK99" i="16"/>
  <c r="AK107" i="16"/>
  <c r="AK115" i="16"/>
  <c r="AK80" i="16"/>
  <c r="AK88" i="16"/>
  <c r="AK61" i="16"/>
  <c r="AK49" i="16"/>
  <c r="AK42" i="16"/>
  <c r="AK98" i="16"/>
  <c r="AK106" i="16"/>
  <c r="AK114" i="16"/>
  <c r="AK79" i="16"/>
  <c r="AK87" i="16"/>
  <c r="AK60" i="16"/>
  <c r="AK68" i="16"/>
  <c r="AK56" i="16"/>
  <c r="AK39" i="16"/>
  <c r="AK47" i="16"/>
  <c r="AK120" i="16"/>
  <c r="AK97" i="16"/>
  <c r="AK105" i="16"/>
  <c r="AK113" i="16"/>
  <c r="AK78" i="16"/>
  <c r="AK86" i="16"/>
  <c r="AK67" i="16"/>
  <c r="AK55" i="16"/>
  <c r="AK36" i="16"/>
  <c r="AK44" i="16"/>
  <c r="AK119" i="16"/>
  <c r="AK96" i="16"/>
  <c r="AK104" i="16"/>
  <c r="AK112" i="16"/>
  <c r="AK77" i="16"/>
  <c r="AK85" i="16"/>
  <c r="AK66" i="16"/>
  <c r="AK54" i="16"/>
  <c r="AK41" i="16"/>
  <c r="AK95" i="16"/>
  <c r="AK103" i="16"/>
  <c r="AK111" i="16"/>
  <c r="AK76" i="16"/>
  <c r="AK84" i="16"/>
  <c r="AK65" i="16"/>
  <c r="AK53" i="16"/>
  <c r="AK38" i="16"/>
  <c r="AK46" i="16"/>
  <c r="AK94" i="16"/>
  <c r="AK102" i="16"/>
  <c r="AK110" i="16"/>
  <c r="AK75" i="16"/>
  <c r="AK83" i="16"/>
  <c r="AK64" i="16"/>
  <c r="AK52" i="16"/>
  <c r="AK35" i="16"/>
  <c r="AK43" i="16"/>
  <c r="AF53" i="16"/>
  <c r="AB53" i="16"/>
  <c r="AI53" i="16"/>
  <c r="AI49" i="16"/>
  <c r="AF49" i="16"/>
  <c r="AB49" i="16"/>
  <c r="AF68" i="16"/>
  <c r="AI68" i="16"/>
  <c r="AI88" i="16"/>
  <c r="AF88" i="16"/>
  <c r="AB88" i="16"/>
  <c r="AI105" i="16"/>
  <c r="AB105" i="16"/>
  <c r="AF105" i="16"/>
  <c r="AH42" i="37"/>
  <c r="AI70" i="4"/>
  <c r="AI62" i="4"/>
  <c r="AB85" i="4"/>
  <c r="AG17" i="36"/>
  <c r="AG18" i="36" s="1"/>
  <c r="AG17" i="34"/>
  <c r="AG18" i="34" s="1"/>
  <c r="AG17" i="35"/>
  <c r="AG18" i="35" s="1"/>
  <c r="AG17" i="31"/>
  <c r="AG18" i="31" s="1"/>
  <c r="AG17" i="32"/>
  <c r="AG18" i="32" s="1"/>
  <c r="AG17" i="33"/>
  <c r="AG18" i="33" s="1"/>
  <c r="AG17" i="30"/>
  <c r="AG18" i="30" s="1"/>
  <c r="AG17" i="28"/>
  <c r="AG18" i="28" s="1"/>
  <c r="AG17" i="29"/>
  <c r="AG18" i="29" s="1"/>
  <c r="AG17" i="27"/>
  <c r="AG18" i="27" s="1"/>
  <c r="AG17" i="23"/>
  <c r="AG18" i="23" s="1"/>
  <c r="AG17" i="25"/>
  <c r="AG18" i="25" s="1"/>
  <c r="AG17" i="21"/>
  <c r="AG18" i="21" s="1"/>
  <c r="AG17" i="26"/>
  <c r="AG18" i="26" s="1"/>
  <c r="AG17" i="22"/>
  <c r="AG18" i="22" s="1"/>
  <c r="AG17" i="18"/>
  <c r="AG18" i="18" s="1"/>
  <c r="AG17" i="19"/>
  <c r="AG18" i="19" s="1"/>
  <c r="AG17" i="20"/>
  <c r="AG18" i="20" s="1"/>
  <c r="AG17" i="70"/>
  <c r="AG18" i="70" s="1"/>
  <c r="AF17" i="24"/>
  <c r="AF18" i="24" s="1"/>
  <c r="AG17" i="15"/>
  <c r="AG18" i="15" s="1"/>
  <c r="AG17" i="68"/>
  <c r="AG18" i="68" s="1"/>
  <c r="AG17" i="69"/>
  <c r="AG18" i="69" s="1"/>
  <c r="AG17" i="67"/>
  <c r="AG18" i="67" s="1"/>
  <c r="AG17" i="66"/>
  <c r="AG18" i="66" s="1"/>
  <c r="AG17" i="59"/>
  <c r="AG18" i="59" s="1"/>
  <c r="AG17" i="65"/>
  <c r="AG18" i="65" s="1"/>
  <c r="AG17" i="58"/>
  <c r="AG18" i="58" s="1"/>
  <c r="AG17" i="11"/>
  <c r="AG18" i="11" s="1"/>
  <c r="AG17" i="54"/>
  <c r="AG18" i="54" s="1"/>
  <c r="AG17" i="53"/>
  <c r="AG18" i="53" s="1"/>
  <c r="AG17" i="64"/>
  <c r="AG18" i="64" s="1"/>
  <c r="AG17" i="62"/>
  <c r="AG18" i="62" s="1"/>
  <c r="AG17" i="63"/>
  <c r="AG18" i="63" s="1"/>
  <c r="AG17" i="61"/>
  <c r="AG18" i="61" s="1"/>
  <c r="AG17" i="52"/>
  <c r="AG18" i="52" s="1"/>
  <c r="AG17" i="57"/>
  <c r="AG18" i="57" s="1"/>
  <c r="AG17" i="51"/>
  <c r="AG18" i="51" s="1"/>
  <c r="AG17" i="56"/>
  <c r="AG18" i="56" s="1"/>
  <c r="AG17" i="55"/>
  <c r="AG18" i="55" s="1"/>
  <c r="AG17" i="39"/>
  <c r="AG18" i="39" s="1"/>
  <c r="AG17" i="9"/>
  <c r="AG18" i="9" s="1"/>
  <c r="AG17" i="7"/>
  <c r="AG18" i="7" s="1"/>
  <c r="AG17" i="17"/>
  <c r="AG18" i="17" s="1"/>
  <c r="AC17" i="37"/>
  <c r="AC18" i="37" s="1"/>
  <c r="Z43" i="37"/>
  <c r="AA54" i="37" s="1"/>
  <c r="N52" i="37"/>
  <c r="AE49" i="37"/>
  <c r="AG57" i="37"/>
  <c r="AG59" i="37"/>
  <c r="AK83" i="37"/>
  <c r="AD105" i="37"/>
  <c r="AD101" i="37"/>
  <c r="AD97" i="37"/>
  <c r="AG102" i="37"/>
  <c r="AG98" i="37"/>
  <c r="AF50" i="4"/>
  <c r="AF46" i="4"/>
  <c r="AF42" i="4"/>
  <c r="AF38" i="4"/>
  <c r="AI46" i="4"/>
  <c r="AI38" i="4"/>
  <c r="AF70" i="4"/>
  <c r="AF66" i="4"/>
  <c r="AF58" i="4"/>
  <c r="AH70" i="4"/>
  <c r="AH62" i="4"/>
  <c r="AA89" i="4"/>
  <c r="AA81" i="4"/>
  <c r="AA73" i="4"/>
  <c r="AE94" i="4"/>
  <c r="AE90" i="4"/>
  <c r="AE86" i="4"/>
  <c r="AE82" i="4"/>
  <c r="AE78" i="4"/>
  <c r="AE74" i="4"/>
  <c r="AI97" i="4"/>
  <c r="AH96" i="4"/>
  <c r="AK91" i="4"/>
  <c r="AJ90" i="4"/>
  <c r="AH88" i="4"/>
  <c r="AK83" i="4"/>
  <c r="AJ82" i="4"/>
  <c r="AH80" i="4"/>
  <c r="AK75" i="4"/>
  <c r="AJ74" i="4"/>
  <c r="AM100" i="4"/>
  <c r="AF52" i="6"/>
  <c r="AF44" i="6"/>
  <c r="AF36" i="6"/>
  <c r="AI52" i="6"/>
  <c r="AI44" i="6"/>
  <c r="AI36" i="6"/>
  <c r="AB46" i="6"/>
  <c r="AB38" i="6"/>
  <c r="AE106" i="6"/>
  <c r="AE102" i="6"/>
  <c r="AE98" i="6"/>
  <c r="AE94" i="6"/>
  <c r="AE90" i="6"/>
  <c r="AE86" i="6"/>
  <c r="AE82" i="6"/>
  <c r="AE78" i="6"/>
  <c r="AE74" i="6"/>
  <c r="AH115" i="6"/>
  <c r="AH111" i="6"/>
  <c r="AH107" i="6"/>
  <c r="AH103" i="6"/>
  <c r="AH99" i="6"/>
  <c r="AH95" i="6"/>
  <c r="AH87" i="6"/>
  <c r="AH83" i="6"/>
  <c r="AH79" i="6"/>
  <c r="AH75" i="6"/>
  <c r="AA147" i="6"/>
  <c r="AA139" i="6"/>
  <c r="AA20" i="7"/>
  <c r="AB58" i="7" s="1"/>
  <c r="AM48" i="7"/>
  <c r="AM38" i="7"/>
  <c r="AM50" i="7"/>
  <c r="AM36" i="7"/>
  <c r="AM44" i="7"/>
  <c r="AM35" i="7"/>
  <c r="AM43" i="7"/>
  <c r="AM40" i="7"/>
  <c r="AA43" i="7"/>
  <c r="AA35" i="7"/>
  <c r="AM45" i="7"/>
  <c r="AK43" i="7"/>
  <c r="AI37" i="7"/>
  <c r="AK50" i="7"/>
  <c r="AB39" i="16"/>
  <c r="AI39" i="16"/>
  <c r="AF39" i="16"/>
  <c r="AB36" i="16"/>
  <c r="AF36" i="16"/>
  <c r="AI36" i="16"/>
  <c r="AI82" i="16"/>
  <c r="AF82" i="16"/>
  <c r="AB82" i="16"/>
  <c r="AB117" i="16"/>
  <c r="AB101" i="16"/>
  <c r="AB134" i="17"/>
  <c r="AD42" i="37"/>
  <c r="AH37" i="37"/>
  <c r="AD41" i="37"/>
  <c r="T44" i="37"/>
  <c r="Z50" i="37"/>
  <c r="AA50" i="37" s="1"/>
  <c r="B9" i="35"/>
  <c r="B9" i="36"/>
  <c r="B9" i="34"/>
  <c r="B9" i="33"/>
  <c r="B9" i="31"/>
  <c r="B9" i="32"/>
  <c r="B9" i="29"/>
  <c r="B9" i="30"/>
  <c r="B9" i="27"/>
  <c r="B9" i="28"/>
  <c r="B9" i="26"/>
  <c r="B9" i="25"/>
  <c r="B9" i="23"/>
  <c r="B9" i="22"/>
  <c r="B9" i="21"/>
  <c r="B9" i="24"/>
  <c r="B9" i="20"/>
  <c r="B9" i="18"/>
  <c r="B9" i="19"/>
  <c r="B9" i="15"/>
  <c r="B9" i="68"/>
  <c r="B9" i="69"/>
  <c r="B9" i="67"/>
  <c r="B9" i="66"/>
  <c r="B9" i="70"/>
  <c r="B9" i="59"/>
  <c r="B9" i="65"/>
  <c r="B9" i="11"/>
  <c r="B9" i="54"/>
  <c r="B9" i="58"/>
  <c r="B9" i="64"/>
  <c r="B9" i="63"/>
  <c r="B9" i="61"/>
  <c r="B9" i="57"/>
  <c r="B9" i="53"/>
  <c r="B9" i="51"/>
  <c r="B9" i="39"/>
  <c r="B9" i="62"/>
  <c r="B9" i="56"/>
  <c r="B9" i="52"/>
  <c r="B9" i="9"/>
  <c r="B9" i="55"/>
  <c r="B9" i="17"/>
  <c r="B9" i="16"/>
  <c r="S51" i="37"/>
  <c r="S52" i="37" s="1"/>
  <c r="Y61" i="37"/>
  <c r="Q61" i="37"/>
  <c r="AC61" i="37"/>
  <c r="AH63" i="37"/>
  <c r="AD68" i="37"/>
  <c r="AE77" i="37"/>
  <c r="AE87" i="37"/>
  <c r="AA103" i="37"/>
  <c r="AA99" i="37"/>
  <c r="AE104" i="37"/>
  <c r="AE100" i="37"/>
  <c r="AA49" i="4"/>
  <c r="AA45" i="4"/>
  <c r="AA41" i="4"/>
  <c r="AA37" i="4"/>
  <c r="AE50" i="4"/>
  <c r="AE46" i="4"/>
  <c r="AE42" i="4"/>
  <c r="AE38" i="4"/>
  <c r="AH46" i="4"/>
  <c r="AH38" i="4"/>
  <c r="AF55" i="4"/>
  <c r="AA69" i="4"/>
  <c r="AA65" i="4"/>
  <c r="AA61" i="4"/>
  <c r="AE70" i="4"/>
  <c r="AE66" i="4"/>
  <c r="AE62" i="4"/>
  <c r="AE58" i="4"/>
  <c r="AH63" i="4"/>
  <c r="AK58" i="4"/>
  <c r="AF93" i="4"/>
  <c r="AF85" i="4"/>
  <c r="AF77" i="4"/>
  <c r="AH97" i="4"/>
  <c r="AM94" i="4"/>
  <c r="AK92" i="4"/>
  <c r="AI90" i="4"/>
  <c r="AH89" i="4"/>
  <c r="AM86" i="4"/>
  <c r="AK84" i="4"/>
  <c r="AI82" i="4"/>
  <c r="AH81" i="4"/>
  <c r="AM78" i="4"/>
  <c r="AK76" i="4"/>
  <c r="AI74" i="4"/>
  <c r="AH73" i="4"/>
  <c r="AK99" i="4"/>
  <c r="M11" i="6"/>
  <c r="AA16" i="6"/>
  <c r="AE68" i="6"/>
  <c r="AE64" i="6"/>
  <c r="AE60" i="6"/>
  <c r="AE56" i="6"/>
  <c r="AE52" i="6"/>
  <c r="AE48" i="6"/>
  <c r="AE44" i="6"/>
  <c r="AE40" i="6"/>
  <c r="AE36" i="6"/>
  <c r="AH68" i="6"/>
  <c r="AH64" i="6"/>
  <c r="AH56" i="6"/>
  <c r="AH52" i="6"/>
  <c r="AH48" i="6"/>
  <c r="AH44" i="6"/>
  <c r="AH40" i="6"/>
  <c r="AH36" i="6"/>
  <c r="AB59" i="6"/>
  <c r="AB116" i="6"/>
  <c r="AB112" i="6"/>
  <c r="AB108" i="6"/>
  <c r="AB104" i="6"/>
  <c r="AB100" i="6"/>
  <c r="AB96" i="6"/>
  <c r="AB92" i="6"/>
  <c r="AB88" i="6"/>
  <c r="AB84" i="6"/>
  <c r="AB80" i="6"/>
  <c r="AB76" i="6"/>
  <c r="AB72" i="6"/>
  <c r="AF105" i="6"/>
  <c r="AI114" i="6"/>
  <c r="AI110" i="6"/>
  <c r="AI106" i="6"/>
  <c r="AI102" i="6"/>
  <c r="AI98" i="6"/>
  <c r="AI94" i="6"/>
  <c r="AI90" i="6"/>
  <c r="AI86" i="6"/>
  <c r="AI82" i="6"/>
  <c r="AI78" i="6"/>
  <c r="AI74" i="6"/>
  <c r="AA146" i="6"/>
  <c r="AA138" i="6"/>
  <c r="K40" i="7"/>
  <c r="AB42" i="7"/>
  <c r="AK45" i="7"/>
  <c r="AA47" i="7"/>
  <c r="AI56" i="7"/>
  <c r="AF56" i="7"/>
  <c r="AB56" i="7"/>
  <c r="AI52" i="16"/>
  <c r="AF52" i="16"/>
  <c r="AB52" i="16"/>
  <c r="AF62" i="16"/>
  <c r="AI62" i="16"/>
  <c r="AF76" i="16"/>
  <c r="AB76" i="16"/>
  <c r="AI76" i="16"/>
  <c r="AI114" i="16"/>
  <c r="AF114" i="16"/>
  <c r="AB114" i="16"/>
  <c r="AB112" i="16"/>
  <c r="AI112" i="16"/>
  <c r="AF112" i="16"/>
  <c r="AI97" i="16"/>
  <c r="AB97" i="16"/>
  <c r="AF97" i="16"/>
  <c r="S61" i="37"/>
  <c r="AI41" i="37"/>
  <c r="R61" i="37"/>
  <c r="AI36" i="37"/>
  <c r="AK37" i="37"/>
  <c r="AE46" i="37"/>
  <c r="B9" i="37"/>
  <c r="AH36" i="37"/>
  <c r="AK36" i="37"/>
  <c r="AD40" i="37"/>
  <c r="AG41" i="37"/>
  <c r="R44" i="37"/>
  <c r="AD43" i="37"/>
  <c r="X50" i="37"/>
  <c r="P50" i="37"/>
  <c r="AD57" i="37"/>
  <c r="AG63" i="37"/>
  <c r="AA67" i="37"/>
  <c r="AE67" i="37"/>
  <c r="Z71" i="37"/>
  <c r="AD77" i="37"/>
  <c r="AG78" i="37"/>
  <c r="AH83" i="37"/>
  <c r="AD87" i="37"/>
  <c r="AH93" i="37"/>
  <c r="AD104" i="37"/>
  <c r="AD100" i="37"/>
  <c r="AG105" i="37"/>
  <c r="AG101" i="37"/>
  <c r="AG97" i="37"/>
  <c r="B9" i="4"/>
  <c r="AB48" i="4"/>
  <c r="AB44" i="4"/>
  <c r="AB40" i="4"/>
  <c r="AB36" i="4"/>
  <c r="AK50" i="4"/>
  <c r="AH47" i="4"/>
  <c r="AM44" i="4"/>
  <c r="AK42" i="4"/>
  <c r="AH39" i="4"/>
  <c r="AM36" i="4"/>
  <c r="K68" i="4"/>
  <c r="K64" i="4"/>
  <c r="K60" i="4"/>
  <c r="K56" i="4"/>
  <c r="AE55" i="4"/>
  <c r="AK57" i="4"/>
  <c r="AM55" i="4"/>
  <c r="AM69" i="4"/>
  <c r="AK67" i="4"/>
  <c r="AJ66" i="4"/>
  <c r="AH64" i="4"/>
  <c r="AM61" i="4"/>
  <c r="AK59" i="4"/>
  <c r="AJ58" i="4"/>
  <c r="K91" i="4"/>
  <c r="K83" i="4"/>
  <c r="K75" i="4"/>
  <c r="AA92" i="4"/>
  <c r="AA84" i="4"/>
  <c r="AA76" i="4"/>
  <c r="AE97" i="4"/>
  <c r="AE89" i="4"/>
  <c r="AE85" i="4"/>
  <c r="AE81" i="4"/>
  <c r="AE77" i="4"/>
  <c r="AE73" i="4"/>
  <c r="AM95" i="4"/>
  <c r="AK93" i="4"/>
  <c r="AH90" i="4"/>
  <c r="AM87" i="4"/>
  <c r="AK85" i="4"/>
  <c r="AH82" i="4"/>
  <c r="AM79" i="4"/>
  <c r="AK77" i="4"/>
  <c r="AH74" i="4"/>
  <c r="AK100" i="4"/>
  <c r="AF51" i="6"/>
  <c r="AF47" i="6"/>
  <c r="AF43" i="6"/>
  <c r="AF39" i="6"/>
  <c r="AF35" i="6"/>
  <c r="AI51" i="6"/>
  <c r="AI43" i="6"/>
  <c r="AI35" i="6"/>
  <c r="AB52" i="6"/>
  <c r="AB44" i="6"/>
  <c r="AB36" i="6"/>
  <c r="AE109" i="6"/>
  <c r="AE105" i="6"/>
  <c r="AE101" i="6"/>
  <c r="AE97" i="6"/>
  <c r="AE93" i="6"/>
  <c r="AE89" i="6"/>
  <c r="AE85" i="6"/>
  <c r="AE77" i="6"/>
  <c r="AE73" i="6"/>
  <c r="AH114" i="6"/>
  <c r="AH106" i="6"/>
  <c r="AH102" i="6"/>
  <c r="AH94" i="6"/>
  <c r="AH90" i="6"/>
  <c r="AH86" i="6"/>
  <c r="AH82" i="6"/>
  <c r="AH78" i="6"/>
  <c r="AH74" i="6"/>
  <c r="AJ41" i="7"/>
  <c r="AF41" i="7"/>
  <c r="AB41" i="7"/>
  <c r="AE45" i="7"/>
  <c r="AF38" i="7"/>
  <c r="AM34" i="7"/>
  <c r="AI55" i="7"/>
  <c r="AF55" i="7"/>
  <c r="AB55" i="7"/>
  <c r="AF60" i="16"/>
  <c r="AI60" i="16"/>
  <c r="AI86" i="16"/>
  <c r="AF86" i="16"/>
  <c r="AB86" i="16"/>
  <c r="AB117" i="17"/>
  <c r="AG55" i="37"/>
  <c r="B10" i="36"/>
  <c r="B10" i="35"/>
  <c r="B10" i="34"/>
  <c r="B10" i="31"/>
  <c r="B10" i="32"/>
  <c r="B10" i="33"/>
  <c r="B10" i="30"/>
  <c r="B10" i="29"/>
  <c r="B10" i="28"/>
  <c r="B10" i="27"/>
  <c r="B10" i="25"/>
  <c r="B10" i="26"/>
  <c r="B10" i="21"/>
  <c r="B10" i="23"/>
  <c r="B10" i="22"/>
  <c r="B10" i="18"/>
  <c r="B10" i="19"/>
  <c r="B10" i="20"/>
  <c r="B10" i="15"/>
  <c r="B10" i="69"/>
  <c r="B10" i="24"/>
  <c r="B10" i="70"/>
  <c r="B10" i="67"/>
  <c r="B10" i="66"/>
  <c r="B10" i="68"/>
  <c r="B10" i="59"/>
  <c r="B10" i="65"/>
  <c r="B10" i="54"/>
  <c r="B10" i="58"/>
  <c r="B10" i="11"/>
  <c r="B10" i="63"/>
  <c r="B10" i="62"/>
  <c r="B10" i="61"/>
  <c r="B10" i="57"/>
  <c r="B10" i="53"/>
  <c r="B10" i="64"/>
  <c r="B10" i="56"/>
  <c r="B10" i="52"/>
  <c r="B10" i="51"/>
  <c r="B10" i="39"/>
  <c r="B10" i="55"/>
  <c r="B10" i="16"/>
  <c r="B10" i="7"/>
  <c r="B10" i="9"/>
  <c r="B10" i="17"/>
  <c r="AI35" i="37"/>
  <c r="AA39" i="37"/>
  <c r="Y44" i="37"/>
  <c r="Q44" i="37"/>
  <c r="AA46" i="37"/>
  <c r="AK48" i="37"/>
  <c r="AA63" i="37"/>
  <c r="AA55" i="37"/>
  <c r="AH58" i="37"/>
  <c r="AH54" i="37"/>
  <c r="W61" i="37"/>
  <c r="O61" i="37"/>
  <c r="AG69" i="37"/>
  <c r="AK79" i="37"/>
  <c r="AA102" i="37"/>
  <c r="AA98" i="37"/>
  <c r="AE49" i="4"/>
  <c r="AE45" i="4"/>
  <c r="AE37" i="4"/>
  <c r="AJ50" i="4"/>
  <c r="AJ42" i="4"/>
  <c r="AH40" i="4"/>
  <c r="AE69" i="4"/>
  <c r="AE65" i="4"/>
  <c r="AE61" i="4"/>
  <c r="AM70" i="4"/>
  <c r="AK68" i="4"/>
  <c r="AH65" i="4"/>
  <c r="AM62" i="4"/>
  <c r="AK60" i="4"/>
  <c r="AM96" i="4"/>
  <c r="AK94" i="4"/>
  <c r="AJ93" i="4"/>
  <c r="AH91" i="4"/>
  <c r="AM88" i="4"/>
  <c r="AK86" i="4"/>
  <c r="AJ85" i="4"/>
  <c r="AH83" i="4"/>
  <c r="AM80" i="4"/>
  <c r="AK78" i="4"/>
  <c r="AJ77" i="4"/>
  <c r="AH75" i="4"/>
  <c r="AG17" i="6"/>
  <c r="AG18" i="6" s="1"/>
  <c r="AE67" i="6"/>
  <c r="AE63" i="6"/>
  <c r="AE59" i="6"/>
  <c r="AE55" i="6"/>
  <c r="AE51" i="6"/>
  <c r="AE47" i="6"/>
  <c r="AE39" i="6"/>
  <c r="AE35" i="6"/>
  <c r="AB51" i="6"/>
  <c r="AB43" i="6"/>
  <c r="AB35" i="6"/>
  <c r="AB58" i="6"/>
  <c r="AB115" i="6"/>
  <c r="AB111" i="6"/>
  <c r="AB107" i="6"/>
  <c r="AB103" i="6"/>
  <c r="AB99" i="6"/>
  <c r="AB95" i="6"/>
  <c r="AB91" i="6"/>
  <c r="AB87" i="6"/>
  <c r="AB83" i="6"/>
  <c r="AB79" i="6"/>
  <c r="AB75" i="6"/>
  <c r="AK36" i="7"/>
  <c r="AK44" i="7"/>
  <c r="AK34" i="7"/>
  <c r="AK42" i="7"/>
  <c r="AK41" i="7"/>
  <c r="AK48" i="7"/>
  <c r="AK38" i="7"/>
  <c r="AJ36" i="7"/>
  <c r="AH47" i="7"/>
  <c r="AG17" i="16"/>
  <c r="AG18" i="16" s="1"/>
  <c r="AB41" i="16"/>
  <c r="AI41" i="16"/>
  <c r="AF41" i="16"/>
  <c r="AB38" i="16"/>
  <c r="AF51" i="16"/>
  <c r="AB51" i="16"/>
  <c r="AI51" i="16"/>
  <c r="AI80" i="16"/>
  <c r="AF80" i="16"/>
  <c r="AB80" i="16"/>
  <c r="AI106" i="16"/>
  <c r="AF106" i="16"/>
  <c r="AB106" i="16"/>
  <c r="AB104" i="16"/>
  <c r="AI104" i="16"/>
  <c r="AF104" i="16"/>
  <c r="AB36" i="17"/>
  <c r="AB127" i="17"/>
  <c r="AB54" i="17"/>
  <c r="AB45" i="17"/>
  <c r="AB38" i="17"/>
  <c r="AB124" i="17"/>
  <c r="AB128" i="17"/>
  <c r="AB99" i="17"/>
  <c r="AB82" i="17"/>
  <c r="AB73" i="17"/>
  <c r="AB46" i="17"/>
  <c r="AB90" i="17"/>
  <c r="AB74" i="17"/>
  <c r="AB102" i="17"/>
  <c r="AB125" i="17"/>
  <c r="AB80" i="17"/>
  <c r="AB44" i="17"/>
  <c r="AB84" i="17"/>
  <c r="AB48" i="17"/>
  <c r="AB53" i="17"/>
  <c r="AB62" i="17"/>
  <c r="AB57" i="17"/>
  <c r="AB35" i="17"/>
  <c r="AB95" i="17"/>
  <c r="AB66" i="17"/>
  <c r="AB37" i="17"/>
  <c r="AB129" i="17"/>
  <c r="AB121" i="17"/>
  <c r="AD17" i="35"/>
  <c r="AD18" i="35" s="1"/>
  <c r="AD17" i="36"/>
  <c r="AD18" i="36" s="1"/>
  <c r="AD17" i="34"/>
  <c r="AD18" i="34" s="1"/>
  <c r="AD17" i="32"/>
  <c r="AD18" i="32" s="1"/>
  <c r="AD17" i="33"/>
  <c r="AD18" i="33" s="1"/>
  <c r="AD17" i="31"/>
  <c r="AD18" i="31" s="1"/>
  <c r="AD17" i="30"/>
  <c r="AD18" i="30" s="1"/>
  <c r="AD17" i="29"/>
  <c r="AD18" i="29" s="1"/>
  <c r="AD17" i="28"/>
  <c r="AD18" i="28" s="1"/>
  <c r="AD17" i="27"/>
  <c r="AD18" i="27" s="1"/>
  <c r="AD17" i="25"/>
  <c r="AD18" i="25" s="1"/>
  <c r="AD17" i="26"/>
  <c r="AD18" i="26" s="1"/>
  <c r="AD17" i="22"/>
  <c r="AD18" i="22" s="1"/>
  <c r="AD17" i="23"/>
  <c r="AD18" i="23" s="1"/>
  <c r="AD17" i="21"/>
  <c r="AD18" i="21" s="1"/>
  <c r="AD17" i="20"/>
  <c r="AD18" i="20" s="1"/>
  <c r="AD17" i="18"/>
  <c r="AD18" i="18" s="1"/>
  <c r="AD17" i="15"/>
  <c r="AD18" i="15" s="1"/>
  <c r="AD17" i="19"/>
  <c r="AD18" i="19" s="1"/>
  <c r="AC17" i="24"/>
  <c r="AC18" i="24" s="1"/>
  <c r="AD17" i="69"/>
  <c r="AD18" i="69" s="1"/>
  <c r="AD17" i="70"/>
  <c r="AD18" i="70" s="1"/>
  <c r="AD17" i="67"/>
  <c r="AD18" i="67" s="1"/>
  <c r="AD17" i="68"/>
  <c r="AD18" i="68" s="1"/>
  <c r="AD17" i="66"/>
  <c r="AD18" i="66" s="1"/>
  <c r="AD17" i="59"/>
  <c r="AD18" i="59" s="1"/>
  <c r="AD17" i="65"/>
  <c r="AD18" i="65" s="1"/>
  <c r="AD17" i="11"/>
  <c r="AD18" i="11" s="1"/>
  <c r="AD17" i="58"/>
  <c r="AD18" i="58" s="1"/>
  <c r="AD17" i="62"/>
  <c r="AD18" i="62" s="1"/>
  <c r="AD17" i="63"/>
  <c r="AD18" i="63" s="1"/>
  <c r="AD17" i="61"/>
  <c r="AD18" i="61" s="1"/>
  <c r="AD17" i="54"/>
  <c r="AD18" i="54" s="1"/>
  <c r="AD17" i="64"/>
  <c r="AD18" i="64" s="1"/>
  <c r="AD17" i="39"/>
  <c r="AD18" i="39" s="1"/>
  <c r="AD17" i="51"/>
  <c r="AD18" i="51" s="1"/>
  <c r="AD17" i="53"/>
  <c r="AD18" i="53" s="1"/>
  <c r="AD17" i="56"/>
  <c r="AD18" i="56" s="1"/>
  <c r="AD17" i="57"/>
  <c r="AD18" i="57" s="1"/>
  <c r="AD17" i="55"/>
  <c r="AD18" i="55" s="1"/>
  <c r="AD17" i="52"/>
  <c r="AD18" i="52" s="1"/>
  <c r="AD17" i="17"/>
  <c r="AD18" i="17" s="1"/>
  <c r="AD17" i="9"/>
  <c r="AD18" i="9" s="1"/>
  <c r="AD17" i="16"/>
  <c r="AD18" i="16" s="1"/>
  <c r="AI37" i="37"/>
  <c r="M11" i="36"/>
  <c r="B4" i="36"/>
  <c r="M11" i="35"/>
  <c r="B4" i="34"/>
  <c r="B4" i="35"/>
  <c r="M11" i="32"/>
  <c r="B4" i="31"/>
  <c r="B4" i="32"/>
  <c r="M11" i="33"/>
  <c r="M11" i="34"/>
  <c r="M11" i="31"/>
  <c r="B4" i="30"/>
  <c r="B4" i="33"/>
  <c r="M11" i="30"/>
  <c r="B4" i="28"/>
  <c r="M11" i="29"/>
  <c r="B4" i="29"/>
  <c r="B4" i="27"/>
  <c r="M11" i="28"/>
  <c r="M11" i="27"/>
  <c r="M11" i="26"/>
  <c r="B4" i="25"/>
  <c r="M11" i="25"/>
  <c r="B4" i="26"/>
  <c r="M11" i="23"/>
  <c r="M11" i="22"/>
  <c r="B4" i="21"/>
  <c r="B4" i="23"/>
  <c r="B4" i="22"/>
  <c r="M11" i="21"/>
  <c r="B4" i="20"/>
  <c r="M11" i="15"/>
  <c r="M11" i="18"/>
  <c r="B4" i="19"/>
  <c r="L11" i="24"/>
  <c r="M11" i="20"/>
  <c r="B4" i="24"/>
  <c r="B4" i="15"/>
  <c r="B4" i="18"/>
  <c r="M11" i="70"/>
  <c r="M11" i="19"/>
  <c r="M11" i="67"/>
  <c r="M11" i="66"/>
  <c r="B4" i="67"/>
  <c r="B4" i="70"/>
  <c r="M11" i="68"/>
  <c r="M11" i="69"/>
  <c r="B4" i="68"/>
  <c r="B4" i="69"/>
  <c r="B4" i="66"/>
  <c r="M11" i="59"/>
  <c r="M11" i="65"/>
  <c r="B4" i="59"/>
  <c r="M11" i="54"/>
  <c r="B4" i="65"/>
  <c r="B4" i="54"/>
  <c r="M11" i="11"/>
  <c r="B4" i="58"/>
  <c r="B4" i="11"/>
  <c r="B4" i="63"/>
  <c r="B4" i="62"/>
  <c r="M11" i="61"/>
  <c r="M11" i="57"/>
  <c r="M11" i="58"/>
  <c r="M11" i="64"/>
  <c r="B4" i="53"/>
  <c r="B4" i="64"/>
  <c r="M11" i="63"/>
  <c r="M11" i="62"/>
  <c r="M11" i="56"/>
  <c r="B4" i="51"/>
  <c r="B4" i="39"/>
  <c r="B4" i="61"/>
  <c r="M11" i="53"/>
  <c r="B4" i="56"/>
  <c r="M11" i="52"/>
  <c r="M11" i="55"/>
  <c r="B4" i="57"/>
  <c r="B4" i="52"/>
  <c r="B4" i="55"/>
  <c r="M11" i="51"/>
  <c r="M11" i="9"/>
  <c r="M11" i="39"/>
  <c r="M11" i="16"/>
  <c r="B4" i="16"/>
  <c r="B4" i="9"/>
  <c r="M11" i="17"/>
  <c r="B4" i="17"/>
  <c r="Z59" i="37"/>
  <c r="AG58" i="37"/>
  <c r="AG56" i="37"/>
  <c r="AG54" i="37"/>
  <c r="N61" i="37"/>
  <c r="AD103" i="37"/>
  <c r="AD99" i="37"/>
  <c r="AG104" i="37"/>
  <c r="AG100" i="37"/>
  <c r="B4" i="4"/>
  <c r="AB67" i="4"/>
  <c r="AB63" i="4"/>
  <c r="AB59" i="4"/>
  <c r="AH66" i="4"/>
  <c r="AH58" i="4"/>
  <c r="AE96" i="4"/>
  <c r="AE92" i="4"/>
  <c r="AE88" i="4"/>
  <c r="AE84" i="4"/>
  <c r="AE80" i="4"/>
  <c r="AE76" i="4"/>
  <c r="AK95" i="4"/>
  <c r="AJ94" i="4"/>
  <c r="AH92" i="4"/>
  <c r="AK87" i="4"/>
  <c r="AJ86" i="4"/>
  <c r="AH84" i="4"/>
  <c r="AK79" i="4"/>
  <c r="AJ78" i="4"/>
  <c r="AH76" i="4"/>
  <c r="AM73" i="4"/>
  <c r="AE100" i="4"/>
  <c r="AH99" i="4"/>
  <c r="AE116" i="6"/>
  <c r="AE100" i="6"/>
  <c r="AE96" i="6"/>
  <c r="AE92" i="6"/>
  <c r="AE88" i="6"/>
  <c r="AE84" i="6"/>
  <c r="AE80" i="6"/>
  <c r="AE76" i="6"/>
  <c r="AH113" i="6"/>
  <c r="AH109" i="6"/>
  <c r="AH105" i="6"/>
  <c r="AH101" i="6"/>
  <c r="AH97" i="6"/>
  <c r="AH93" i="6"/>
  <c r="AH89" i="6"/>
  <c r="AH85" i="6"/>
  <c r="AH77" i="6"/>
  <c r="AA69" i="7"/>
  <c r="AI39" i="7"/>
  <c r="AF39" i="7"/>
  <c r="AB39" i="7"/>
  <c r="AJ38" i="7"/>
  <c r="AA73" i="7"/>
  <c r="AJ50" i="7"/>
  <c r="AB44" i="16"/>
  <c r="AF44" i="16"/>
  <c r="AI44" i="16"/>
  <c r="AI74" i="16"/>
  <c r="AF74" i="16"/>
  <c r="AB74" i="16"/>
  <c r="AB109" i="16"/>
  <c r="AB93" i="16"/>
  <c r="AB138" i="17"/>
  <c r="AB97" i="4"/>
  <c r="B4" i="37"/>
  <c r="AF17" i="37"/>
  <c r="AF18" i="37" s="1"/>
  <c r="AD16" i="36"/>
  <c r="AD16" i="33"/>
  <c r="AD16" i="34"/>
  <c r="AD16" i="35"/>
  <c r="AD16" i="32"/>
  <c r="AD16" i="31"/>
  <c r="AD16" i="30"/>
  <c r="AD16" i="28"/>
  <c r="AD16" i="29"/>
  <c r="AD16" i="27"/>
  <c r="AD16" i="26"/>
  <c r="AD16" i="22"/>
  <c r="AD16" i="25"/>
  <c r="AD16" i="23"/>
  <c r="AD16" i="21"/>
  <c r="AD16" i="20"/>
  <c r="AC16" i="24"/>
  <c r="AD16" i="18"/>
  <c r="AD16" i="70"/>
  <c r="AD16" i="19"/>
  <c r="AD16" i="69"/>
  <c r="AD16" i="66"/>
  <c r="AD16" i="67"/>
  <c r="AD16" i="68"/>
  <c r="AD16" i="15"/>
  <c r="AD16" i="59"/>
  <c r="AD16" i="65"/>
  <c r="AD16" i="54"/>
  <c r="AD16" i="58"/>
  <c r="AD16" i="11"/>
  <c r="AD16" i="62"/>
  <c r="AD16" i="63"/>
  <c r="AD16" i="57"/>
  <c r="AD16" i="53"/>
  <c r="AD16" i="64"/>
  <c r="AD16" i="51"/>
  <c r="AD16" i="56"/>
  <c r="AD16" i="61"/>
  <c r="AD16" i="52"/>
  <c r="AD16" i="39"/>
  <c r="AD16" i="55"/>
  <c r="AD16" i="16"/>
  <c r="AD16" i="9"/>
  <c r="AD16" i="17"/>
  <c r="AD16" i="7"/>
  <c r="B10" i="37"/>
  <c r="AA42" i="37"/>
  <c r="AE42" i="37"/>
  <c r="AI42" i="37"/>
  <c r="W44" i="37"/>
  <c r="O44" i="37"/>
  <c r="AE48" i="37"/>
  <c r="AA49" i="37"/>
  <c r="AE79" i="37"/>
  <c r="AA105" i="37"/>
  <c r="AA101" i="37"/>
  <c r="B10" i="4"/>
  <c r="AG17" i="4"/>
  <c r="AG18" i="4" s="1"/>
  <c r="AE44" i="4"/>
  <c r="AE40" i="4"/>
  <c r="AE36" i="4"/>
  <c r="AH50" i="4"/>
  <c r="AM47" i="4"/>
  <c r="AK45" i="4"/>
  <c r="AH42" i="4"/>
  <c r="AM39" i="4"/>
  <c r="AK37" i="4"/>
  <c r="AB55" i="4"/>
  <c r="AI55" i="4"/>
  <c r="AM56" i="4"/>
  <c r="AE68" i="4"/>
  <c r="AE64" i="4"/>
  <c r="AK70" i="4"/>
  <c r="AH67" i="4"/>
  <c r="AM64" i="4"/>
  <c r="AK62" i="4"/>
  <c r="AH59" i="4"/>
  <c r="AB94" i="4"/>
  <c r="AB86" i="4"/>
  <c r="AB78" i="4"/>
  <c r="AK96" i="4"/>
  <c r="AH93" i="4"/>
  <c r="AM90" i="4"/>
  <c r="AK88" i="4"/>
  <c r="AH85" i="4"/>
  <c r="AM82" i="4"/>
  <c r="AH77" i="4"/>
  <c r="B9" i="6"/>
  <c r="AE62" i="6"/>
  <c r="AE58" i="6"/>
  <c r="AE54" i="6"/>
  <c r="AE50" i="6"/>
  <c r="AE46" i="6"/>
  <c r="AE42" i="6"/>
  <c r="AE38" i="6"/>
  <c r="AH58" i="6"/>
  <c r="AH54" i="6"/>
  <c r="AH50" i="6"/>
  <c r="AH46" i="6"/>
  <c r="AH42" i="6"/>
  <c r="AH38" i="6"/>
  <c r="AB49" i="6"/>
  <c r="AB41" i="6"/>
  <c r="AB69" i="6"/>
  <c r="AB65" i="6"/>
  <c r="AB57" i="6"/>
  <c r="AB38" i="7"/>
  <c r="AF42" i="7"/>
  <c r="AJ44" i="7"/>
  <c r="AJ42" i="7"/>
  <c r="AE47" i="7"/>
  <c r="AA76" i="7"/>
  <c r="AA72" i="7"/>
  <c r="AF48" i="7"/>
  <c r="AB48" i="7"/>
  <c r="AM51" i="7"/>
  <c r="AF50" i="7"/>
  <c r="K61" i="7"/>
  <c r="AI57" i="7"/>
  <c r="AF57" i="7"/>
  <c r="AB57" i="7"/>
  <c r="AA20" i="16"/>
  <c r="AJ43" i="16" s="1"/>
  <c r="K37" i="16"/>
  <c r="AA37" i="16"/>
  <c r="AF54" i="16"/>
  <c r="AB54" i="16"/>
  <c r="AI54" i="16"/>
  <c r="AJ50" i="16"/>
  <c r="AF50" i="16"/>
  <c r="AB50" i="16"/>
  <c r="AI50" i="16"/>
  <c r="AF65" i="16"/>
  <c r="AI65" i="16"/>
  <c r="AI63" i="16"/>
  <c r="AF63" i="16"/>
  <c r="AI61" i="16"/>
  <c r="AF61" i="16"/>
  <c r="AF84" i="16"/>
  <c r="AB84" i="16"/>
  <c r="AI84" i="16"/>
  <c r="AJ84" i="16"/>
  <c r="AI113" i="16"/>
  <c r="AB113" i="16"/>
  <c r="AF113" i="16"/>
  <c r="AI98" i="16"/>
  <c r="AF98" i="16"/>
  <c r="AB98" i="16"/>
  <c r="AB96" i="16"/>
  <c r="AI96" i="16"/>
  <c r="AF96" i="16"/>
  <c r="AF119" i="16"/>
  <c r="AI119" i="16"/>
  <c r="AB119" i="16"/>
  <c r="G87" i="17"/>
  <c r="AL46" i="16"/>
  <c r="AL38" i="16"/>
  <c r="K44" i="16"/>
  <c r="AA47" i="16"/>
  <c r="AE53" i="16"/>
  <c r="AE49" i="16"/>
  <c r="AL53" i="16"/>
  <c r="AH49" i="16"/>
  <c r="K62" i="16"/>
  <c r="AL65" i="16"/>
  <c r="AB70" i="16"/>
  <c r="AE70" i="16"/>
  <c r="K86" i="16"/>
  <c r="K82" i="16"/>
  <c r="K78" i="16"/>
  <c r="K74" i="16"/>
  <c r="AE87" i="16"/>
  <c r="AE83" i="16"/>
  <c r="AE79" i="16"/>
  <c r="AE75" i="16"/>
  <c r="AH88" i="16"/>
  <c r="AL84" i="16"/>
  <c r="AH80" i="16"/>
  <c r="AL76" i="16"/>
  <c r="K113" i="16"/>
  <c r="K105" i="16"/>
  <c r="K97" i="16"/>
  <c r="AB115" i="16"/>
  <c r="AB111" i="16"/>
  <c r="AB107" i="16"/>
  <c r="AB103" i="16"/>
  <c r="AB99" i="16"/>
  <c r="AB95" i="16"/>
  <c r="AF117" i="16"/>
  <c r="AF109" i="16"/>
  <c r="AF101" i="16"/>
  <c r="AF93" i="16"/>
  <c r="AI116" i="16"/>
  <c r="AH115" i="16"/>
  <c r="AL111" i="16"/>
  <c r="AI108" i="16"/>
  <c r="AH107" i="16"/>
  <c r="AL103" i="16"/>
  <c r="AI100" i="16"/>
  <c r="AH99" i="16"/>
  <c r="AL95" i="16"/>
  <c r="AI92" i="16"/>
  <c r="AB120" i="16"/>
  <c r="AA123" i="16"/>
  <c r="AB71" i="17"/>
  <c r="AB55" i="17"/>
  <c r="AB97" i="17"/>
  <c r="AH99" i="17"/>
  <c r="AH102" i="17"/>
  <c r="AF130" i="17"/>
  <c r="AI130" i="17"/>
  <c r="AB130" i="17"/>
  <c r="AA145" i="17"/>
  <c r="AH143" i="17"/>
  <c r="AF47" i="9"/>
  <c r="AB47" i="9"/>
  <c r="AI47" i="9"/>
  <c r="AA44" i="9"/>
  <c r="K44" i="9"/>
  <c r="AI50" i="9"/>
  <c r="AI67" i="9"/>
  <c r="AA65" i="9"/>
  <c r="AA67" i="16"/>
  <c r="AH89" i="16"/>
  <c r="AH81" i="16"/>
  <c r="AE117" i="16"/>
  <c r="AE113" i="16"/>
  <c r="AE109" i="16"/>
  <c r="AE105" i="16"/>
  <c r="AE101" i="16"/>
  <c r="AE97" i="16"/>
  <c r="AE93" i="16"/>
  <c r="AH116" i="16"/>
  <c r="AH108" i="16"/>
  <c r="AH100" i="16"/>
  <c r="AH92" i="16"/>
  <c r="AF75" i="17"/>
  <c r="AA93" i="17"/>
  <c r="AA77" i="17"/>
  <c r="AA78" i="17"/>
  <c r="AB64" i="17"/>
  <c r="AI64" i="17"/>
  <c r="AB96" i="17"/>
  <c r="AB115" i="17"/>
  <c r="AB136" i="17"/>
  <c r="AI146" i="17"/>
  <c r="AB146" i="17"/>
  <c r="AF146" i="17"/>
  <c r="AF141" i="17"/>
  <c r="AI141" i="17"/>
  <c r="AB141" i="17"/>
  <c r="AI57" i="9"/>
  <c r="AF57" i="9"/>
  <c r="AB57" i="9"/>
  <c r="AI41" i="9"/>
  <c r="AF41" i="9"/>
  <c r="AB41" i="9"/>
  <c r="AI87" i="9"/>
  <c r="AB87" i="9"/>
  <c r="AF87" i="9"/>
  <c r="AB86" i="9"/>
  <c r="AF38" i="16"/>
  <c r="AA45" i="16"/>
  <c r="AE56" i="16"/>
  <c r="AE52" i="16"/>
  <c r="AK70" i="16"/>
  <c r="AE86" i="16"/>
  <c r="AE78" i="16"/>
  <c r="AE74" i="16"/>
  <c r="AH74" i="16"/>
  <c r="AF116" i="16"/>
  <c r="AF108" i="16"/>
  <c r="AF100" i="16"/>
  <c r="AF92" i="16"/>
  <c r="AH117" i="16"/>
  <c r="AJ111" i="16"/>
  <c r="AH109" i="16"/>
  <c r="AH101" i="16"/>
  <c r="AJ95" i="16"/>
  <c r="AH93" i="16"/>
  <c r="AH125" i="17"/>
  <c r="AH84" i="17"/>
  <c r="AH75" i="17"/>
  <c r="AH66" i="17"/>
  <c r="AH57" i="17"/>
  <c r="AH48" i="17"/>
  <c r="AH142" i="17"/>
  <c r="AH134" i="17"/>
  <c r="AH117" i="17"/>
  <c r="AH121" i="17"/>
  <c r="AH95" i="17"/>
  <c r="AH126" i="17"/>
  <c r="AH130" i="17"/>
  <c r="AH141" i="17"/>
  <c r="AH145" i="17"/>
  <c r="AH135" i="17"/>
  <c r="AH139" i="17"/>
  <c r="AH118" i="17"/>
  <c r="AH96" i="17"/>
  <c r="AH35" i="17"/>
  <c r="AH127" i="17"/>
  <c r="AH89" i="17"/>
  <c r="AH80" i="17"/>
  <c r="AH71" i="17"/>
  <c r="AH62" i="17"/>
  <c r="AH53" i="17"/>
  <c r="AH44" i="17"/>
  <c r="AH36" i="17"/>
  <c r="AH133" i="17"/>
  <c r="AH116" i="17"/>
  <c r="AH65" i="17"/>
  <c r="AH38" i="17"/>
  <c r="AH56" i="17"/>
  <c r="AH63" i="17"/>
  <c r="AI71" i="17"/>
  <c r="AH90" i="17"/>
  <c r="AF86" i="17"/>
  <c r="AI86" i="17"/>
  <c r="AB63" i="17"/>
  <c r="AF121" i="17"/>
  <c r="AI121" i="17"/>
  <c r="AH115" i="17"/>
  <c r="AB135" i="17"/>
  <c r="Z148" i="17"/>
  <c r="R148" i="17"/>
  <c r="AL118" i="9"/>
  <c r="AL94" i="9"/>
  <c r="AL102" i="9"/>
  <c r="AL110" i="9"/>
  <c r="AL80" i="9"/>
  <c r="AL99" i="9"/>
  <c r="AL107" i="9"/>
  <c r="AL115" i="9"/>
  <c r="AL77" i="9"/>
  <c r="AL85" i="9"/>
  <c r="AL98" i="9"/>
  <c r="AL106" i="9"/>
  <c r="AL114" i="9"/>
  <c r="AL76" i="9"/>
  <c r="AL84" i="9"/>
  <c r="AL96" i="9"/>
  <c r="AL104" i="9"/>
  <c r="AL112" i="9"/>
  <c r="AL82" i="9"/>
  <c r="AL95" i="9"/>
  <c r="AL111" i="9"/>
  <c r="AL81" i="9"/>
  <c r="AL89" i="9"/>
  <c r="AL62" i="9"/>
  <c r="AL70" i="9"/>
  <c r="AL38" i="9"/>
  <c r="AL46" i="9"/>
  <c r="AL54" i="9"/>
  <c r="AL93" i="9"/>
  <c r="AL109" i="9"/>
  <c r="AL79" i="9"/>
  <c r="AL69" i="9"/>
  <c r="AL37" i="9"/>
  <c r="AL45" i="9"/>
  <c r="AL53" i="9"/>
  <c r="AL100" i="9"/>
  <c r="AL116" i="9"/>
  <c r="AL86" i="9"/>
  <c r="AL68" i="9"/>
  <c r="AL36" i="9"/>
  <c r="AL44" i="9"/>
  <c r="AL52" i="9"/>
  <c r="AL105" i="9"/>
  <c r="AL88" i="9"/>
  <c r="AL67" i="9"/>
  <c r="AL35" i="9"/>
  <c r="AL43" i="9"/>
  <c r="AL51" i="9"/>
  <c r="AL103" i="9"/>
  <c r="AL66" i="9"/>
  <c r="AL42" i="9"/>
  <c r="AL50" i="9"/>
  <c r="AL58" i="9"/>
  <c r="AL119" i="9"/>
  <c r="AL101" i="9"/>
  <c r="AL65" i="9"/>
  <c r="AL41" i="9"/>
  <c r="AL49" i="9"/>
  <c r="AL108" i="9"/>
  <c r="AL78" i="9"/>
  <c r="AL87" i="9"/>
  <c r="AL90" i="9"/>
  <c r="AL97" i="9"/>
  <c r="AL113" i="9"/>
  <c r="AL83" i="9"/>
  <c r="AL63" i="9"/>
  <c r="AL39" i="9"/>
  <c r="AL47" i="9"/>
  <c r="AL55" i="9"/>
  <c r="AI51" i="9"/>
  <c r="AF51" i="9"/>
  <c r="AB51" i="9"/>
  <c r="AA48" i="9"/>
  <c r="K48" i="9"/>
  <c r="AI35" i="9"/>
  <c r="AF35" i="9"/>
  <c r="AB35" i="9"/>
  <c r="AJ35" i="9"/>
  <c r="AF46" i="9"/>
  <c r="AL48" i="9"/>
  <c r="AL40" i="9"/>
  <c r="AI63" i="9"/>
  <c r="AF63" i="9"/>
  <c r="AM45" i="51"/>
  <c r="AN45" i="51"/>
  <c r="AH38" i="7"/>
  <c r="AH48" i="7"/>
  <c r="AI51" i="7"/>
  <c r="AE58" i="7"/>
  <c r="AA74" i="7"/>
  <c r="AA16" i="16"/>
  <c r="AE38" i="16"/>
  <c r="AH39" i="16"/>
  <c r="AH35" i="16"/>
  <c r="AL47" i="16"/>
  <c r="AL39" i="16"/>
  <c r="K43" i="16"/>
  <c r="AE44" i="16"/>
  <c r="AH47" i="16"/>
  <c r="AH43" i="16"/>
  <c r="AB55" i="16"/>
  <c r="AF55" i="16"/>
  <c r="AL56" i="16"/>
  <c r="AH52" i="16"/>
  <c r="K63" i="16"/>
  <c r="AF66" i="16"/>
  <c r="AL68" i="16"/>
  <c r="AL60" i="16"/>
  <c r="AJ70" i="16"/>
  <c r="AL87" i="16"/>
  <c r="AH83" i="16"/>
  <c r="AL79" i="16"/>
  <c r="AH75" i="16"/>
  <c r="K114" i="16"/>
  <c r="K106" i="16"/>
  <c r="K98" i="16"/>
  <c r="AA110" i="16"/>
  <c r="AA102" i="16"/>
  <c r="AA94" i="16"/>
  <c r="AE112" i="16"/>
  <c r="AE108" i="16"/>
  <c r="AE104" i="16"/>
  <c r="AE100" i="16"/>
  <c r="AE96" i="16"/>
  <c r="AE92" i="16"/>
  <c r="AL114" i="16"/>
  <c r="AI111" i="16"/>
  <c r="AH110" i="16"/>
  <c r="AL106" i="16"/>
  <c r="AI103" i="16"/>
  <c r="AH102" i="16"/>
  <c r="AL98" i="16"/>
  <c r="AI95" i="16"/>
  <c r="AH94" i="16"/>
  <c r="AA16" i="17"/>
  <c r="AH37" i="17"/>
  <c r="AH55" i="17"/>
  <c r="AI63" i="17"/>
  <c r="AI83" i="17"/>
  <c r="AB83" i="17"/>
  <c r="AF83" i="17"/>
  <c r="AA174" i="17"/>
  <c r="AI40" i="17"/>
  <c r="AB40" i="17"/>
  <c r="AF95" i="17"/>
  <c r="AI95" i="17"/>
  <c r="AI105" i="17"/>
  <c r="Y148" i="17"/>
  <c r="Q148" i="17"/>
  <c r="AA142" i="17"/>
  <c r="AH147" i="17"/>
  <c r="AA19" i="9"/>
  <c r="AB82" i="9" s="1"/>
  <c r="AF45" i="9"/>
  <c r="AB45" i="9"/>
  <c r="AF70" i="9"/>
  <c r="AI70" i="9"/>
  <c r="AF68" i="9"/>
  <c r="AI68" i="9"/>
  <c r="AI38" i="16"/>
  <c r="AL42" i="16"/>
  <c r="AI46" i="16"/>
  <c r="AI42" i="16"/>
  <c r="AA35" i="16"/>
  <c r="AH53" i="16"/>
  <c r="AL49" i="16"/>
  <c r="AN63" i="16"/>
  <c r="AL61" i="16"/>
  <c r="AA64" i="16"/>
  <c r="AI70" i="16"/>
  <c r="AA89" i="16"/>
  <c r="AA85" i="16"/>
  <c r="AA81" i="16"/>
  <c r="AA77" i="16"/>
  <c r="AE89" i="16"/>
  <c r="AE85" i="16"/>
  <c r="AE81" i="16"/>
  <c r="AE77" i="16"/>
  <c r="AL88" i="16"/>
  <c r="AH84" i="16"/>
  <c r="AL80" i="16"/>
  <c r="AF115" i="16"/>
  <c r="AF107" i="16"/>
  <c r="AF99" i="16"/>
  <c r="AL115" i="16"/>
  <c r="AH111" i="16"/>
  <c r="AL107" i="16"/>
  <c r="AH103" i="16"/>
  <c r="AL99" i="16"/>
  <c r="AH95" i="16"/>
  <c r="AF120" i="16"/>
  <c r="AH54" i="17"/>
  <c r="AI91" i="17"/>
  <c r="AF91" i="17"/>
  <c r="AB72" i="17"/>
  <c r="AF59" i="17"/>
  <c r="AI59" i="17"/>
  <c r="AA42" i="17"/>
  <c r="AF39" i="17"/>
  <c r="AB39" i="17"/>
  <c r="AA41" i="17"/>
  <c r="AB119" i="17"/>
  <c r="AF134" i="17"/>
  <c r="AI134" i="17"/>
  <c r="X148" i="17"/>
  <c r="P148" i="17"/>
  <c r="AF147" i="17"/>
  <c r="AF55" i="9"/>
  <c r="AB55" i="9"/>
  <c r="AI55" i="9"/>
  <c r="AA52" i="9"/>
  <c r="K52" i="9"/>
  <c r="AF39" i="9"/>
  <c r="AB39" i="9"/>
  <c r="AI39" i="9"/>
  <c r="AA36" i="9"/>
  <c r="K36" i="9"/>
  <c r="AI58" i="9"/>
  <c r="AI42" i="9"/>
  <c r="AF42" i="9"/>
  <c r="AL72" i="9"/>
  <c r="AB80" i="9"/>
  <c r="AI109" i="9"/>
  <c r="AF109" i="9"/>
  <c r="AB109" i="9"/>
  <c r="AI122" i="39"/>
  <c r="AF122" i="39"/>
  <c r="AB122" i="39"/>
  <c r="AE37" i="16"/>
  <c r="AH38" i="16"/>
  <c r="AE47" i="16"/>
  <c r="AE43" i="16"/>
  <c r="AH46" i="16"/>
  <c r="AH42" i="16"/>
  <c r="AH54" i="16"/>
  <c r="K61" i="16"/>
  <c r="AN64" i="16"/>
  <c r="AH70" i="16"/>
  <c r="AL89" i="16"/>
  <c r="AH85" i="16"/>
  <c r="AL81" i="16"/>
  <c r="AH77" i="16"/>
  <c r="K112" i="16"/>
  <c r="K104" i="16"/>
  <c r="K96" i="16"/>
  <c r="AE107" i="16"/>
  <c r="AE103" i="16"/>
  <c r="AE95" i="16"/>
  <c r="AL116" i="16"/>
  <c r="AH112" i="16"/>
  <c r="AL108" i="16"/>
  <c r="AL100" i="16"/>
  <c r="AH96" i="16"/>
  <c r="AL92" i="16"/>
  <c r="AE120" i="16"/>
  <c r="AH119" i="16"/>
  <c r="AB81" i="17"/>
  <c r="AA50" i="17"/>
  <c r="AF48" i="17"/>
  <c r="AB118" i="17"/>
  <c r="AF126" i="17"/>
  <c r="AI126" i="17"/>
  <c r="AB126" i="17"/>
  <c r="AB139" i="17"/>
  <c r="AA143" i="17"/>
  <c r="AH144" i="17"/>
  <c r="AD148" i="17"/>
  <c r="AE148" i="17" s="1"/>
  <c r="AI170" i="17"/>
  <c r="AA171" i="17"/>
  <c r="AF170" i="17"/>
  <c r="AA20" i="9"/>
  <c r="AJ62" i="9" s="1"/>
  <c r="AI49" i="9"/>
  <c r="AF49" i="9"/>
  <c r="AB49" i="9"/>
  <c r="AL57" i="9"/>
  <c r="AL64" i="9"/>
  <c r="AM69" i="9"/>
  <c r="AN69" i="9"/>
  <c r="AI79" i="9"/>
  <c r="AF79" i="9"/>
  <c r="AB78" i="9"/>
  <c r="AL48" i="16"/>
  <c r="AJ42" i="16"/>
  <c r="AL40" i="16"/>
  <c r="AE54" i="16"/>
  <c r="AE50" i="16"/>
  <c r="AL51" i="16"/>
  <c r="AL63" i="16"/>
  <c r="AE88" i="16"/>
  <c r="AE84" i="16"/>
  <c r="AE80" i="16"/>
  <c r="AH86" i="16"/>
  <c r="AL82" i="16"/>
  <c r="AH78" i="16"/>
  <c r="AL74" i="16"/>
  <c r="AB116" i="16"/>
  <c r="AB108" i="16"/>
  <c r="AB100" i="16"/>
  <c r="AB92" i="16"/>
  <c r="AL117" i="16"/>
  <c r="AH113" i="16"/>
  <c r="AL109" i="16"/>
  <c r="AH105" i="16"/>
  <c r="AL101" i="16"/>
  <c r="AJ99" i="16"/>
  <c r="AH97" i="16"/>
  <c r="AH120" i="16"/>
  <c r="AH46" i="17"/>
  <c r="AI75" i="17"/>
  <c r="AB89" i="17"/>
  <c r="AI67" i="17"/>
  <c r="AA69" i="17"/>
  <c r="AA70" i="17" s="1"/>
  <c r="G69" i="17" s="1"/>
  <c r="AI47" i="17"/>
  <c r="AB47" i="17"/>
  <c r="AH97" i="17"/>
  <c r="AH136" i="17"/>
  <c r="AB147" i="17"/>
  <c r="V148" i="17"/>
  <c r="AG148" i="17"/>
  <c r="AH148" i="17" s="1"/>
  <c r="AA173" i="17"/>
  <c r="AA56" i="9"/>
  <c r="K56" i="9"/>
  <c r="AI43" i="9"/>
  <c r="AF43" i="9"/>
  <c r="AB43" i="9"/>
  <c r="AA40" i="9"/>
  <c r="K40" i="9"/>
  <c r="AI93" i="9"/>
  <c r="AF93" i="9"/>
  <c r="AB93" i="9"/>
  <c r="AM53" i="51"/>
  <c r="AN53" i="51"/>
  <c r="AM37" i="51"/>
  <c r="AN37" i="51"/>
  <c r="AH37" i="16"/>
  <c r="AH45" i="16"/>
  <c r="AH41" i="16"/>
  <c r="AH56" i="16"/>
  <c r="AH87" i="16"/>
  <c r="AH79" i="16"/>
  <c r="AE114" i="16"/>
  <c r="AE110" i="16"/>
  <c r="AE106" i="16"/>
  <c r="AE102" i="16"/>
  <c r="AE98" i="16"/>
  <c r="AE94" i="16"/>
  <c r="AH114" i="16"/>
  <c r="AH106" i="16"/>
  <c r="AF64" i="17"/>
  <c r="AB75" i="17"/>
  <c r="AF68" i="17"/>
  <c r="AI68" i="17"/>
  <c r="AI56" i="17"/>
  <c r="AB56" i="17"/>
  <c r="AF117" i="17"/>
  <c r="AI117" i="17"/>
  <c r="AH124" i="17"/>
  <c r="AF138" i="17"/>
  <c r="AI138" i="17"/>
  <c r="AA144" i="17"/>
  <c r="O148" i="17"/>
  <c r="AF53" i="9"/>
  <c r="AB53" i="9"/>
  <c r="AF37" i="9"/>
  <c r="AB37" i="9"/>
  <c r="AF69" i="9"/>
  <c r="AF62" i="9"/>
  <c r="AI62" i="9"/>
  <c r="AB83" i="9"/>
  <c r="AI83" i="9"/>
  <c r="AF83" i="9"/>
  <c r="AB90" i="9"/>
  <c r="AE75" i="17"/>
  <c r="AE95" i="17"/>
  <c r="AI111" i="17"/>
  <c r="AE121" i="17"/>
  <c r="AE117" i="17"/>
  <c r="AE134" i="17"/>
  <c r="AA175" i="17"/>
  <c r="Z16" i="9"/>
  <c r="AE47" i="9"/>
  <c r="AE43" i="9"/>
  <c r="AE39" i="9"/>
  <c r="AE35" i="9"/>
  <c r="K68" i="9"/>
  <c r="AM64" i="9"/>
  <c r="AH72" i="9"/>
  <c r="K87" i="9"/>
  <c r="K83" i="9"/>
  <c r="K79" i="9"/>
  <c r="AA89" i="9"/>
  <c r="AA85" i="9"/>
  <c r="AA81" i="9"/>
  <c r="AA77" i="9"/>
  <c r="AE88" i="9"/>
  <c r="AE84" i="9"/>
  <c r="AK89" i="9"/>
  <c r="AH79" i="9"/>
  <c r="AH77" i="9"/>
  <c r="K109" i="9"/>
  <c r="AI104" i="9"/>
  <c r="AF104" i="9"/>
  <c r="AB104" i="9"/>
  <c r="K93" i="9"/>
  <c r="AA111" i="9"/>
  <c r="AA103" i="9"/>
  <c r="AA95" i="9"/>
  <c r="AE97" i="9"/>
  <c r="AK104" i="9"/>
  <c r="AE118" i="9"/>
  <c r="AG122" i="9"/>
  <c r="AI62" i="39"/>
  <c r="AF62" i="39"/>
  <c r="AA143" i="39"/>
  <c r="Y126" i="39"/>
  <c r="Y127" i="39" s="1"/>
  <c r="Q126" i="39"/>
  <c r="Q127" i="39" s="1"/>
  <c r="K54" i="51"/>
  <c r="AA54" i="51"/>
  <c r="K38" i="51"/>
  <c r="AA38" i="51"/>
  <c r="AM69" i="51"/>
  <c r="AJ88" i="51"/>
  <c r="AA108" i="51"/>
  <c r="AI88" i="51"/>
  <c r="AF76" i="51"/>
  <c r="AJ100" i="51"/>
  <c r="AF100" i="51"/>
  <c r="AI100" i="51"/>
  <c r="AB100" i="51"/>
  <c r="AB65" i="55"/>
  <c r="AI65" i="55"/>
  <c r="AF65" i="55"/>
  <c r="AA43" i="55"/>
  <c r="AI41" i="55"/>
  <c r="AF41" i="55"/>
  <c r="AA144" i="55"/>
  <c r="AB41" i="55"/>
  <c r="AA42" i="55"/>
  <c r="AF93" i="55"/>
  <c r="AI93" i="55"/>
  <c r="AF110" i="55"/>
  <c r="AI110" i="55"/>
  <c r="AB110" i="55"/>
  <c r="AB121" i="55"/>
  <c r="AI121" i="55"/>
  <c r="AF121" i="55"/>
  <c r="AI43" i="52"/>
  <c r="AF43" i="52"/>
  <c r="AB43" i="52"/>
  <c r="AJ43" i="52"/>
  <c r="AB88" i="9"/>
  <c r="AB84" i="9"/>
  <c r="AB76" i="9"/>
  <c r="AE79" i="9"/>
  <c r="AF110" i="9"/>
  <c r="AB110" i="9"/>
  <c r="AJ110" i="9"/>
  <c r="AA102" i="9"/>
  <c r="AF94" i="9"/>
  <c r="AB94" i="9"/>
  <c r="AJ94" i="9"/>
  <c r="AE111" i="9"/>
  <c r="AE103" i="9"/>
  <c r="AB56" i="39"/>
  <c r="AB47" i="39"/>
  <c r="AB48" i="39"/>
  <c r="AB67" i="39"/>
  <c r="AB49" i="39"/>
  <c r="AB83" i="39"/>
  <c r="AB114" i="39"/>
  <c r="AB107" i="39"/>
  <c r="AB111" i="39"/>
  <c r="AB100" i="39"/>
  <c r="AB46" i="39"/>
  <c r="AB38" i="39"/>
  <c r="AB59" i="39"/>
  <c r="AA72" i="39"/>
  <c r="AA73" i="39"/>
  <c r="AB69" i="39"/>
  <c r="AI69" i="39"/>
  <c r="AF69" i="39"/>
  <c r="AB58" i="39"/>
  <c r="AB99" i="39"/>
  <c r="AB117" i="39"/>
  <c r="AA124" i="39"/>
  <c r="X126" i="39"/>
  <c r="X127" i="39" s="1"/>
  <c r="AA121" i="39"/>
  <c r="AH126" i="39"/>
  <c r="AG127" i="39"/>
  <c r="AA146" i="39"/>
  <c r="AI132" i="39"/>
  <c r="AF132" i="39"/>
  <c r="AI136" i="39"/>
  <c r="AF136" i="39"/>
  <c r="AI51" i="51"/>
  <c r="AF51" i="51"/>
  <c r="AB51" i="51"/>
  <c r="AI45" i="51"/>
  <c r="AI35" i="51"/>
  <c r="AF35" i="51"/>
  <c r="AB35" i="51"/>
  <c r="AI44" i="51"/>
  <c r="AF44" i="51"/>
  <c r="AB44" i="51"/>
  <c r="AF53" i="51"/>
  <c r="AF45" i="51"/>
  <c r="AJ66" i="51"/>
  <c r="AA79" i="51"/>
  <c r="K79" i="51"/>
  <c r="AE83" i="51"/>
  <c r="AH103" i="51"/>
  <c r="AF122" i="55"/>
  <c r="AI122" i="55"/>
  <c r="AM78" i="52"/>
  <c r="AN78" i="52"/>
  <c r="AF53" i="52"/>
  <c r="AB53" i="52"/>
  <c r="AI53" i="52"/>
  <c r="AJ53" i="52"/>
  <c r="AF37" i="52"/>
  <c r="AB37" i="52"/>
  <c r="AI37" i="52"/>
  <c r="AJ37" i="52"/>
  <c r="AI101" i="9"/>
  <c r="AF101" i="9"/>
  <c r="AB101" i="9"/>
  <c r="AE110" i="9"/>
  <c r="AE102" i="9"/>
  <c r="AE95" i="9"/>
  <c r="AI37" i="39"/>
  <c r="AF37" i="39"/>
  <c r="AB37" i="39"/>
  <c r="AA123" i="39"/>
  <c r="AA20" i="51"/>
  <c r="AJ101" i="51" s="1"/>
  <c r="K58" i="51"/>
  <c r="AA58" i="51"/>
  <c r="K42" i="51"/>
  <c r="AA42" i="51"/>
  <c r="K64" i="51"/>
  <c r="AA64" i="51"/>
  <c r="AI68" i="51"/>
  <c r="AJ68" i="51"/>
  <c r="AF68" i="51"/>
  <c r="AB76" i="51"/>
  <c r="AJ76" i="51"/>
  <c r="AI78" i="51"/>
  <c r="AF78" i="51"/>
  <c r="AB101" i="51"/>
  <c r="AF101" i="51"/>
  <c r="K99" i="51"/>
  <c r="AA99" i="51"/>
  <c r="AF81" i="55"/>
  <c r="AI81" i="55"/>
  <c r="AH126" i="55"/>
  <c r="AG127" i="55"/>
  <c r="AI47" i="52"/>
  <c r="AJ47" i="52"/>
  <c r="AF47" i="52"/>
  <c r="AB47" i="52"/>
  <c r="AF62" i="52"/>
  <c r="AI62" i="52"/>
  <c r="AJ62" i="52"/>
  <c r="AE38" i="17"/>
  <c r="AE45" i="17"/>
  <c r="AE54" i="17"/>
  <c r="AB65" i="17"/>
  <c r="AE63" i="17"/>
  <c r="AE72" i="17"/>
  <c r="AF97" i="17"/>
  <c r="AI96" i="17"/>
  <c r="AI104" i="17"/>
  <c r="AI108" i="17"/>
  <c r="AB120" i="17"/>
  <c r="AB116" i="17"/>
  <c r="AF119" i="17"/>
  <c r="AF115" i="17"/>
  <c r="AI118" i="17"/>
  <c r="AE128" i="17"/>
  <c r="AE124" i="17"/>
  <c r="AB137" i="17"/>
  <c r="AB133" i="17"/>
  <c r="AF136" i="17"/>
  <c r="AI139" i="17"/>
  <c r="AI135" i="17"/>
  <c r="AI152" i="17"/>
  <c r="AI161" i="17"/>
  <c r="AH98" i="9"/>
  <c r="AH106" i="9"/>
  <c r="AH114" i="9"/>
  <c r="AH76" i="9"/>
  <c r="AH84" i="9"/>
  <c r="AH119" i="9"/>
  <c r="AH95" i="9"/>
  <c r="AH103" i="9"/>
  <c r="AH111" i="9"/>
  <c r="AH81" i="9"/>
  <c r="AH89" i="9"/>
  <c r="AH118" i="9"/>
  <c r="AH94" i="9"/>
  <c r="AH102" i="9"/>
  <c r="AH110" i="9"/>
  <c r="AH80" i="9"/>
  <c r="AH88" i="9"/>
  <c r="AH100" i="9"/>
  <c r="AH108" i="9"/>
  <c r="AH116" i="9"/>
  <c r="AH86" i="9"/>
  <c r="AK57" i="9"/>
  <c r="AH54" i="9"/>
  <c r="AK49" i="9"/>
  <c r="AH46" i="9"/>
  <c r="AK41" i="9"/>
  <c r="AH38" i="9"/>
  <c r="K69" i="9"/>
  <c r="AF66" i="9"/>
  <c r="AN68" i="9"/>
  <c r="AK65" i="9"/>
  <c r="AE72" i="9"/>
  <c r="AF90" i="9"/>
  <c r="AF86" i="9"/>
  <c r="AF82" i="9"/>
  <c r="AI90" i="9"/>
  <c r="AH85" i="9"/>
  <c r="AK80" i="9"/>
  <c r="AI78" i="9"/>
  <c r="AI76" i="9"/>
  <c r="AF100" i="9"/>
  <c r="AB100" i="9"/>
  <c r="AE109" i="9"/>
  <c r="AE101" i="9"/>
  <c r="AE94" i="9"/>
  <c r="AH115" i="9"/>
  <c r="AK110" i="9"/>
  <c r="AH99" i="9"/>
  <c r="AK94" i="9"/>
  <c r="AF118" i="9"/>
  <c r="AB45" i="39"/>
  <c r="AB68" i="39"/>
  <c r="AF77" i="39"/>
  <c r="AB77" i="39"/>
  <c r="AB36" i="39"/>
  <c r="AF55" i="51"/>
  <c r="AB55" i="51"/>
  <c r="AJ55" i="51"/>
  <c r="AI49" i="51"/>
  <c r="AF39" i="51"/>
  <c r="AB39" i="51"/>
  <c r="AJ39" i="51"/>
  <c r="AF56" i="51"/>
  <c r="AB56" i="51"/>
  <c r="AI56" i="51"/>
  <c r="AF40" i="51"/>
  <c r="AI40" i="51"/>
  <c r="AI39" i="51"/>
  <c r="AF63" i="51"/>
  <c r="AJ63" i="51"/>
  <c r="AA83" i="51"/>
  <c r="K83" i="51"/>
  <c r="AI103" i="51"/>
  <c r="AJ103" i="51"/>
  <c r="AI106" i="51"/>
  <c r="AA52" i="55"/>
  <c r="AA53" i="55"/>
  <c r="AA143" i="55"/>
  <c r="AI49" i="55"/>
  <c r="AF49" i="55"/>
  <c r="AF99" i="55"/>
  <c r="AI99" i="55"/>
  <c r="AI125" i="55"/>
  <c r="AF125" i="55"/>
  <c r="AI124" i="55"/>
  <c r="AF124" i="55"/>
  <c r="AB124" i="55"/>
  <c r="AF123" i="55"/>
  <c r="AB123" i="55"/>
  <c r="AI123" i="55"/>
  <c r="AI57" i="52"/>
  <c r="AJ57" i="52"/>
  <c r="AF57" i="52"/>
  <c r="AB57" i="52"/>
  <c r="AI41" i="52"/>
  <c r="AJ41" i="52"/>
  <c r="AF41" i="52"/>
  <c r="AB41" i="52"/>
  <c r="AF69" i="52"/>
  <c r="AI69" i="52"/>
  <c r="AJ69" i="52"/>
  <c r="AE53" i="17"/>
  <c r="AE62" i="17"/>
  <c r="AE71" i="17"/>
  <c r="AE97" i="17"/>
  <c r="AE119" i="17"/>
  <c r="AE115" i="17"/>
  <c r="AE136" i="17"/>
  <c r="AA168" i="17"/>
  <c r="AE57" i="9"/>
  <c r="AE49" i="9"/>
  <c r="AE45" i="9"/>
  <c r="AE37" i="9"/>
  <c r="AK66" i="9"/>
  <c r="AI64" i="9"/>
  <c r="AA72" i="9"/>
  <c r="AE90" i="9"/>
  <c r="AE86" i="9"/>
  <c r="AE82" i="9"/>
  <c r="AE77" i="9"/>
  <c r="AH90" i="9"/>
  <c r="AH87" i="9"/>
  <c r="AK82" i="9"/>
  <c r="AI80" i="9"/>
  <c r="AI112" i="9"/>
  <c r="AF112" i="9"/>
  <c r="AB112" i="9"/>
  <c r="K105" i="9"/>
  <c r="AI96" i="9"/>
  <c r="AF96" i="9"/>
  <c r="AB96" i="9"/>
  <c r="AF107" i="9"/>
  <c r="AE93" i="9"/>
  <c r="AK112" i="9"/>
  <c r="AI110" i="9"/>
  <c r="AH101" i="9"/>
  <c r="AI94" i="9"/>
  <c r="AF85" i="39"/>
  <c r="AA88" i="39"/>
  <c r="AA145" i="39" s="1"/>
  <c r="AI85" i="39"/>
  <c r="AA141" i="39"/>
  <c r="AB85" i="39"/>
  <c r="AB66" i="39"/>
  <c r="AI66" i="39"/>
  <c r="AF66" i="39"/>
  <c r="AB55" i="39"/>
  <c r="AI45" i="39"/>
  <c r="AF45" i="39"/>
  <c r="AB103" i="39"/>
  <c r="AI108" i="39"/>
  <c r="AB108" i="39"/>
  <c r="AI115" i="39"/>
  <c r="AB115" i="39"/>
  <c r="AA125" i="39"/>
  <c r="AH121" i="39"/>
  <c r="AD126" i="39"/>
  <c r="AE94" i="51"/>
  <c r="AE98" i="51"/>
  <c r="AM98" i="51" s="1"/>
  <c r="AE82" i="51"/>
  <c r="AE86" i="51"/>
  <c r="AE43" i="51"/>
  <c r="AE47" i="51"/>
  <c r="AE91" i="51"/>
  <c r="AE95" i="51"/>
  <c r="AE99" i="51"/>
  <c r="AE103" i="51"/>
  <c r="AE92" i="51"/>
  <c r="AE96" i="51"/>
  <c r="AE100" i="51"/>
  <c r="AE106" i="51"/>
  <c r="AE80" i="51"/>
  <c r="AE84" i="51"/>
  <c r="AE88" i="51"/>
  <c r="AE49" i="51"/>
  <c r="AE57" i="51"/>
  <c r="AE81" i="51"/>
  <c r="AE85" i="51"/>
  <c r="AE54" i="51"/>
  <c r="AE58" i="51"/>
  <c r="K46" i="51"/>
  <c r="AA46" i="51"/>
  <c r="AE36" i="51"/>
  <c r="AJ56" i="51"/>
  <c r="AI69" i="51"/>
  <c r="AJ69" i="51"/>
  <c r="AF69" i="51"/>
  <c r="AM67" i="51"/>
  <c r="AI63" i="51"/>
  <c r="AJ80" i="51"/>
  <c r="AI80" i="51"/>
  <c r="AI86" i="51"/>
  <c r="AF86" i="51"/>
  <c r="AE79" i="51"/>
  <c r="AH88" i="51"/>
  <c r="AI95" i="51"/>
  <c r="AJ95" i="51"/>
  <c r="AJ96" i="51"/>
  <c r="AF96" i="51"/>
  <c r="AE97" i="51"/>
  <c r="AN98" i="51"/>
  <c r="AI96" i="51"/>
  <c r="AE122" i="55"/>
  <c r="AE48" i="55"/>
  <c r="AE49" i="55"/>
  <c r="AE99" i="55"/>
  <c r="AE103" i="55"/>
  <c r="AE85" i="55"/>
  <c r="AE107" i="55"/>
  <c r="AE111" i="55"/>
  <c r="AE45" i="55"/>
  <c r="AE47" i="55"/>
  <c r="AI51" i="52"/>
  <c r="AF51" i="52"/>
  <c r="AB51" i="52"/>
  <c r="AJ51" i="52"/>
  <c r="AI35" i="52"/>
  <c r="AF35" i="52"/>
  <c r="AB35" i="52"/>
  <c r="AJ35" i="52"/>
  <c r="AF79" i="52"/>
  <c r="AB79" i="52"/>
  <c r="AI79" i="52"/>
  <c r="AJ79" i="52"/>
  <c r="AE36" i="17"/>
  <c r="AA92" i="17"/>
  <c r="AA60" i="17"/>
  <c r="AA61" i="17" s="1"/>
  <c r="G60" i="17" s="1"/>
  <c r="AF96" i="17"/>
  <c r="AA110" i="17"/>
  <c r="AF118" i="17"/>
  <c r="AE127" i="17"/>
  <c r="AF139" i="17"/>
  <c r="AF135" i="17"/>
  <c r="AK93" i="9"/>
  <c r="AK101" i="9"/>
  <c r="AK109" i="9"/>
  <c r="AK79" i="9"/>
  <c r="AK87" i="9"/>
  <c r="AK98" i="9"/>
  <c r="AK106" i="9"/>
  <c r="AK114" i="9"/>
  <c r="AK76" i="9"/>
  <c r="AK84" i="9"/>
  <c r="AK97" i="9"/>
  <c r="AK105" i="9"/>
  <c r="AK113" i="9"/>
  <c r="AK83" i="9"/>
  <c r="AK119" i="9"/>
  <c r="AK95" i="9"/>
  <c r="AK103" i="9"/>
  <c r="AK111" i="9"/>
  <c r="AK81" i="9"/>
  <c r="AK51" i="9"/>
  <c r="AK43" i="9"/>
  <c r="AH40" i="9"/>
  <c r="AK35" i="9"/>
  <c r="AK67" i="9"/>
  <c r="AK72" i="9"/>
  <c r="AE81" i="9"/>
  <c r="AK88" i="9"/>
  <c r="AJ84" i="9"/>
  <c r="AH82" i="9"/>
  <c r="AF114" i="9"/>
  <c r="AB114" i="9"/>
  <c r="AF106" i="9"/>
  <c r="AB106" i="9"/>
  <c r="AF98" i="9"/>
  <c r="AB98" i="9"/>
  <c r="AE114" i="9"/>
  <c r="AH112" i="9"/>
  <c r="AK107" i="9"/>
  <c r="AJ98" i="9"/>
  <c r="AH96" i="9"/>
  <c r="AB65" i="39"/>
  <c r="AA44" i="39"/>
  <c r="G43" i="39" s="1"/>
  <c r="AI42" i="39"/>
  <c r="AF42" i="39"/>
  <c r="AF94" i="39"/>
  <c r="O126" i="39"/>
  <c r="AI53" i="51"/>
  <c r="AJ53" i="51"/>
  <c r="AI43" i="51"/>
  <c r="AF43" i="51"/>
  <c r="AI37" i="51"/>
  <c r="AJ37" i="51"/>
  <c r="AI52" i="51"/>
  <c r="AF52" i="51"/>
  <c r="AB52" i="51"/>
  <c r="AI36" i="51"/>
  <c r="AJ36" i="51"/>
  <c r="AF36" i="51"/>
  <c r="AB36" i="51"/>
  <c r="AF67" i="51"/>
  <c r="AI67" i="51"/>
  <c r="AM64" i="51"/>
  <c r="AN64" i="51"/>
  <c r="AA87" i="51"/>
  <c r="K87" i="51"/>
  <c r="AF88" i="51"/>
  <c r="AB93" i="51"/>
  <c r="AJ93" i="51"/>
  <c r="AF93" i="51"/>
  <c r="K91" i="51"/>
  <c r="AA91" i="51"/>
  <c r="AI101" i="51"/>
  <c r="AF105" i="51"/>
  <c r="AJ105" i="51"/>
  <c r="AF103" i="55"/>
  <c r="AI103" i="55"/>
  <c r="AE126" i="55"/>
  <c r="AD127" i="55"/>
  <c r="AF45" i="52"/>
  <c r="AB45" i="52"/>
  <c r="AI45" i="52"/>
  <c r="AJ45" i="52"/>
  <c r="AI65" i="52"/>
  <c r="AF65" i="52"/>
  <c r="AJ65" i="52"/>
  <c r="AI63" i="52"/>
  <c r="AJ63" i="52"/>
  <c r="AF63" i="52"/>
  <c r="AB88" i="52"/>
  <c r="AI88" i="52"/>
  <c r="AJ88" i="52"/>
  <c r="AF88" i="52"/>
  <c r="AE118" i="17"/>
  <c r="AE139" i="17"/>
  <c r="AE135" i="17"/>
  <c r="AE96" i="9"/>
  <c r="AE104" i="9"/>
  <c r="AE108" i="9"/>
  <c r="AE116" i="9"/>
  <c r="AE119" i="9"/>
  <c r="AE52" i="9"/>
  <c r="AE44" i="9"/>
  <c r="AE40" i="9"/>
  <c r="AE36" i="9"/>
  <c r="AJ90" i="9"/>
  <c r="AI82" i="9"/>
  <c r="AJ78" i="9"/>
  <c r="AE89" i="9"/>
  <c r="AE85" i="9"/>
  <c r="AF80" i="9"/>
  <c r="AE76" i="9"/>
  <c r="AK86" i="9"/>
  <c r="AI84" i="9"/>
  <c r="AK77" i="9"/>
  <c r="AF113" i="9"/>
  <c r="AB113" i="9"/>
  <c r="AJ105" i="9"/>
  <c r="AF105" i="9"/>
  <c r="AB105" i="9"/>
  <c r="AF97" i="9"/>
  <c r="AB97" i="9"/>
  <c r="AE113" i="9"/>
  <c r="AE106" i="9"/>
  <c r="AE99" i="9"/>
  <c r="AK116" i="9"/>
  <c r="AK100" i="9"/>
  <c r="AF116" i="9"/>
  <c r="AB116" i="9"/>
  <c r="AK118" i="9"/>
  <c r="AA63" i="39"/>
  <c r="AA64" i="39" s="1"/>
  <c r="G63" i="39" s="1"/>
  <c r="AB61" i="39"/>
  <c r="AB106" i="39"/>
  <c r="AI119" i="39"/>
  <c r="AB119" i="39"/>
  <c r="AF119" i="39"/>
  <c r="AH86" i="51"/>
  <c r="AH36" i="51"/>
  <c r="AH85" i="51"/>
  <c r="AH35" i="51"/>
  <c r="AH43" i="51"/>
  <c r="AH96" i="51"/>
  <c r="AH84" i="51"/>
  <c r="AH58" i="51"/>
  <c r="AH106" i="51"/>
  <c r="AH82" i="51"/>
  <c r="AH40" i="51"/>
  <c r="AH48" i="51"/>
  <c r="AH105" i="51"/>
  <c r="AH81" i="51"/>
  <c r="AH47" i="51"/>
  <c r="AH99" i="51"/>
  <c r="AH79" i="51"/>
  <c r="AH87" i="51"/>
  <c r="K50" i="51"/>
  <c r="AA50" i="51"/>
  <c r="AF49" i="51"/>
  <c r="AJ51" i="51"/>
  <c r="AI65" i="51"/>
  <c r="AF65" i="51"/>
  <c r="AJ65" i="51"/>
  <c r="AJ67" i="51"/>
  <c r="AJ84" i="51"/>
  <c r="AE87" i="51"/>
  <c r="AE93" i="51"/>
  <c r="AH92" i="51"/>
  <c r="AF106" i="55"/>
  <c r="AI106" i="55"/>
  <c r="AB106" i="55"/>
  <c r="AF117" i="55"/>
  <c r="AI117" i="55"/>
  <c r="AB117" i="55"/>
  <c r="AI55" i="52"/>
  <c r="AJ55" i="52"/>
  <c r="AF55" i="52"/>
  <c r="AB55" i="52"/>
  <c r="AI39" i="52"/>
  <c r="AJ39" i="52"/>
  <c r="AF39" i="52"/>
  <c r="AB39" i="52"/>
  <c r="AF70" i="52"/>
  <c r="AI70" i="52"/>
  <c r="AJ70" i="52"/>
  <c r="O127" i="56"/>
  <c r="AE130" i="17"/>
  <c r="AH58" i="9"/>
  <c r="AK53" i="9"/>
  <c r="AK45" i="9"/>
  <c r="AH42" i="9"/>
  <c r="AK37" i="9"/>
  <c r="AK69" i="9"/>
  <c r="AF88" i="9"/>
  <c r="AE80" i="9"/>
  <c r="AI86" i="9"/>
  <c r="AF108" i="9"/>
  <c r="AB108" i="9"/>
  <c r="AE105" i="9"/>
  <c r="AE98" i="9"/>
  <c r="AI116" i="9"/>
  <c r="AH107" i="9"/>
  <c r="AK102" i="9"/>
  <c r="AI100" i="9"/>
  <c r="AI118" i="9"/>
  <c r="AA20" i="39"/>
  <c r="AB87" i="39" s="1"/>
  <c r="AI50" i="39"/>
  <c r="AF50" i="39"/>
  <c r="AI101" i="39"/>
  <c r="AB101" i="39"/>
  <c r="Z126" i="39"/>
  <c r="Z127" i="39" s="1"/>
  <c r="R126" i="39"/>
  <c r="R127" i="39" s="1"/>
  <c r="AA19" i="51"/>
  <c r="AB95" i="51" s="1"/>
  <c r="AI57" i="51"/>
  <c r="AJ57" i="51"/>
  <c r="AF47" i="51"/>
  <c r="AJ47" i="51"/>
  <c r="AI41" i="51"/>
  <c r="AJ41" i="51"/>
  <c r="AF48" i="51"/>
  <c r="AI48" i="51"/>
  <c r="AE40" i="51"/>
  <c r="AJ48" i="51"/>
  <c r="AJ43" i="51"/>
  <c r="AJ40" i="51"/>
  <c r="AJ35" i="51"/>
  <c r="AN62" i="51"/>
  <c r="AF82" i="51"/>
  <c r="AI82" i="51"/>
  <c r="AH83" i="51"/>
  <c r="AA92" i="51"/>
  <c r="AE105" i="51"/>
  <c r="AA19" i="55"/>
  <c r="AB103" i="55" s="1"/>
  <c r="AI141" i="55"/>
  <c r="AF141" i="55"/>
  <c r="AI49" i="52"/>
  <c r="AJ49" i="52"/>
  <c r="AF49" i="52"/>
  <c r="AB49" i="52"/>
  <c r="AF77" i="52"/>
  <c r="AI77" i="52"/>
  <c r="AB77" i="52"/>
  <c r="AJ77" i="52"/>
  <c r="AJ85" i="52"/>
  <c r="AB85" i="52"/>
  <c r="AA90" i="52"/>
  <c r="AF85" i="52"/>
  <c r="AI85" i="52"/>
  <c r="AB87" i="52"/>
  <c r="AF87" i="52"/>
  <c r="AI87" i="52"/>
  <c r="AJ87" i="52"/>
  <c r="AI72" i="56"/>
  <c r="AF72" i="56"/>
  <c r="AI42" i="57"/>
  <c r="AF42" i="57"/>
  <c r="AI124" i="57"/>
  <c r="AF124" i="57"/>
  <c r="AB124" i="57"/>
  <c r="AB39" i="39"/>
  <c r="AE36" i="39"/>
  <c r="AF36" i="39"/>
  <c r="AI36" i="39"/>
  <c r="AH49" i="39"/>
  <c r="AH58" i="39"/>
  <c r="AE69" i="39"/>
  <c r="AH67" i="39"/>
  <c r="AF71" i="39"/>
  <c r="AE75" i="39"/>
  <c r="AI81" i="39"/>
  <c r="AF103" i="39"/>
  <c r="P126" i="39"/>
  <c r="P127" i="39" s="1"/>
  <c r="AA144" i="39"/>
  <c r="K57" i="51"/>
  <c r="K53" i="51"/>
  <c r="K49" i="51"/>
  <c r="K45" i="51"/>
  <c r="K41" i="51"/>
  <c r="K37" i="51"/>
  <c r="AL57" i="51"/>
  <c r="AK56" i="51"/>
  <c r="AL49" i="51"/>
  <c r="AK48" i="51"/>
  <c r="AL41" i="51"/>
  <c r="AK40" i="51"/>
  <c r="K66" i="51"/>
  <c r="AL65" i="51"/>
  <c r="AK64" i="51"/>
  <c r="AL83" i="51"/>
  <c r="AK82" i="51"/>
  <c r="AF97" i="51"/>
  <c r="AL103" i="51"/>
  <c r="AK102" i="51"/>
  <c r="AL95" i="51"/>
  <c r="AK94" i="51"/>
  <c r="AK106" i="51"/>
  <c r="Z16" i="55"/>
  <c r="AF67" i="55"/>
  <c r="AF78" i="55"/>
  <c r="AH85" i="55"/>
  <c r="AA82" i="55"/>
  <c r="AA84" i="55" s="1"/>
  <c r="G82" i="55" s="1"/>
  <c r="AF130" i="55"/>
  <c r="AA56" i="52"/>
  <c r="AA52" i="52"/>
  <c r="AA48" i="52"/>
  <c r="AA44" i="52"/>
  <c r="AA40" i="52"/>
  <c r="AA36" i="52"/>
  <c r="AI58" i="52"/>
  <c r="AL53" i="52"/>
  <c r="AK52" i="52"/>
  <c r="AI50" i="52"/>
  <c r="AL45" i="52"/>
  <c r="AK44" i="52"/>
  <c r="AI42" i="52"/>
  <c r="AL37" i="52"/>
  <c r="AK36" i="52"/>
  <c r="AL69" i="52"/>
  <c r="AK68" i="52"/>
  <c r="AA68" i="52"/>
  <c r="AL79" i="52"/>
  <c r="AK78" i="52"/>
  <c r="AI76" i="52"/>
  <c r="AK88" i="52"/>
  <c r="AA16" i="56"/>
  <c r="AA145" i="56"/>
  <c r="AI85" i="56"/>
  <c r="AB85" i="56"/>
  <c r="AF85" i="56"/>
  <c r="AF115" i="56"/>
  <c r="AI115" i="56"/>
  <c r="AB115" i="56"/>
  <c r="Z16" i="53"/>
  <c r="AI57" i="53"/>
  <c r="AB53" i="53"/>
  <c r="AA43" i="53"/>
  <c r="AF57" i="53"/>
  <c r="AN57" i="53"/>
  <c r="K70" i="53"/>
  <c r="AA70" i="53"/>
  <c r="AM79" i="53"/>
  <c r="AN79" i="53"/>
  <c r="AF88" i="53"/>
  <c r="AI88" i="53"/>
  <c r="AF58" i="57"/>
  <c r="AF102" i="57"/>
  <c r="AI102" i="57"/>
  <c r="AB102" i="57"/>
  <c r="U126" i="57"/>
  <c r="U127" i="57" s="1"/>
  <c r="AF53" i="61"/>
  <c r="AB53" i="61"/>
  <c r="AI43" i="61"/>
  <c r="AF43" i="61"/>
  <c r="AB43" i="61"/>
  <c r="AF37" i="61"/>
  <c r="AB37" i="61"/>
  <c r="AI52" i="61"/>
  <c r="AF52" i="61"/>
  <c r="AB52" i="61"/>
  <c r="AI36" i="61"/>
  <c r="AF36" i="61"/>
  <c r="AB36" i="61"/>
  <c r="AB76" i="61"/>
  <c r="AN84" i="61"/>
  <c r="AM84" i="61"/>
  <c r="AF57" i="62"/>
  <c r="AI57" i="62"/>
  <c r="AI81" i="62"/>
  <c r="AA84" i="62"/>
  <c r="AF81" i="62"/>
  <c r="AF103" i="62"/>
  <c r="AI103" i="62"/>
  <c r="AB103" i="62"/>
  <c r="P126" i="62"/>
  <c r="P127" i="62" s="1"/>
  <c r="AA121" i="62"/>
  <c r="AI54" i="63"/>
  <c r="AJ54" i="63"/>
  <c r="AF54" i="63"/>
  <c r="AB54" i="63"/>
  <c r="AI51" i="63"/>
  <c r="AF51" i="63"/>
  <c r="AB51" i="63"/>
  <c r="AJ51" i="63"/>
  <c r="AI38" i="63"/>
  <c r="AJ38" i="63"/>
  <c r="AF38" i="63"/>
  <c r="AB38" i="63"/>
  <c r="AI35" i="63"/>
  <c r="AF35" i="63"/>
  <c r="AB35" i="63"/>
  <c r="AJ35" i="63"/>
  <c r="AB84" i="63"/>
  <c r="AI84" i="63"/>
  <c r="AF84" i="63"/>
  <c r="AJ84" i="63"/>
  <c r="AF81" i="64"/>
  <c r="AI81" i="64"/>
  <c r="AL62" i="52"/>
  <c r="AA67" i="52"/>
  <c r="AL80" i="52"/>
  <c r="AJ78" i="52"/>
  <c r="AF50" i="56"/>
  <c r="AF119" i="56"/>
  <c r="AI119" i="56"/>
  <c r="AB119" i="56"/>
  <c r="U126" i="56"/>
  <c r="U127" i="56" s="1"/>
  <c r="AF37" i="53"/>
  <c r="AI84" i="53"/>
  <c r="AF84" i="53"/>
  <c r="AB84" i="53"/>
  <c r="AF132" i="57"/>
  <c r="AA146" i="57"/>
  <c r="AI132" i="57"/>
  <c r="K50" i="61"/>
  <c r="AA50" i="61"/>
  <c r="AN69" i="61"/>
  <c r="AM69" i="61"/>
  <c r="AL72" i="61"/>
  <c r="AG91" i="61"/>
  <c r="AH72" i="61"/>
  <c r="AM83" i="61"/>
  <c r="AN83" i="61"/>
  <c r="AM88" i="61"/>
  <c r="AN88" i="61"/>
  <c r="AA143" i="62"/>
  <c r="AI49" i="62"/>
  <c r="AF49" i="62"/>
  <c r="AA52" i="62"/>
  <c r="AA53" i="62"/>
  <c r="AF77" i="63"/>
  <c r="AI77" i="63"/>
  <c r="AB77" i="63"/>
  <c r="AJ77" i="63"/>
  <c r="AH39" i="39"/>
  <c r="AE49" i="39"/>
  <c r="AH47" i="39"/>
  <c r="AE58" i="39"/>
  <c r="AH56" i="39"/>
  <c r="AE67" i="39"/>
  <c r="AH65" i="39"/>
  <c r="AI79" i="39"/>
  <c r="AA52" i="39"/>
  <c r="AF102" i="39"/>
  <c r="AF98" i="39"/>
  <c r="AF109" i="39"/>
  <c r="AF116" i="39"/>
  <c r="AN69" i="51"/>
  <c r="AA72" i="51"/>
  <c r="AL72" i="51"/>
  <c r="AL85" i="51"/>
  <c r="AK84" i="51"/>
  <c r="AL77" i="51"/>
  <c r="AK76" i="51"/>
  <c r="AI102" i="51"/>
  <c r="AL97" i="51"/>
  <c r="AK96" i="51"/>
  <c r="AI94" i="51"/>
  <c r="AF38" i="55"/>
  <c r="AI38" i="55"/>
  <c r="AH83" i="55"/>
  <c r="AA88" i="55"/>
  <c r="AA145" i="55" s="1"/>
  <c r="AA72" i="55"/>
  <c r="AF86" i="55"/>
  <c r="AF100" i="55"/>
  <c r="AF111" i="55"/>
  <c r="AF107" i="55"/>
  <c r="AF118" i="55"/>
  <c r="AF114" i="55"/>
  <c r="AF136" i="55"/>
  <c r="AL55" i="52"/>
  <c r="AK54" i="52"/>
  <c r="AL47" i="52"/>
  <c r="AK46" i="52"/>
  <c r="AL39" i="52"/>
  <c r="AK38" i="52"/>
  <c r="AK70" i="52"/>
  <c r="AN65" i="52"/>
  <c r="AL63" i="52"/>
  <c r="AK62" i="52"/>
  <c r="K77" i="52"/>
  <c r="AK80" i="52"/>
  <c r="AA84" i="52"/>
  <c r="AF40" i="56"/>
  <c r="AF69" i="56"/>
  <c r="AA44" i="56"/>
  <c r="G43" i="56" s="1"/>
  <c r="AF88" i="56"/>
  <c r="AI140" i="56"/>
  <c r="AA141" i="56"/>
  <c r="AF140" i="56"/>
  <c r="AA20" i="53"/>
  <c r="AJ49" i="53" s="1"/>
  <c r="AI49" i="53"/>
  <c r="AI51" i="53"/>
  <c r="AF51" i="53"/>
  <c r="AB51" i="53"/>
  <c r="AF49" i="53"/>
  <c r="AJ37" i="53"/>
  <c r="AM70" i="53"/>
  <c r="AN70" i="53"/>
  <c r="AM62" i="53"/>
  <c r="AN62" i="53"/>
  <c r="K80" i="53"/>
  <c r="AA80" i="53"/>
  <c r="AF77" i="53"/>
  <c r="AI77" i="53"/>
  <c r="AB77" i="53"/>
  <c r="AI55" i="57"/>
  <c r="AI71" i="57"/>
  <c r="AF71" i="57"/>
  <c r="AA72" i="57"/>
  <c r="AA73" i="57"/>
  <c r="AA144" i="57"/>
  <c r="AJ57" i="61"/>
  <c r="AF57" i="61"/>
  <c r="AB57" i="61"/>
  <c r="AI57" i="61"/>
  <c r="AI47" i="61"/>
  <c r="AF47" i="61"/>
  <c r="AB47" i="61"/>
  <c r="AJ41" i="61"/>
  <c r="AF41" i="61"/>
  <c r="AI41" i="61"/>
  <c r="AI48" i="61"/>
  <c r="AJ48" i="61"/>
  <c r="AF48" i="61"/>
  <c r="AB48" i="61"/>
  <c r="AI68" i="61"/>
  <c r="AF68" i="61"/>
  <c r="AI87" i="61"/>
  <c r="AB87" i="61"/>
  <c r="AA20" i="62"/>
  <c r="AI72" i="62"/>
  <c r="AF72" i="62"/>
  <c r="AA74" i="62"/>
  <c r="AA122" i="62"/>
  <c r="O126" i="62"/>
  <c r="AF58" i="63"/>
  <c r="AB58" i="63"/>
  <c r="AI58" i="63"/>
  <c r="AJ58" i="63"/>
  <c r="AJ55" i="63"/>
  <c r="AF55" i="63"/>
  <c r="AB55" i="63"/>
  <c r="AI55" i="63"/>
  <c r="AF42" i="63"/>
  <c r="AB42" i="63"/>
  <c r="AI42" i="63"/>
  <c r="AJ42" i="63"/>
  <c r="AJ39" i="63"/>
  <c r="AF39" i="63"/>
  <c r="AB39" i="63"/>
  <c r="AI39" i="63"/>
  <c r="AM76" i="63"/>
  <c r="AN76" i="63"/>
  <c r="AB99" i="54"/>
  <c r="AH38" i="39"/>
  <c r="AF41" i="39"/>
  <c r="AI41" i="39"/>
  <c r="AE48" i="39"/>
  <c r="AH46" i="39"/>
  <c r="AE57" i="39"/>
  <c r="AH55" i="39"/>
  <c r="AE66" i="39"/>
  <c r="AF68" i="39"/>
  <c r="AH79" i="39"/>
  <c r="AF79" i="39"/>
  <c r="AA93" i="39"/>
  <c r="AE102" i="39"/>
  <c r="AE98" i="39"/>
  <c r="AH100" i="39"/>
  <c r="AE109" i="39"/>
  <c r="AH111" i="39"/>
  <c r="AH107" i="39"/>
  <c r="AE116" i="39"/>
  <c r="AH114" i="39"/>
  <c r="AL52" i="51"/>
  <c r="AK51" i="51"/>
  <c r="AL44" i="51"/>
  <c r="AK43" i="51"/>
  <c r="AL36" i="51"/>
  <c r="AK35" i="51"/>
  <c r="K67" i="51"/>
  <c r="AL68" i="51"/>
  <c r="AK67" i="51"/>
  <c r="AL86" i="51"/>
  <c r="AK85" i="51"/>
  <c r="AL78" i="51"/>
  <c r="AK77" i="51"/>
  <c r="K95" i="51"/>
  <c r="AL98" i="51"/>
  <c r="AK97" i="51"/>
  <c r="AG109" i="51"/>
  <c r="AF37" i="55"/>
  <c r="AI37" i="55"/>
  <c r="AF46" i="55"/>
  <c r="AB78" i="55"/>
  <c r="AF75" i="55"/>
  <c r="AF85" i="55"/>
  <c r="AF140" i="55"/>
  <c r="AB58" i="52"/>
  <c r="AB54" i="52"/>
  <c r="AB50" i="52"/>
  <c r="AB46" i="52"/>
  <c r="AB42" i="52"/>
  <c r="AB38" i="52"/>
  <c r="AF58" i="52"/>
  <c r="AF54" i="52"/>
  <c r="AF50" i="52"/>
  <c r="AF46" i="52"/>
  <c r="AF42" i="52"/>
  <c r="AF38" i="52"/>
  <c r="AL56" i="52"/>
  <c r="AK55" i="52"/>
  <c r="AJ54" i="52"/>
  <c r="AL48" i="52"/>
  <c r="AK47" i="52"/>
  <c r="AJ46" i="52"/>
  <c r="AL40" i="52"/>
  <c r="AK39" i="52"/>
  <c r="AJ38" i="52"/>
  <c r="K63" i="52"/>
  <c r="AL64" i="52"/>
  <c r="AK63" i="52"/>
  <c r="AB80" i="52"/>
  <c r="AB76" i="52"/>
  <c r="AJ80" i="52"/>
  <c r="AB83" i="52"/>
  <c r="AL83" i="52"/>
  <c r="AF80" i="56"/>
  <c r="AB80" i="56"/>
  <c r="AA62" i="56"/>
  <c r="AA63" i="56"/>
  <c r="AA144" i="56"/>
  <c r="AA122" i="56"/>
  <c r="S126" i="56"/>
  <c r="S127" i="56" s="1"/>
  <c r="AB49" i="53"/>
  <c r="AA39" i="53"/>
  <c r="K62" i="53"/>
  <c r="AA62" i="53"/>
  <c r="AB88" i="53"/>
  <c r="AF55" i="57"/>
  <c r="AI50" i="57"/>
  <c r="AF50" i="57"/>
  <c r="Z126" i="57"/>
  <c r="Z127" i="57" s="1"/>
  <c r="R126" i="57"/>
  <c r="R127" i="57" s="1"/>
  <c r="AA121" i="57"/>
  <c r="AD126" i="57"/>
  <c r="K54" i="61"/>
  <c r="AA54" i="61"/>
  <c r="K38" i="61"/>
  <c r="AA38" i="61"/>
  <c r="AI63" i="61"/>
  <c r="AF63" i="61"/>
  <c r="AA65" i="61"/>
  <c r="AA79" i="61"/>
  <c r="K79" i="61"/>
  <c r="AI94" i="62"/>
  <c r="AF94" i="62"/>
  <c r="AF106" i="62"/>
  <c r="AI106" i="62"/>
  <c r="AB106" i="62"/>
  <c r="AF117" i="62"/>
  <c r="AI117" i="62"/>
  <c r="AB117" i="62"/>
  <c r="AF124" i="62"/>
  <c r="AB124" i="62"/>
  <c r="AI124" i="62"/>
  <c r="AA123" i="62"/>
  <c r="AH126" i="62"/>
  <c r="AG127" i="62"/>
  <c r="AF64" i="63"/>
  <c r="AI64" i="63"/>
  <c r="AJ64" i="63"/>
  <c r="AI94" i="64"/>
  <c r="AF94" i="64"/>
  <c r="AF134" i="55"/>
  <c r="AL57" i="52"/>
  <c r="AL49" i="52"/>
  <c r="AL41" i="52"/>
  <c r="AL65" i="52"/>
  <c r="AI80" i="52"/>
  <c r="AL84" i="52"/>
  <c r="AF125" i="56"/>
  <c r="AI125" i="56"/>
  <c r="AB125" i="56"/>
  <c r="AE126" i="56"/>
  <c r="AD127" i="56"/>
  <c r="AI41" i="53"/>
  <c r="AJ41" i="53"/>
  <c r="AM37" i="53"/>
  <c r="AN37" i="53"/>
  <c r="AF41" i="53"/>
  <c r="AJ87" i="53"/>
  <c r="AI79" i="57"/>
  <c r="AB79" i="57"/>
  <c r="AA81" i="57"/>
  <c r="AF79" i="57"/>
  <c r="AI62" i="57"/>
  <c r="AF62" i="57"/>
  <c r="AA64" i="57"/>
  <c r="G63" i="57" s="1"/>
  <c r="AB39" i="57"/>
  <c r="AA143" i="57"/>
  <c r="AI39" i="57"/>
  <c r="AF39" i="57"/>
  <c r="AA43" i="57"/>
  <c r="AA44" i="57" s="1"/>
  <c r="G43" i="57" s="1"/>
  <c r="AI51" i="61"/>
  <c r="AF51" i="61"/>
  <c r="AB51" i="61"/>
  <c r="AF45" i="61"/>
  <c r="AB45" i="61"/>
  <c r="AJ45" i="61"/>
  <c r="AI35" i="61"/>
  <c r="AF35" i="61"/>
  <c r="AB35" i="61"/>
  <c r="AI44" i="61"/>
  <c r="AF44" i="61"/>
  <c r="AB44" i="61"/>
  <c r="AA72" i="61"/>
  <c r="Q91" i="61"/>
  <c r="AF76" i="61"/>
  <c r="AA19" i="62"/>
  <c r="AI46" i="63"/>
  <c r="AJ46" i="63"/>
  <c r="AF46" i="63"/>
  <c r="AB46" i="63"/>
  <c r="AI43" i="63"/>
  <c r="AF43" i="63"/>
  <c r="AB43" i="63"/>
  <c r="AJ43" i="63"/>
  <c r="AB83" i="63"/>
  <c r="AF83" i="63"/>
  <c r="AI83" i="63"/>
  <c r="AJ83" i="63"/>
  <c r="AB121" i="64"/>
  <c r="AI121" i="64"/>
  <c r="AF121" i="64"/>
  <c r="AB95" i="54"/>
  <c r="AB44" i="54"/>
  <c r="AB36" i="54"/>
  <c r="AB48" i="54"/>
  <c r="AB115" i="54"/>
  <c r="AB40" i="54"/>
  <c r="AB103" i="54"/>
  <c r="AB87" i="54"/>
  <c r="AE39" i="39"/>
  <c r="AE46" i="39"/>
  <c r="AE55" i="39"/>
  <c r="AE78" i="39"/>
  <c r="AE101" i="39"/>
  <c r="AE108" i="39"/>
  <c r="AE119" i="39"/>
  <c r="AE115" i="39"/>
  <c r="AE121" i="39"/>
  <c r="AJ98" i="51"/>
  <c r="AF70" i="55"/>
  <c r="O126" i="55"/>
  <c r="AL58" i="52"/>
  <c r="AL50" i="52"/>
  <c r="AL42" i="52"/>
  <c r="AN68" i="52"/>
  <c r="AL66" i="52"/>
  <c r="AJ64" i="52"/>
  <c r="AF76" i="52"/>
  <c r="AL76" i="52"/>
  <c r="AL85" i="52"/>
  <c r="AJ83" i="52"/>
  <c r="AB69" i="56"/>
  <c r="AA73" i="56"/>
  <c r="AA74" i="56" s="1"/>
  <c r="G73" i="56" s="1"/>
  <c r="AA47" i="53"/>
  <c r="AF53" i="53"/>
  <c r="AF69" i="53"/>
  <c r="AI69" i="53"/>
  <c r="AN67" i="53"/>
  <c r="O127" i="57"/>
  <c r="K58" i="61"/>
  <c r="AA58" i="61"/>
  <c r="K42" i="61"/>
  <c r="AA42" i="61"/>
  <c r="AJ51" i="61"/>
  <c r="AB49" i="62"/>
  <c r="AF110" i="62"/>
  <c r="AI110" i="62"/>
  <c r="AB110" i="62"/>
  <c r="AI125" i="62"/>
  <c r="AF125" i="62"/>
  <c r="AI69" i="63"/>
  <c r="AJ69" i="63"/>
  <c r="AF69" i="63"/>
  <c r="AF67" i="63"/>
  <c r="AI67" i="63"/>
  <c r="AJ67" i="63"/>
  <c r="AF141" i="64"/>
  <c r="AI141" i="64"/>
  <c r="AE38" i="39"/>
  <c r="AH35" i="39"/>
  <c r="AE45" i="39"/>
  <c r="AB51" i="39"/>
  <c r="AF47" i="39"/>
  <c r="AH69" i="39"/>
  <c r="AF65" i="39"/>
  <c r="AI65" i="39"/>
  <c r="AE77" i="39"/>
  <c r="AH76" i="39"/>
  <c r="AB102" i="39"/>
  <c r="AB98" i="39"/>
  <c r="AB109" i="39"/>
  <c r="AB116" i="39"/>
  <c r="AK54" i="51"/>
  <c r="AK46" i="51"/>
  <c r="AK38" i="51"/>
  <c r="AK70" i="51"/>
  <c r="AL63" i="51"/>
  <c r="AK62" i="51"/>
  <c r="AK88" i="51"/>
  <c r="AL81" i="51"/>
  <c r="AK80" i="51"/>
  <c r="AF98" i="51"/>
  <c r="AL101" i="51"/>
  <c r="AK100" i="51"/>
  <c r="AL93" i="51"/>
  <c r="AK92" i="51"/>
  <c r="AL105" i="51"/>
  <c r="AH39" i="55"/>
  <c r="AH47" i="55"/>
  <c r="AF51" i="55"/>
  <c r="AF69" i="55"/>
  <c r="AI69" i="55"/>
  <c r="AB100" i="55"/>
  <c r="AB107" i="55"/>
  <c r="AB118" i="55"/>
  <c r="AB114" i="55"/>
  <c r="AK58" i="52"/>
  <c r="AL51" i="52"/>
  <c r="AK50" i="52"/>
  <c r="AL43" i="52"/>
  <c r="AK42" i="52"/>
  <c r="AL35" i="52"/>
  <c r="AL67" i="52"/>
  <c r="AK66" i="52"/>
  <c r="AA72" i="52"/>
  <c r="AL72" i="52"/>
  <c r="K79" i="52"/>
  <c r="AL77" i="52"/>
  <c r="AK76" i="52"/>
  <c r="AK85" i="52"/>
  <c r="AL87" i="52"/>
  <c r="AF45" i="56"/>
  <c r="AI45" i="56"/>
  <c r="AF93" i="56"/>
  <c r="AI93" i="56"/>
  <c r="AB77" i="56"/>
  <c r="AF77" i="56"/>
  <c r="AF101" i="56"/>
  <c r="AI101" i="56"/>
  <c r="AB101" i="56"/>
  <c r="AA124" i="56"/>
  <c r="X126" i="56"/>
  <c r="X127" i="56" s="1"/>
  <c r="P126" i="56"/>
  <c r="P127" i="56" s="1"/>
  <c r="AB45" i="53"/>
  <c r="AA35" i="53"/>
  <c r="AJ53" i="53"/>
  <c r="AJ69" i="53"/>
  <c r="AI66" i="53"/>
  <c r="AJ66" i="53"/>
  <c r="AB71" i="57"/>
  <c r="AI87" i="57"/>
  <c r="AA94" i="57"/>
  <c r="AA88" i="57"/>
  <c r="AF87" i="57"/>
  <c r="AA93" i="57"/>
  <c r="AI47" i="57"/>
  <c r="AF47" i="57"/>
  <c r="AF98" i="57"/>
  <c r="AI98" i="57"/>
  <c r="AB98" i="57"/>
  <c r="AF109" i="57"/>
  <c r="AI109" i="57"/>
  <c r="AB109" i="57"/>
  <c r="AF116" i="57"/>
  <c r="AI116" i="57"/>
  <c r="AB116" i="57"/>
  <c r="AA122" i="57"/>
  <c r="V126" i="57"/>
  <c r="V127" i="57" s="1"/>
  <c r="AH126" i="57"/>
  <c r="AI136" i="57"/>
  <c r="AA19" i="61"/>
  <c r="AB41" i="61" s="1"/>
  <c r="AI55" i="61"/>
  <c r="AJ55" i="61"/>
  <c r="AF55" i="61"/>
  <c r="AB55" i="61"/>
  <c r="AF49" i="61"/>
  <c r="AB49" i="61"/>
  <c r="AI49" i="61"/>
  <c r="AI39" i="61"/>
  <c r="AJ39" i="61"/>
  <c r="AF39" i="61"/>
  <c r="AB39" i="61"/>
  <c r="AI56" i="61"/>
  <c r="AJ56" i="61"/>
  <c r="AF56" i="61"/>
  <c r="AB56" i="61"/>
  <c r="AI40" i="61"/>
  <c r="AJ40" i="61"/>
  <c r="AF40" i="61"/>
  <c r="AB40" i="61"/>
  <c r="K64" i="61"/>
  <c r="AA64" i="61"/>
  <c r="AF67" i="61"/>
  <c r="AM64" i="61"/>
  <c r="AN64" i="61"/>
  <c r="AF80" i="61"/>
  <c r="AI80" i="61"/>
  <c r="AI78" i="61"/>
  <c r="AF78" i="61"/>
  <c r="AI83" i="61"/>
  <c r="AJ83" i="61"/>
  <c r="AF83" i="61"/>
  <c r="G82" i="62"/>
  <c r="AB65" i="62"/>
  <c r="AI65" i="62"/>
  <c r="AF65" i="62"/>
  <c r="AA144" i="62"/>
  <c r="AB41" i="62"/>
  <c r="AA42" i="62"/>
  <c r="AI41" i="62"/>
  <c r="AF41" i="62"/>
  <c r="AF99" i="62"/>
  <c r="AI99" i="62"/>
  <c r="AB99" i="62"/>
  <c r="AD127" i="62"/>
  <c r="AE126" i="62"/>
  <c r="AF50" i="63"/>
  <c r="AB50" i="63"/>
  <c r="AI50" i="63"/>
  <c r="AJ50" i="63"/>
  <c r="AJ47" i="63"/>
  <c r="AF47" i="63"/>
  <c r="AB47" i="63"/>
  <c r="AI47" i="63"/>
  <c r="AI65" i="63"/>
  <c r="AF65" i="63"/>
  <c r="AJ65" i="63"/>
  <c r="G73" i="64"/>
  <c r="AE37" i="39"/>
  <c r="AH59" i="39"/>
  <c r="AH68" i="39"/>
  <c r="AE76" i="39"/>
  <c r="AH75" i="39"/>
  <c r="AE100" i="39"/>
  <c r="AH102" i="39"/>
  <c r="AH98" i="39"/>
  <c r="AE111" i="39"/>
  <c r="AE107" i="39"/>
  <c r="AH109" i="39"/>
  <c r="AE118" i="39"/>
  <c r="AE114" i="39"/>
  <c r="AH116" i="39"/>
  <c r="AL82" i="51"/>
  <c r="AK81" i="51"/>
  <c r="AL102" i="51"/>
  <c r="AK101" i="51"/>
  <c r="AL94" i="51"/>
  <c r="AK93" i="51"/>
  <c r="AI85" i="55"/>
  <c r="AH111" i="55"/>
  <c r="AL52" i="52"/>
  <c r="AK51" i="52"/>
  <c r="AL44" i="52"/>
  <c r="AK43" i="52"/>
  <c r="AL36" i="52"/>
  <c r="AK35" i="52"/>
  <c r="AL68" i="52"/>
  <c r="AK67" i="52"/>
  <c r="AK72" i="52"/>
  <c r="AL78" i="52"/>
  <c r="AK77" i="52"/>
  <c r="AF52" i="56"/>
  <c r="AI52" i="56"/>
  <c r="AF108" i="56"/>
  <c r="AI108" i="56"/>
  <c r="AB108" i="56"/>
  <c r="AA123" i="56"/>
  <c r="AA121" i="56"/>
  <c r="AA19" i="53"/>
  <c r="AB78" i="53" s="1"/>
  <c r="AJ55" i="53"/>
  <c r="AF55" i="53"/>
  <c r="AB55" i="53"/>
  <c r="AF45" i="53"/>
  <c r="AI55" i="53"/>
  <c r="AI65" i="53"/>
  <c r="AF65" i="53"/>
  <c r="AJ65" i="53"/>
  <c r="AA63" i="53"/>
  <c r="AF79" i="53"/>
  <c r="AI79" i="53"/>
  <c r="K76" i="53"/>
  <c r="AA76" i="53"/>
  <c r="AI83" i="53"/>
  <c r="AB83" i="53"/>
  <c r="AF83" i="53"/>
  <c r="AA20" i="57"/>
  <c r="AI58" i="57"/>
  <c r="AB66" i="57"/>
  <c r="AI66" i="57"/>
  <c r="AF66" i="57"/>
  <c r="AA125" i="57"/>
  <c r="AA123" i="57"/>
  <c r="AA20" i="61"/>
  <c r="AJ37" i="61" s="1"/>
  <c r="K46" i="61"/>
  <c r="AA46" i="61"/>
  <c r="AI53" i="61"/>
  <c r="AI45" i="61"/>
  <c r="AI37" i="61"/>
  <c r="AM80" i="61"/>
  <c r="AA90" i="61"/>
  <c r="AF85" i="61"/>
  <c r="AJ85" i="61"/>
  <c r="AB85" i="61"/>
  <c r="G73" i="62"/>
  <c r="AA64" i="62"/>
  <c r="G63" i="62" s="1"/>
  <c r="AB83" i="54"/>
  <c r="AA81" i="56"/>
  <c r="AF87" i="56"/>
  <c r="AA143" i="56"/>
  <c r="AJ52" i="53"/>
  <c r="AL46" i="53"/>
  <c r="AK45" i="53"/>
  <c r="AJ44" i="53"/>
  <c r="AL38" i="53"/>
  <c r="AK37" i="53"/>
  <c r="AJ36" i="53"/>
  <c r="AF68" i="53"/>
  <c r="AL70" i="53"/>
  <c r="AK69" i="53"/>
  <c r="AL62" i="53"/>
  <c r="AA67" i="53"/>
  <c r="AF78" i="53"/>
  <c r="AL80" i="53"/>
  <c r="AK79" i="53"/>
  <c r="AJ78" i="53"/>
  <c r="AI87" i="53"/>
  <c r="AF68" i="57"/>
  <c r="AK51" i="61"/>
  <c r="AK43" i="61"/>
  <c r="AL36" i="61"/>
  <c r="AK35" i="61"/>
  <c r="AL68" i="61"/>
  <c r="AK67" i="61"/>
  <c r="AA69" i="61"/>
  <c r="AK72" i="61"/>
  <c r="AL78" i="61"/>
  <c r="AK77" i="61"/>
  <c r="AF84" i="61"/>
  <c r="AI84" i="61"/>
  <c r="AL88" i="61"/>
  <c r="AK87" i="61"/>
  <c r="AB76" i="62"/>
  <c r="AH121" i="62"/>
  <c r="AF141" i="62"/>
  <c r="AI134" i="62"/>
  <c r="AL58" i="63"/>
  <c r="AJ56" i="63"/>
  <c r="AL50" i="63"/>
  <c r="AJ48" i="63"/>
  <c r="AL42" i="63"/>
  <c r="AJ40" i="63"/>
  <c r="B62" i="63"/>
  <c r="AF70" i="63"/>
  <c r="AF62" i="63"/>
  <c r="AL66" i="63"/>
  <c r="AK65" i="63"/>
  <c r="AA63" i="63"/>
  <c r="AE72" i="63"/>
  <c r="AB79" i="63"/>
  <c r="AF80" i="63"/>
  <c r="AF76" i="63"/>
  <c r="AL76" i="63"/>
  <c r="AF85" i="63"/>
  <c r="AL85" i="63"/>
  <c r="AK84" i="63"/>
  <c r="AB88" i="63"/>
  <c r="AA90" i="63"/>
  <c r="AG91" i="63"/>
  <c r="AF46" i="64"/>
  <c r="AB78" i="64"/>
  <c r="AF75" i="64"/>
  <c r="AA63" i="64"/>
  <c r="AA143" i="64"/>
  <c r="AI106" i="64"/>
  <c r="AA124" i="64"/>
  <c r="AK98" i="54"/>
  <c r="AK106" i="54"/>
  <c r="AK114" i="54"/>
  <c r="AK76" i="54"/>
  <c r="AK84" i="54"/>
  <c r="AK66" i="54"/>
  <c r="AK41" i="54"/>
  <c r="AK49" i="54"/>
  <c r="AK57" i="54"/>
  <c r="AK97" i="54"/>
  <c r="AK105" i="54"/>
  <c r="AK113" i="54"/>
  <c r="AK83" i="54"/>
  <c r="AK65" i="54"/>
  <c r="AK40" i="54"/>
  <c r="AK48" i="54"/>
  <c r="AK56" i="54"/>
  <c r="AK96" i="54"/>
  <c r="AK104" i="54"/>
  <c r="AK112" i="54"/>
  <c r="AK82" i="54"/>
  <c r="AK90" i="54"/>
  <c r="AK64" i="54"/>
  <c r="AK39" i="54"/>
  <c r="AK47" i="54"/>
  <c r="AK55" i="54"/>
  <c r="AK118" i="54"/>
  <c r="AK94" i="54"/>
  <c r="AK102" i="54"/>
  <c r="AK110" i="54"/>
  <c r="AK80" i="54"/>
  <c r="AK88" i="54"/>
  <c r="AK62" i="54"/>
  <c r="AK70" i="54"/>
  <c r="AK37" i="54"/>
  <c r="AK45" i="54"/>
  <c r="AK53" i="54"/>
  <c r="AK117" i="54"/>
  <c r="AK93" i="54"/>
  <c r="AK101" i="54"/>
  <c r="AK109" i="54"/>
  <c r="AK79" i="54"/>
  <c r="AK87" i="54"/>
  <c r="AK69" i="54"/>
  <c r="AK36" i="54"/>
  <c r="AK44" i="54"/>
  <c r="AK52" i="54"/>
  <c r="AK99" i="54"/>
  <c r="AK107" i="54"/>
  <c r="AK115" i="54"/>
  <c r="AK77" i="54"/>
  <c r="AK85" i="54"/>
  <c r="AK67" i="54"/>
  <c r="AK42" i="54"/>
  <c r="AK50" i="54"/>
  <c r="AK58" i="54"/>
  <c r="K41" i="54"/>
  <c r="AA41" i="54"/>
  <c r="K69" i="54"/>
  <c r="AA69" i="54"/>
  <c r="AI64" i="54"/>
  <c r="AF64" i="54"/>
  <c r="AI68" i="54"/>
  <c r="AF68" i="54"/>
  <c r="AM68" i="54"/>
  <c r="AM76" i="54"/>
  <c r="AK81" i="54"/>
  <c r="AB106" i="54"/>
  <c r="AK103" i="54"/>
  <c r="AJ92" i="11"/>
  <c r="AA57" i="63"/>
  <c r="AA53" i="63"/>
  <c r="AA49" i="63"/>
  <c r="AA45" i="63"/>
  <c r="AA41" i="63"/>
  <c r="AA37" i="63"/>
  <c r="AA72" i="63"/>
  <c r="AA62" i="64"/>
  <c r="AI54" i="54"/>
  <c r="AF54" i="54"/>
  <c r="AB54" i="54"/>
  <c r="AI38" i="54"/>
  <c r="AF38" i="54"/>
  <c r="AB38" i="54"/>
  <c r="AA51" i="54"/>
  <c r="AI43" i="54"/>
  <c r="AF43" i="54"/>
  <c r="AB43" i="54"/>
  <c r="AA62" i="54"/>
  <c r="K62" i="54"/>
  <c r="AI65" i="54"/>
  <c r="AA78" i="54"/>
  <c r="K78" i="54"/>
  <c r="AF85" i="54"/>
  <c r="AI85" i="54"/>
  <c r="AB85" i="54"/>
  <c r="K104" i="54"/>
  <c r="AA104" i="54"/>
  <c r="AB93" i="54"/>
  <c r="AF93" i="54"/>
  <c r="AI94" i="54"/>
  <c r="AB94" i="54"/>
  <c r="AF94" i="54"/>
  <c r="G43" i="58"/>
  <c r="AF93" i="58"/>
  <c r="AI93" i="58"/>
  <c r="AI123" i="58"/>
  <c r="AF123" i="58"/>
  <c r="AJ87" i="11"/>
  <c r="AF87" i="11"/>
  <c r="AI87" i="11"/>
  <c r="AB87" i="11"/>
  <c r="AJ89" i="11"/>
  <c r="AB89" i="11"/>
  <c r="AF89" i="11"/>
  <c r="AI89" i="11"/>
  <c r="AL56" i="53"/>
  <c r="AK55" i="53"/>
  <c r="AL48" i="53"/>
  <c r="AK47" i="53"/>
  <c r="AL40" i="53"/>
  <c r="AK39" i="53"/>
  <c r="AN66" i="53"/>
  <c r="AL64" i="53"/>
  <c r="AK63" i="53"/>
  <c r="AL83" i="53"/>
  <c r="AF87" i="53"/>
  <c r="AD91" i="53"/>
  <c r="AB80" i="57"/>
  <c r="AI76" i="57"/>
  <c r="AF91" i="57"/>
  <c r="AA16" i="61"/>
  <c r="AL54" i="61"/>
  <c r="AK53" i="61"/>
  <c r="AL46" i="61"/>
  <c r="AK45" i="61"/>
  <c r="AL38" i="61"/>
  <c r="AK37" i="61"/>
  <c r="AL70" i="61"/>
  <c r="AK69" i="61"/>
  <c r="AL62" i="61"/>
  <c r="AB77" i="61"/>
  <c r="AL80" i="61"/>
  <c r="AK79" i="61"/>
  <c r="AF88" i="61"/>
  <c r="AJ88" i="61"/>
  <c r="AB36" i="62"/>
  <c r="AF50" i="62"/>
  <c r="AB69" i="62"/>
  <c r="AF68" i="62"/>
  <c r="AI68" i="62"/>
  <c r="AI78" i="62"/>
  <c r="AI85" i="62"/>
  <c r="AA93" i="62"/>
  <c r="AI140" i="62"/>
  <c r="AB56" i="63"/>
  <c r="AB52" i="63"/>
  <c r="AB48" i="63"/>
  <c r="AB44" i="63"/>
  <c r="AB40" i="63"/>
  <c r="AB36" i="63"/>
  <c r="AF52" i="63"/>
  <c r="AF44" i="63"/>
  <c r="AF36" i="63"/>
  <c r="AL52" i="63"/>
  <c r="AK51" i="63"/>
  <c r="AL44" i="63"/>
  <c r="AK43" i="63"/>
  <c r="AL36" i="63"/>
  <c r="AK35" i="63"/>
  <c r="K67" i="63"/>
  <c r="AL68" i="63"/>
  <c r="AK67" i="63"/>
  <c r="AK72" i="63"/>
  <c r="AF79" i="63"/>
  <c r="AL78" i="63"/>
  <c r="AK77" i="63"/>
  <c r="AJ76" i="63"/>
  <c r="K84" i="63"/>
  <c r="AB85" i="63"/>
  <c r="AJ85" i="63"/>
  <c r="AB87" i="63"/>
  <c r="AL88" i="63"/>
  <c r="AK87" i="63"/>
  <c r="AB38" i="64"/>
  <c r="AF35" i="64"/>
  <c r="AI35" i="64"/>
  <c r="AF70" i="64"/>
  <c r="AB76" i="64"/>
  <c r="AI80" i="64"/>
  <c r="AA53" i="64"/>
  <c r="AI87" i="64"/>
  <c r="AI91" i="64"/>
  <c r="AI100" i="64"/>
  <c r="AB111" i="64"/>
  <c r="S126" i="64"/>
  <c r="S127" i="64" s="1"/>
  <c r="AA57" i="54"/>
  <c r="AA49" i="54"/>
  <c r="AF67" i="54"/>
  <c r="AI67" i="54"/>
  <c r="AF65" i="54"/>
  <c r="AA82" i="54"/>
  <c r="K82" i="54"/>
  <c r="AK89" i="54"/>
  <c r="AK111" i="54"/>
  <c r="AI93" i="54"/>
  <c r="AF103" i="56"/>
  <c r="K57" i="53"/>
  <c r="K53" i="53"/>
  <c r="K49" i="53"/>
  <c r="K45" i="53"/>
  <c r="K41" i="53"/>
  <c r="K37" i="53"/>
  <c r="AA58" i="53"/>
  <c r="AA54" i="53"/>
  <c r="AA50" i="53"/>
  <c r="AA46" i="53"/>
  <c r="AA42" i="53"/>
  <c r="AA38" i="53"/>
  <c r="AL57" i="53"/>
  <c r="AK56" i="53"/>
  <c r="AL49" i="53"/>
  <c r="AK48" i="53"/>
  <c r="AL41" i="53"/>
  <c r="AK40" i="53"/>
  <c r="AL65" i="53"/>
  <c r="AK64" i="53"/>
  <c r="AA64" i="53"/>
  <c r="K83" i="53"/>
  <c r="AL84" i="53"/>
  <c r="AK83" i="53"/>
  <c r="AF76" i="57"/>
  <c r="AK54" i="61"/>
  <c r="AK46" i="61"/>
  <c r="AK38" i="61"/>
  <c r="AK70" i="61"/>
  <c r="AL63" i="61"/>
  <c r="AK62" i="61"/>
  <c r="AA66" i="61"/>
  <c r="AK80" i="61"/>
  <c r="AI88" i="61"/>
  <c r="AF92" i="62"/>
  <c r="AA78" i="63"/>
  <c r="AL79" i="63"/>
  <c r="AK78" i="63"/>
  <c r="AK88" i="63"/>
  <c r="AJ87" i="63"/>
  <c r="AA16" i="64"/>
  <c r="AF51" i="64"/>
  <c r="AI51" i="64"/>
  <c r="AB75" i="64"/>
  <c r="AA52" i="64"/>
  <c r="AI86" i="64"/>
  <c r="AB100" i="64"/>
  <c r="AB106" i="64"/>
  <c r="AD126" i="64"/>
  <c r="AA20" i="54"/>
  <c r="AJ58" i="54" s="1"/>
  <c r="AF58" i="54"/>
  <c r="AB58" i="54"/>
  <c r="AI58" i="54"/>
  <c r="AF42" i="54"/>
  <c r="AB42" i="54"/>
  <c r="AI42" i="54"/>
  <c r="AN65" i="54"/>
  <c r="AA86" i="54"/>
  <c r="K86" i="54"/>
  <c r="AA113" i="54"/>
  <c r="K113" i="54"/>
  <c r="K96" i="54"/>
  <c r="AA96" i="54"/>
  <c r="AB114" i="54"/>
  <c r="AJ114" i="54"/>
  <c r="AI102" i="54"/>
  <c r="AB102" i="54"/>
  <c r="AI106" i="54"/>
  <c r="AA19" i="58"/>
  <c r="AB123" i="58" s="1"/>
  <c r="AI77" i="58"/>
  <c r="AF77" i="58"/>
  <c r="AF121" i="58"/>
  <c r="AI121" i="58"/>
  <c r="AE126" i="58"/>
  <c r="AD127" i="58"/>
  <c r="AJ60" i="11"/>
  <c r="AJ74" i="11"/>
  <c r="AJ59" i="11"/>
  <c r="AJ88" i="11"/>
  <c r="AJ78" i="11"/>
  <c r="AJ40" i="11"/>
  <c r="AJ48" i="11"/>
  <c r="AJ62" i="11"/>
  <c r="AI35" i="11"/>
  <c r="AJ35" i="11"/>
  <c r="AB35" i="11"/>
  <c r="AF35" i="11"/>
  <c r="AJ77" i="11"/>
  <c r="AJ52" i="63"/>
  <c r="AJ44" i="63"/>
  <c r="AJ36" i="63"/>
  <c r="AJ68" i="63"/>
  <c r="AA93" i="64"/>
  <c r="AI125" i="64"/>
  <c r="AB125" i="64"/>
  <c r="Y126" i="64"/>
  <c r="Y127" i="64" s="1"/>
  <c r="Q126" i="64"/>
  <c r="Q127" i="64" s="1"/>
  <c r="AF125" i="64"/>
  <c r="AJ56" i="54"/>
  <c r="AI39" i="54"/>
  <c r="AF39" i="54"/>
  <c r="AB39" i="54"/>
  <c r="AA70" i="54"/>
  <c r="K70" i="54"/>
  <c r="AM64" i="54"/>
  <c r="AN64" i="54"/>
  <c r="AA90" i="54"/>
  <c r="K90" i="54"/>
  <c r="AJ79" i="54"/>
  <c r="AF79" i="54"/>
  <c r="AI81" i="54"/>
  <c r="AF81" i="54"/>
  <c r="AJ81" i="54"/>
  <c r="AB81" i="54"/>
  <c r="AI79" i="54"/>
  <c r="AF111" i="54"/>
  <c r="AI111" i="54"/>
  <c r="AB111" i="54"/>
  <c r="AB100" i="54"/>
  <c r="AH126" i="58"/>
  <c r="AG127" i="58"/>
  <c r="AB39" i="11"/>
  <c r="AI39" i="11"/>
  <c r="AJ39" i="11"/>
  <c r="AF39" i="11"/>
  <c r="AI58" i="11"/>
  <c r="AJ58" i="11"/>
  <c r="AF58" i="11"/>
  <c r="AF132" i="56"/>
  <c r="AI56" i="53"/>
  <c r="AL51" i="53"/>
  <c r="AK50" i="53"/>
  <c r="AI48" i="53"/>
  <c r="AL43" i="53"/>
  <c r="AK42" i="53"/>
  <c r="AI40" i="53"/>
  <c r="AL35" i="53"/>
  <c r="AL67" i="53"/>
  <c r="AK66" i="53"/>
  <c r="AA72" i="53"/>
  <c r="AL72" i="53"/>
  <c r="K79" i="53"/>
  <c r="AL77" i="53"/>
  <c r="AK76" i="53"/>
  <c r="AK85" i="53"/>
  <c r="AL87" i="53"/>
  <c r="AA54" i="57"/>
  <c r="G53" i="57" s="1"/>
  <c r="AB101" i="57"/>
  <c r="AB108" i="57"/>
  <c r="AB119" i="57"/>
  <c r="AB115" i="57"/>
  <c r="AF134" i="57"/>
  <c r="K57" i="61"/>
  <c r="K53" i="61"/>
  <c r="K49" i="61"/>
  <c r="K45" i="61"/>
  <c r="K41" i="61"/>
  <c r="K37" i="61"/>
  <c r="AL57" i="61"/>
  <c r="AK56" i="61"/>
  <c r="AL49" i="61"/>
  <c r="AK48" i="61"/>
  <c r="AL41" i="61"/>
  <c r="AK40" i="61"/>
  <c r="AI70" i="61"/>
  <c r="AL65" i="61"/>
  <c r="AK64" i="61"/>
  <c r="AI62" i="61"/>
  <c r="K83" i="61"/>
  <c r="AL84" i="61"/>
  <c r="AK83" i="61"/>
  <c r="AA88" i="62"/>
  <c r="AA145" i="62" s="1"/>
  <c r="AB102" i="62"/>
  <c r="AB98" i="62"/>
  <c r="AB109" i="62"/>
  <c r="AB116" i="62"/>
  <c r="AF136" i="62"/>
  <c r="AL55" i="63"/>
  <c r="AK54" i="63"/>
  <c r="AL47" i="63"/>
  <c r="AK46" i="63"/>
  <c r="AL39" i="63"/>
  <c r="AK38" i="63"/>
  <c r="AK70" i="63"/>
  <c r="AN65" i="63"/>
  <c r="AL63" i="63"/>
  <c r="AK62" i="63"/>
  <c r="AA66" i="63"/>
  <c r="K77" i="63"/>
  <c r="AK80" i="63"/>
  <c r="AJ79" i="63"/>
  <c r="AF40" i="64"/>
  <c r="AF67" i="64"/>
  <c r="AI67" i="64"/>
  <c r="AF83" i="64"/>
  <c r="AA82" i="64"/>
  <c r="AA84" i="64" s="1"/>
  <c r="G82" i="64" s="1"/>
  <c r="AA42" i="64"/>
  <c r="AF111" i="64"/>
  <c r="X126" i="64"/>
  <c r="X127" i="64" s="1"/>
  <c r="P126" i="64"/>
  <c r="P127" i="64" s="1"/>
  <c r="B62" i="54"/>
  <c r="B29" i="54"/>
  <c r="AI46" i="54"/>
  <c r="AF46" i="54"/>
  <c r="AB46" i="54"/>
  <c r="AA55" i="54"/>
  <c r="AA47" i="54"/>
  <c r="AK38" i="54"/>
  <c r="AK35" i="54"/>
  <c r="AA72" i="54"/>
  <c r="AF83" i="54"/>
  <c r="AI83" i="54"/>
  <c r="AK78" i="54"/>
  <c r="AB109" i="54"/>
  <c r="AF109" i="54"/>
  <c r="AF107" i="54"/>
  <c r="AI107" i="54"/>
  <c r="AA105" i="54"/>
  <c r="K105" i="54"/>
  <c r="AI110" i="54"/>
  <c r="AB110" i="54"/>
  <c r="AK100" i="54"/>
  <c r="AF115" i="54"/>
  <c r="AI115" i="54"/>
  <c r="AI118" i="54"/>
  <c r="AB118" i="54"/>
  <c r="AA20" i="58"/>
  <c r="AB87" i="58" s="1"/>
  <c r="AI62" i="58"/>
  <c r="AF62" i="58"/>
  <c r="AA64" i="58"/>
  <c r="G63" i="58" s="1"/>
  <c r="AI124" i="58"/>
  <c r="AF124" i="58"/>
  <c r="AI43" i="11"/>
  <c r="AJ43" i="11"/>
  <c r="AB43" i="11"/>
  <c r="AF43" i="11"/>
  <c r="AB56" i="53"/>
  <c r="AB52" i="53"/>
  <c r="AB48" i="53"/>
  <c r="AB44" i="53"/>
  <c r="AB40" i="53"/>
  <c r="AB36" i="53"/>
  <c r="AL52" i="53"/>
  <c r="AK51" i="53"/>
  <c r="AL44" i="53"/>
  <c r="AK43" i="53"/>
  <c r="AL36" i="53"/>
  <c r="AK35" i="53"/>
  <c r="AL68" i="53"/>
  <c r="AK67" i="53"/>
  <c r="AL78" i="53"/>
  <c r="AK77" i="53"/>
  <c r="AB85" i="53"/>
  <c r="AJ85" i="53"/>
  <c r="AB87" i="53"/>
  <c r="AL88" i="53"/>
  <c r="AK87" i="53"/>
  <c r="AF52" i="57"/>
  <c r="AF141" i="57"/>
  <c r="AL58" i="61"/>
  <c r="AK57" i="61"/>
  <c r="AL50" i="61"/>
  <c r="AK49" i="61"/>
  <c r="AL42" i="61"/>
  <c r="AK41" i="61"/>
  <c r="AL66" i="61"/>
  <c r="AK65" i="61"/>
  <c r="AL76" i="61"/>
  <c r="AL85" i="61"/>
  <c r="AK84" i="61"/>
  <c r="AL56" i="63"/>
  <c r="AK55" i="63"/>
  <c r="AL48" i="63"/>
  <c r="AK47" i="63"/>
  <c r="AL40" i="63"/>
  <c r="AK39" i="63"/>
  <c r="AJ70" i="63"/>
  <c r="AN66" i="63"/>
  <c r="AL64" i="63"/>
  <c r="AK63" i="63"/>
  <c r="AJ62" i="63"/>
  <c r="AB80" i="63"/>
  <c r="AJ80" i="63"/>
  <c r="AL83" i="63"/>
  <c r="AF39" i="64"/>
  <c r="AI39" i="64"/>
  <c r="AF48" i="64"/>
  <c r="AF66" i="64"/>
  <c r="AA144" i="64"/>
  <c r="AF87" i="64"/>
  <c r="AA122" i="64"/>
  <c r="W126" i="64"/>
  <c r="W127" i="64" s="1"/>
  <c r="O126" i="64"/>
  <c r="K37" i="54"/>
  <c r="AA37" i="54"/>
  <c r="AA53" i="54"/>
  <c r="AA45" i="54"/>
  <c r="AJ36" i="54"/>
  <c r="AM56" i="54"/>
  <c r="AF87" i="54"/>
  <c r="AI89" i="54"/>
  <c r="AF89" i="54"/>
  <c r="AB89" i="54"/>
  <c r="AB79" i="54"/>
  <c r="AI87" i="54"/>
  <c r="AN108" i="54"/>
  <c r="AB98" i="54"/>
  <c r="AF110" i="54"/>
  <c r="AI109" i="54"/>
  <c r="AK95" i="54"/>
  <c r="AI85" i="58"/>
  <c r="AF85" i="58"/>
  <c r="AA88" i="58"/>
  <c r="AA145" i="58" s="1"/>
  <c r="AN91" i="11"/>
  <c r="AB47" i="11"/>
  <c r="AI47" i="11"/>
  <c r="AJ47" i="11"/>
  <c r="AF47" i="11"/>
  <c r="AJ61" i="11"/>
  <c r="AF61" i="11"/>
  <c r="AI61" i="11"/>
  <c r="AJ69" i="11"/>
  <c r="AK78" i="53"/>
  <c r="AL77" i="61"/>
  <c r="AK76" i="61"/>
  <c r="AF36" i="62"/>
  <c r="AL57" i="63"/>
  <c r="AL49" i="63"/>
  <c r="AL41" i="63"/>
  <c r="AL65" i="63"/>
  <c r="K83" i="63"/>
  <c r="AF38" i="64"/>
  <c r="AA123" i="64"/>
  <c r="AA16" i="54"/>
  <c r="AF50" i="54"/>
  <c r="AB50" i="54"/>
  <c r="AI50" i="54"/>
  <c r="AN52" i="54"/>
  <c r="AM52" i="54"/>
  <c r="AA35" i="54"/>
  <c r="AN69" i="54"/>
  <c r="AM69" i="54"/>
  <c r="AF77" i="54"/>
  <c r="AI77" i="54"/>
  <c r="AB77" i="54"/>
  <c r="AK86" i="54"/>
  <c r="K112" i="54"/>
  <c r="AA112" i="54"/>
  <c r="AB101" i="54"/>
  <c r="AF101" i="54"/>
  <c r="AF99" i="54"/>
  <c r="AI99" i="54"/>
  <c r="AA97" i="54"/>
  <c r="K97" i="54"/>
  <c r="AM107" i="54"/>
  <c r="AK108" i="54"/>
  <c r="AI51" i="11"/>
  <c r="AJ51" i="11"/>
  <c r="AB51" i="11"/>
  <c r="AF51" i="11"/>
  <c r="AH90" i="54"/>
  <c r="AL86" i="54"/>
  <c r="AH82" i="54"/>
  <c r="AL78" i="54"/>
  <c r="AE115" i="54"/>
  <c r="AE111" i="54"/>
  <c r="AE103" i="54"/>
  <c r="AE99" i="54"/>
  <c r="AE95" i="54"/>
  <c r="AH112" i="54"/>
  <c r="AL108" i="54"/>
  <c r="AH104" i="54"/>
  <c r="AL100" i="54"/>
  <c r="AH96" i="54"/>
  <c r="AH36" i="58"/>
  <c r="AF48" i="58"/>
  <c r="AB61" i="58"/>
  <c r="AB80" i="58"/>
  <c r="AA81" i="58"/>
  <c r="AA73" i="58"/>
  <c r="AF91" i="58"/>
  <c r="AE101" i="58"/>
  <c r="AH103" i="58"/>
  <c r="AH106" i="58"/>
  <c r="AE119" i="58"/>
  <c r="AH117" i="58"/>
  <c r="AE125" i="58"/>
  <c r="AI138" i="58"/>
  <c r="AI130" i="58"/>
  <c r="B29" i="11"/>
  <c r="AB50" i="11"/>
  <c r="AB46" i="11"/>
  <c r="AB42" i="11"/>
  <c r="AB38" i="11"/>
  <c r="AM48" i="11"/>
  <c r="AL47" i="11"/>
  <c r="AK46" i="11"/>
  <c r="AI44" i="11"/>
  <c r="AL39" i="11"/>
  <c r="AK38" i="11"/>
  <c r="AI36" i="11"/>
  <c r="AF56" i="11"/>
  <c r="AJ55" i="11"/>
  <c r="AA57" i="11"/>
  <c r="AK63" i="11"/>
  <c r="AA73" i="11"/>
  <c r="AK75" i="11"/>
  <c r="AH70" i="11"/>
  <c r="AK68" i="11"/>
  <c r="AN88" i="11"/>
  <c r="AA82" i="11"/>
  <c r="AK87" i="11"/>
  <c r="AE91" i="11"/>
  <c r="AM91" i="11" s="1"/>
  <c r="AI57" i="59"/>
  <c r="AF57" i="59"/>
  <c r="T126" i="59"/>
  <c r="T127" i="59" s="1"/>
  <c r="AB70" i="65"/>
  <c r="AA19" i="65"/>
  <c r="AB82" i="65" s="1"/>
  <c r="AI54" i="65"/>
  <c r="AF54" i="65"/>
  <c r="AI41" i="65"/>
  <c r="AF41" i="65"/>
  <c r="AI38" i="65"/>
  <c r="AF38" i="65"/>
  <c r="AF67" i="65"/>
  <c r="AI67" i="65"/>
  <c r="AM64" i="65"/>
  <c r="AN64" i="65"/>
  <c r="AI82" i="65"/>
  <c r="AF82" i="65"/>
  <c r="AB79" i="65"/>
  <c r="AF92" i="65"/>
  <c r="AI92" i="65"/>
  <c r="AA72" i="58"/>
  <c r="R126" i="58"/>
  <c r="R127" i="58" s="1"/>
  <c r="AA125" i="58"/>
  <c r="AI122" i="58"/>
  <c r="AA146" i="58"/>
  <c r="AL81" i="11"/>
  <c r="AL89" i="11"/>
  <c r="AL73" i="11"/>
  <c r="AL86" i="11"/>
  <c r="AL70" i="11"/>
  <c r="AL78" i="11"/>
  <c r="AL83" i="11"/>
  <c r="AL67" i="11"/>
  <c r="AL75" i="11"/>
  <c r="AL48" i="11"/>
  <c r="AK47" i="11"/>
  <c r="AJ46" i="11"/>
  <c r="AL40" i="11"/>
  <c r="AK39" i="11"/>
  <c r="AJ38" i="11"/>
  <c r="AL57" i="11"/>
  <c r="AK56" i="11"/>
  <c r="AB78" i="11"/>
  <c r="AK73" i="11"/>
  <c r="AL71" i="11"/>
  <c r="AJ81" i="11"/>
  <c r="AB81" i="11"/>
  <c r="AL85" i="11"/>
  <c r="AB76" i="59"/>
  <c r="AI76" i="59"/>
  <c r="AI36" i="59"/>
  <c r="AF36" i="59"/>
  <c r="AF106" i="59"/>
  <c r="AI106" i="59"/>
  <c r="AB106" i="59"/>
  <c r="AF51" i="65"/>
  <c r="AI51" i="65"/>
  <c r="AF35" i="65"/>
  <c r="AB35" i="65"/>
  <c r="AI35" i="65"/>
  <c r="AI65" i="65"/>
  <c r="AF65" i="65"/>
  <c r="AF60" i="65"/>
  <c r="AI60" i="65"/>
  <c r="AI99" i="65"/>
  <c r="AF99" i="65"/>
  <c r="AB99" i="65"/>
  <c r="AE40" i="54"/>
  <c r="AL53" i="54"/>
  <c r="AL45" i="54"/>
  <c r="AL37" i="54"/>
  <c r="AL70" i="54"/>
  <c r="AL62" i="54"/>
  <c r="AB88" i="54"/>
  <c r="AB80" i="54"/>
  <c r="AL88" i="54"/>
  <c r="AH84" i="54"/>
  <c r="AN84" i="54" s="1"/>
  <c r="AL80" i="54"/>
  <c r="AE106" i="54"/>
  <c r="AE98" i="54"/>
  <c r="AE94" i="54"/>
  <c r="AH114" i="54"/>
  <c r="AL110" i="54"/>
  <c r="AH106" i="54"/>
  <c r="AL102" i="54"/>
  <c r="AH98" i="54"/>
  <c r="AL94" i="54"/>
  <c r="AB117" i="54"/>
  <c r="AL118" i="54"/>
  <c r="AF37" i="58"/>
  <c r="AI37" i="58"/>
  <c r="AF46" i="58"/>
  <c r="AH68" i="58"/>
  <c r="AH98" i="58"/>
  <c r="AE111" i="58"/>
  <c r="AH109" i="58"/>
  <c r="AF140" i="58"/>
  <c r="AH92" i="11"/>
  <c r="AH77" i="11"/>
  <c r="AH82" i="11"/>
  <c r="AH74" i="11"/>
  <c r="AH71" i="11"/>
  <c r="AF50" i="11"/>
  <c r="AF46" i="11"/>
  <c r="AF42" i="11"/>
  <c r="AF38" i="11"/>
  <c r="AL49" i="11"/>
  <c r="AK48" i="11"/>
  <c r="AH45" i="11"/>
  <c r="AL41" i="11"/>
  <c r="AK40" i="11"/>
  <c r="AH37" i="11"/>
  <c r="K58" i="11"/>
  <c r="AF59" i="11"/>
  <c r="AL58" i="11"/>
  <c r="AK57" i="11"/>
  <c r="AA94" i="11"/>
  <c r="AI78" i="11"/>
  <c r="AE77" i="11"/>
  <c r="AF70" i="11"/>
  <c r="AK71" i="11"/>
  <c r="AL69" i="11"/>
  <c r="AE83" i="11"/>
  <c r="AM88" i="11"/>
  <c r="AJ85" i="11"/>
  <c r="AL92" i="11"/>
  <c r="X126" i="59"/>
  <c r="X127" i="59" s="1"/>
  <c r="P126" i="59"/>
  <c r="P127" i="59" s="1"/>
  <c r="AA20" i="65"/>
  <c r="AJ55" i="65" s="1"/>
  <c r="AI45" i="65"/>
  <c r="AF45" i="65"/>
  <c r="AI42" i="65"/>
  <c r="AF42" i="65"/>
  <c r="AB54" i="65"/>
  <c r="AH58" i="54"/>
  <c r="AL54" i="54"/>
  <c r="AL46" i="54"/>
  <c r="AH42" i="54"/>
  <c r="AL38" i="54"/>
  <c r="AL71" i="54"/>
  <c r="AL63" i="54"/>
  <c r="AA66" i="54"/>
  <c r="AE87" i="54"/>
  <c r="AE79" i="54"/>
  <c r="AL89" i="54"/>
  <c r="AH85" i="54"/>
  <c r="AL81" i="54"/>
  <c r="AH115" i="54"/>
  <c r="AL111" i="54"/>
  <c r="AI108" i="54"/>
  <c r="AH107" i="54"/>
  <c r="AN107" i="54" s="1"/>
  <c r="AL103" i="54"/>
  <c r="AI100" i="54"/>
  <c r="AH99" i="54"/>
  <c r="AL95" i="54"/>
  <c r="AF45" i="58"/>
  <c r="AH67" i="58"/>
  <c r="AI92" i="58"/>
  <c r="AI101" i="58"/>
  <c r="AI108" i="58"/>
  <c r="AI119" i="58"/>
  <c r="AI115" i="58"/>
  <c r="AA49" i="11"/>
  <c r="AA45" i="11"/>
  <c r="AA41" i="11"/>
  <c r="AA37" i="11"/>
  <c r="AE50" i="11"/>
  <c r="AE42" i="11"/>
  <c r="AE38" i="11"/>
  <c r="AL50" i="11"/>
  <c r="AK49" i="11"/>
  <c r="AL42" i="11"/>
  <c r="AK41" i="11"/>
  <c r="AL59" i="11"/>
  <c r="AK58" i="11"/>
  <c r="AL63" i="11"/>
  <c r="AA68" i="11"/>
  <c r="K68" i="11"/>
  <c r="AF77" i="11"/>
  <c r="AB77" i="11"/>
  <c r="AB70" i="11"/>
  <c r="AE70" i="11"/>
  <c r="AK78" i="11"/>
  <c r="AL76" i="11"/>
  <c r="AH73" i="11"/>
  <c r="AI86" i="11"/>
  <c r="AB86" i="11"/>
  <c r="AF86" i="11"/>
  <c r="AL88" i="11"/>
  <c r="AF91" i="11"/>
  <c r="AJ91" i="11"/>
  <c r="AF76" i="59"/>
  <c r="AI52" i="59"/>
  <c r="AF52" i="59"/>
  <c r="AF110" i="59"/>
  <c r="AI110" i="59"/>
  <c r="AB110" i="59"/>
  <c r="AF123" i="59"/>
  <c r="AI123" i="59"/>
  <c r="AA122" i="59"/>
  <c r="W126" i="59"/>
  <c r="W127" i="59" s="1"/>
  <c r="O126" i="59"/>
  <c r="AG126" i="59"/>
  <c r="AF55" i="65"/>
  <c r="AB55" i="65"/>
  <c r="AF39" i="65"/>
  <c r="AB39" i="65"/>
  <c r="AI61" i="65"/>
  <c r="AF61" i="65"/>
  <c r="AK88" i="11"/>
  <c r="AK72" i="11"/>
  <c r="AK92" i="11"/>
  <c r="AK85" i="11"/>
  <c r="AK69" i="11"/>
  <c r="AK77" i="11"/>
  <c r="AK55" i="11"/>
  <c r="AK82" i="11"/>
  <c r="AK74" i="11"/>
  <c r="AB44" i="11"/>
  <c r="AB40" i="11"/>
  <c r="AB36" i="11"/>
  <c r="AK50" i="11"/>
  <c r="AK42" i="11"/>
  <c r="AK59" i="11"/>
  <c r="AA95" i="11"/>
  <c r="AF63" i="11"/>
  <c r="AJ63" i="11"/>
  <c r="AK76" i="11"/>
  <c r="AL74" i="11"/>
  <c r="AK67" i="11"/>
  <c r="AB85" i="11"/>
  <c r="AK81" i="11"/>
  <c r="AB92" i="11"/>
  <c r="AI92" i="11"/>
  <c r="Z16" i="59"/>
  <c r="AA16" i="59"/>
  <c r="AF81" i="59"/>
  <c r="AI81" i="59"/>
  <c r="AA144" i="59"/>
  <c r="AB41" i="59"/>
  <c r="AA42" i="59"/>
  <c r="AA43" i="59"/>
  <c r="AI49" i="65"/>
  <c r="AB49" i="65"/>
  <c r="AF49" i="65"/>
  <c r="AI46" i="65"/>
  <c r="AF46" i="65"/>
  <c r="AB46" i="65"/>
  <c r="AI66" i="65"/>
  <c r="AF66" i="65"/>
  <c r="AB102" i="65"/>
  <c r="AF102" i="65"/>
  <c r="AI102" i="65"/>
  <c r="AB109" i="65"/>
  <c r="AG126" i="64"/>
  <c r="AL56" i="54"/>
  <c r="AL48" i="54"/>
  <c r="AL40" i="54"/>
  <c r="AF63" i="54"/>
  <c r="AL65" i="54"/>
  <c r="AL72" i="54"/>
  <c r="AE90" i="54"/>
  <c r="AE86" i="54"/>
  <c r="AE82" i="54"/>
  <c r="AH87" i="54"/>
  <c r="AL83" i="54"/>
  <c r="AH79" i="54"/>
  <c r="AF108" i="54"/>
  <c r="AF100" i="54"/>
  <c r="AL113" i="54"/>
  <c r="AH109" i="54"/>
  <c r="AL105" i="54"/>
  <c r="AH101" i="54"/>
  <c r="AL97" i="54"/>
  <c r="AJ95" i="54"/>
  <c r="AH93" i="54"/>
  <c r="AE118" i="54"/>
  <c r="AH117" i="54"/>
  <c r="AD121" i="54"/>
  <c r="AA16" i="58"/>
  <c r="AH39" i="58"/>
  <c r="AH65" i="58"/>
  <c r="AF69" i="58"/>
  <c r="AI69" i="58"/>
  <c r="AF80" i="58"/>
  <c r="AA141" i="58"/>
  <c r="AE72" i="11"/>
  <c r="AE76" i="11"/>
  <c r="AE81" i="11"/>
  <c r="AE85" i="11"/>
  <c r="AE89" i="11"/>
  <c r="AE71" i="11"/>
  <c r="AE75" i="11"/>
  <c r="AE45" i="11"/>
  <c r="AE41" i="11"/>
  <c r="AE37" i="11"/>
  <c r="AK51" i="11"/>
  <c r="AJ50" i="11"/>
  <c r="AL44" i="11"/>
  <c r="AK43" i="11"/>
  <c r="AJ42" i="11"/>
  <c r="AL36" i="11"/>
  <c r="AK35" i="11"/>
  <c r="AL61" i="11"/>
  <c r="AK60" i="11"/>
  <c r="AI63" i="11"/>
  <c r="AA72" i="11"/>
  <c r="K72" i="11"/>
  <c r="AF69" i="11"/>
  <c r="AB69" i="11"/>
  <c r="AL72" i="11"/>
  <c r="K83" i="11"/>
  <c r="AE87" i="11"/>
  <c r="AK86" i="11"/>
  <c r="AI81" i="11"/>
  <c r="AL91" i="11"/>
  <c r="AI60" i="59"/>
  <c r="AF60" i="59"/>
  <c r="AI92" i="59"/>
  <c r="AA94" i="59"/>
  <c r="AF92" i="59"/>
  <c r="AF99" i="59"/>
  <c r="AI99" i="59"/>
  <c r="AA124" i="59"/>
  <c r="AJ43" i="65"/>
  <c r="AF43" i="65"/>
  <c r="AB43" i="65"/>
  <c r="AI43" i="65"/>
  <c r="AB42" i="65"/>
  <c r="AI39" i="65"/>
  <c r="K64" i="65"/>
  <c r="AA64" i="65"/>
  <c r="AI74" i="65"/>
  <c r="AB74" i="65"/>
  <c r="AF74" i="65"/>
  <c r="AB108" i="64"/>
  <c r="AB119" i="64"/>
  <c r="AB115" i="64"/>
  <c r="AF134" i="64"/>
  <c r="AE58" i="54"/>
  <c r="AE54" i="54"/>
  <c r="AE38" i="54"/>
  <c r="AL57" i="54"/>
  <c r="AL49" i="54"/>
  <c r="AH45" i="54"/>
  <c r="AL41" i="54"/>
  <c r="AL66" i="54"/>
  <c r="AH88" i="54"/>
  <c r="AL84" i="54"/>
  <c r="AH80" i="54"/>
  <c r="AL76" i="54"/>
  <c r="K109" i="54"/>
  <c r="K101" i="54"/>
  <c r="K93" i="54"/>
  <c r="AE108" i="54"/>
  <c r="AM108" i="54" s="1"/>
  <c r="AE104" i="54"/>
  <c r="AE100" i="54"/>
  <c r="AE96" i="54"/>
  <c r="AL114" i="54"/>
  <c r="AH110" i="54"/>
  <c r="AL106" i="54"/>
  <c r="AI103" i="54"/>
  <c r="AH102" i="54"/>
  <c r="AL98" i="54"/>
  <c r="AI95" i="54"/>
  <c r="AH94" i="54"/>
  <c r="AH118" i="54"/>
  <c r="AH38" i="58"/>
  <c r="AE66" i="58"/>
  <c r="AF68" i="58"/>
  <c r="AI68" i="58"/>
  <c r="AI78" i="58"/>
  <c r="AE109" i="58"/>
  <c r="AH111" i="58"/>
  <c r="AH114" i="58"/>
  <c r="AA16" i="11"/>
  <c r="AF44" i="11"/>
  <c r="AF36" i="11"/>
  <c r="AL45" i="11"/>
  <c r="AK44" i="11"/>
  <c r="AL37" i="11"/>
  <c r="AK36" i="11"/>
  <c r="AL62" i="11"/>
  <c r="AK61" i="11"/>
  <c r="AN56" i="11"/>
  <c r="AG95" i="11"/>
  <c r="AH63" i="11"/>
  <c r="AB74" i="11"/>
  <c r="AE74" i="11"/>
  <c r="AK70" i="11"/>
  <c r="AE86" i="11"/>
  <c r="AJ86" i="11"/>
  <c r="AL84" i="11"/>
  <c r="AF92" i="11"/>
  <c r="AK91" i="11"/>
  <c r="AF41" i="59"/>
  <c r="G73" i="59"/>
  <c r="AI62" i="59"/>
  <c r="AF62" i="59"/>
  <c r="AI49" i="59"/>
  <c r="AF49" i="59"/>
  <c r="AA53" i="59"/>
  <c r="AA54" i="59" s="1"/>
  <c r="G53" i="59" s="1"/>
  <c r="AI93" i="59"/>
  <c r="AF93" i="59"/>
  <c r="AF103" i="59"/>
  <c r="AI103" i="59"/>
  <c r="AA125" i="59"/>
  <c r="AD126" i="59"/>
  <c r="AB53" i="65"/>
  <c r="AI53" i="65"/>
  <c r="AF53" i="65"/>
  <c r="AJ53" i="65"/>
  <c r="AI50" i="65"/>
  <c r="AF50" i="65"/>
  <c r="AB37" i="65"/>
  <c r="AI37" i="65"/>
  <c r="AF37" i="65"/>
  <c r="AB38" i="65"/>
  <c r="AB78" i="65"/>
  <c r="AF78" i="65"/>
  <c r="AI78" i="65"/>
  <c r="AI106" i="65"/>
  <c r="AF106" i="65"/>
  <c r="AB106" i="65"/>
  <c r="AL58" i="54"/>
  <c r="AH54" i="54"/>
  <c r="AL50" i="54"/>
  <c r="AL42" i="54"/>
  <c r="AH38" i="54"/>
  <c r="AL67" i="54"/>
  <c r="AE89" i="54"/>
  <c r="AE85" i="54"/>
  <c r="AE81" i="54"/>
  <c r="AH89" i="54"/>
  <c r="AL85" i="54"/>
  <c r="AH81" i="54"/>
  <c r="AL77" i="54"/>
  <c r="AL115" i="54"/>
  <c r="AH111" i="54"/>
  <c r="AL107" i="54"/>
  <c r="AH103" i="54"/>
  <c r="AH37" i="58"/>
  <c r="AF40" i="58"/>
  <c r="AE40" i="11"/>
  <c r="AE36" i="11"/>
  <c r="AL46" i="11"/>
  <c r="AK45" i="11"/>
  <c r="AL38" i="11"/>
  <c r="AK37" i="11"/>
  <c r="AK62" i="11"/>
  <c r="AL55" i="11"/>
  <c r="AE63" i="11"/>
  <c r="AA76" i="11"/>
  <c r="K76" i="11"/>
  <c r="AE73" i="11"/>
  <c r="AL77" i="11"/>
  <c r="AH72" i="11"/>
  <c r="AJ70" i="11"/>
  <c r="AL68" i="11"/>
  <c r="AA83" i="11"/>
  <c r="AF85" i="11"/>
  <c r="AK89" i="11"/>
  <c r="AL87" i="11"/>
  <c r="AK84" i="11"/>
  <c r="AL82" i="11"/>
  <c r="AE92" i="11"/>
  <c r="AI91" i="11"/>
  <c r="AD95" i="11"/>
  <c r="AA19" i="59"/>
  <c r="AB123" i="59" s="1"/>
  <c r="AF117" i="59"/>
  <c r="AI117" i="59"/>
  <c r="AB117" i="59"/>
  <c r="AA121" i="59"/>
  <c r="AF47" i="65"/>
  <c r="AJ47" i="65"/>
  <c r="AB47" i="65"/>
  <c r="AF68" i="65"/>
  <c r="AI68" i="65"/>
  <c r="AJ68" i="65"/>
  <c r="AB85" i="65"/>
  <c r="AA75" i="11"/>
  <c r="AA71" i="11"/>
  <c r="AA67" i="11"/>
  <c r="AH39" i="59"/>
  <c r="AE49" i="59"/>
  <c r="AH47" i="59"/>
  <c r="AF51" i="59"/>
  <c r="AE58" i="59"/>
  <c r="AH56" i="59"/>
  <c r="AF80" i="59"/>
  <c r="AI91" i="59"/>
  <c r="AE103" i="59"/>
  <c r="AE99" i="59"/>
  <c r="AE106" i="59"/>
  <c r="AH108" i="59"/>
  <c r="AH119" i="59"/>
  <c r="AH115" i="59"/>
  <c r="AH121" i="59"/>
  <c r="AF141" i="59"/>
  <c r="AI134" i="59"/>
  <c r="AK98" i="65"/>
  <c r="AK106" i="65"/>
  <c r="AK76" i="65"/>
  <c r="AK84" i="65"/>
  <c r="AK93" i="65"/>
  <c r="AK101" i="65"/>
  <c r="AK79" i="65"/>
  <c r="AK87" i="65"/>
  <c r="AK91" i="65"/>
  <c r="AK99" i="65"/>
  <c r="AK77" i="65"/>
  <c r="AK85" i="65"/>
  <c r="AL54" i="65"/>
  <c r="AK53" i="65"/>
  <c r="AH50" i="65"/>
  <c r="AL46" i="65"/>
  <c r="AK45" i="65"/>
  <c r="AH42" i="65"/>
  <c r="AL38" i="65"/>
  <c r="AK37" i="65"/>
  <c r="K66" i="65"/>
  <c r="AK69" i="65"/>
  <c r="AM63" i="65"/>
  <c r="AL62" i="65"/>
  <c r="AK61" i="65"/>
  <c r="AE70" i="65"/>
  <c r="K83" i="65"/>
  <c r="AI75" i="65"/>
  <c r="AA111" i="65"/>
  <c r="AF88" i="65"/>
  <c r="AE85" i="65"/>
  <c r="AF79" i="65"/>
  <c r="AJ85" i="65"/>
  <c r="AL83" i="65"/>
  <c r="AI80" i="65"/>
  <c r="AL76" i="65"/>
  <c r="AF95" i="65"/>
  <c r="AM105" i="65"/>
  <c r="AK100" i="65"/>
  <c r="AH97" i="65"/>
  <c r="AL93" i="65"/>
  <c r="AB35" i="66"/>
  <c r="AB67" i="66"/>
  <c r="AF67" i="66"/>
  <c r="AI67" i="66"/>
  <c r="AI121" i="66"/>
  <c r="AB121" i="66"/>
  <c r="AF121" i="66"/>
  <c r="AF55" i="67"/>
  <c r="AI55" i="67"/>
  <c r="AJ55" i="67"/>
  <c r="AB55" i="67"/>
  <c r="AB37" i="67"/>
  <c r="AI37" i="67"/>
  <c r="AF37" i="67"/>
  <c r="AJ37" i="67"/>
  <c r="AI110" i="68"/>
  <c r="AF110" i="68"/>
  <c r="AE93" i="65"/>
  <c r="AE97" i="65"/>
  <c r="AE101" i="65"/>
  <c r="AE78" i="65"/>
  <c r="AE86" i="65"/>
  <c r="AE108" i="65"/>
  <c r="AE109" i="65"/>
  <c r="AA56" i="65"/>
  <c r="AA52" i="65"/>
  <c r="AA48" i="65"/>
  <c r="AA44" i="65"/>
  <c r="AA40" i="65"/>
  <c r="AA36" i="65"/>
  <c r="AE50" i="65"/>
  <c r="AE46" i="65"/>
  <c r="AA63" i="65"/>
  <c r="AF76" i="65"/>
  <c r="AE84" i="65"/>
  <c r="AL81" i="65"/>
  <c r="AI76" i="65"/>
  <c r="AL74" i="65"/>
  <c r="AI105" i="65"/>
  <c r="AE92" i="65"/>
  <c r="AL105" i="65"/>
  <c r="AL103" i="65"/>
  <c r="AL98" i="65"/>
  <c r="AA78" i="66"/>
  <c r="AA77" i="66"/>
  <c r="AB75" i="66"/>
  <c r="AF75" i="66"/>
  <c r="AI75" i="66"/>
  <c r="AI56" i="66"/>
  <c r="AF56" i="66"/>
  <c r="AI41" i="67"/>
  <c r="AB41" i="67"/>
  <c r="AJ41" i="67"/>
  <c r="AF41" i="67"/>
  <c r="AF109" i="68"/>
  <c r="AI109" i="68"/>
  <c r="AI42" i="70"/>
  <c r="AF42" i="70"/>
  <c r="AE116" i="59"/>
  <c r="AH114" i="59"/>
  <c r="AE122" i="59"/>
  <c r="AI140" i="59"/>
  <c r="AA145" i="59"/>
  <c r="AL56" i="65"/>
  <c r="AL48" i="65"/>
  <c r="AL40" i="65"/>
  <c r="AL64" i="65"/>
  <c r="AA70" i="65"/>
  <c r="AL70" i="65"/>
  <c r="AJ83" i="65"/>
  <c r="AI83" i="65"/>
  <c r="AA86" i="65"/>
  <c r="AF83" i="65"/>
  <c r="AH83" i="65"/>
  <c r="AL79" i="65"/>
  <c r="AA101" i="65"/>
  <c r="K101" i="65"/>
  <c r="K99" i="65"/>
  <c r="K96" i="65"/>
  <c r="K92" i="65"/>
  <c r="AJ100" i="65"/>
  <c r="AF100" i="65"/>
  <c r="AB100" i="65"/>
  <c r="AE104" i="65"/>
  <c r="AE98" i="65"/>
  <c r="AM98" i="65" s="1"/>
  <c r="AE91" i="65"/>
  <c r="AH100" i="65"/>
  <c r="AL96" i="65"/>
  <c r="AL109" i="65"/>
  <c r="G73" i="66"/>
  <c r="AB74" i="66"/>
  <c r="AI35" i="66"/>
  <c r="AF35" i="66"/>
  <c r="AB45" i="67"/>
  <c r="AI45" i="67"/>
  <c r="AF45" i="67"/>
  <c r="AJ45" i="67"/>
  <c r="AB38" i="67"/>
  <c r="AI38" i="67"/>
  <c r="AJ38" i="67"/>
  <c r="AF38" i="67"/>
  <c r="AI111" i="68"/>
  <c r="AF111" i="68"/>
  <c r="AB50" i="69"/>
  <c r="AA84" i="11"/>
  <c r="AE39" i="59"/>
  <c r="AH36" i="59"/>
  <c r="AE46" i="59"/>
  <c r="AF48" i="59"/>
  <c r="AE55" i="59"/>
  <c r="AB80" i="59"/>
  <c r="AA82" i="59"/>
  <c r="AA84" i="59" s="1"/>
  <c r="G82" i="59" s="1"/>
  <c r="AF88" i="59"/>
  <c r="K54" i="65"/>
  <c r="K50" i="65"/>
  <c r="K46" i="65"/>
  <c r="K42" i="65"/>
  <c r="K38" i="65"/>
  <c r="AE53" i="65"/>
  <c r="AE37" i="65"/>
  <c r="AH53" i="65"/>
  <c r="AL49" i="65"/>
  <c r="AL41" i="65"/>
  <c r="AH37" i="65"/>
  <c r="K67" i="65"/>
  <c r="AL65" i="65"/>
  <c r="AK64" i="65"/>
  <c r="AI62" i="65"/>
  <c r="AK70" i="65"/>
  <c r="AB80" i="65"/>
  <c r="AE83" i="65"/>
  <c r="AE77" i="65"/>
  <c r="AK86" i="65"/>
  <c r="AJ81" i="65"/>
  <c r="K94" i="65"/>
  <c r="AE103" i="65"/>
  <c r="AH105" i="65"/>
  <c r="AN105" i="65" s="1"/>
  <c r="AL101" i="65"/>
  <c r="AK96" i="65"/>
  <c r="AH93" i="65"/>
  <c r="AH91" i="65"/>
  <c r="AK109" i="65"/>
  <c r="AA20" i="66"/>
  <c r="AB84" i="66" s="1"/>
  <c r="AI51" i="66"/>
  <c r="AF51" i="66"/>
  <c r="AB51" i="66"/>
  <c r="AA44" i="66"/>
  <c r="G44" i="66" s="1"/>
  <c r="AI49" i="67"/>
  <c r="AB49" i="67"/>
  <c r="AJ49" i="67"/>
  <c r="AF49" i="67"/>
  <c r="AI42" i="67"/>
  <c r="AJ42" i="67"/>
  <c r="AB42" i="67"/>
  <c r="AF42" i="67"/>
  <c r="AJ35" i="67"/>
  <c r="AF35" i="67"/>
  <c r="AB35" i="67"/>
  <c r="AI35" i="67"/>
  <c r="AB38" i="69"/>
  <c r="AI109" i="70"/>
  <c r="AF109" i="70"/>
  <c r="AB109" i="70"/>
  <c r="AI85" i="65"/>
  <c r="AF85" i="65"/>
  <c r="AE88" i="65"/>
  <c r="AL84" i="65"/>
  <c r="AE96" i="65"/>
  <c r="AJ109" i="65"/>
  <c r="AF109" i="65"/>
  <c r="AI109" i="65"/>
  <c r="AF118" i="66"/>
  <c r="AB118" i="66"/>
  <c r="AI118" i="66"/>
  <c r="AG123" i="66"/>
  <c r="AH122" i="66"/>
  <c r="AB53" i="67"/>
  <c r="AI53" i="67"/>
  <c r="AF53" i="67"/>
  <c r="AJ53" i="67"/>
  <c r="AB46" i="67"/>
  <c r="AI46" i="67"/>
  <c r="AJ46" i="67"/>
  <c r="AF46" i="67"/>
  <c r="AF39" i="67"/>
  <c r="AI39" i="67"/>
  <c r="AJ39" i="67"/>
  <c r="AB39" i="67"/>
  <c r="AA112" i="68"/>
  <c r="AA113" i="68" s="1"/>
  <c r="AA146" i="59"/>
  <c r="AL91" i="65"/>
  <c r="AL99" i="65"/>
  <c r="AL77" i="65"/>
  <c r="AL85" i="65"/>
  <c r="AL94" i="65"/>
  <c r="AL102" i="65"/>
  <c r="AL80" i="65"/>
  <c r="AL88" i="65"/>
  <c r="AL92" i="65"/>
  <c r="AL100" i="65"/>
  <c r="AL78" i="65"/>
  <c r="AL86" i="65"/>
  <c r="AE56" i="65"/>
  <c r="AE52" i="65"/>
  <c r="AE48" i="65"/>
  <c r="AE44" i="65"/>
  <c r="AE40" i="65"/>
  <c r="AE36" i="65"/>
  <c r="AL51" i="65"/>
  <c r="AL43" i="65"/>
  <c r="AL35" i="65"/>
  <c r="AL67" i="65"/>
  <c r="AH88" i="65"/>
  <c r="AH86" i="65"/>
  <c r="AK82" i="65"/>
  <c r="AH79" i="65"/>
  <c r="AL75" i="65"/>
  <c r="K104" i="65"/>
  <c r="AI104" i="65"/>
  <c r="AF104" i="65"/>
  <c r="AB104" i="65"/>
  <c r="AA91" i="65"/>
  <c r="AE102" i="65"/>
  <c r="AE95" i="65"/>
  <c r="AL106" i="65"/>
  <c r="AL104" i="65"/>
  <c r="AJ94" i="65"/>
  <c r="AK92" i="65"/>
  <c r="AB66" i="66"/>
  <c r="AB45" i="66"/>
  <c r="AB68" i="66"/>
  <c r="AB55" i="66"/>
  <c r="AB46" i="66"/>
  <c r="AB39" i="66"/>
  <c r="AB116" i="66"/>
  <c r="AB101" i="66"/>
  <c r="AB82" i="66"/>
  <c r="AB57" i="66"/>
  <c r="AB98" i="66"/>
  <c r="AB102" i="66"/>
  <c r="AB58" i="66"/>
  <c r="AB49" i="66"/>
  <c r="AB108" i="66"/>
  <c r="AB65" i="66"/>
  <c r="AB36" i="66"/>
  <c r="AB47" i="66"/>
  <c r="AB56" i="66"/>
  <c r="O123" i="66"/>
  <c r="AA122" i="66"/>
  <c r="AA123" i="66" s="1"/>
  <c r="AI50" i="67"/>
  <c r="AJ50" i="67"/>
  <c r="AB50" i="67"/>
  <c r="AF50" i="67"/>
  <c r="AJ43" i="67"/>
  <c r="AF43" i="67"/>
  <c r="AB43" i="67"/>
  <c r="AI43" i="67"/>
  <c r="AD20" i="68"/>
  <c r="AG20" i="68" s="1"/>
  <c r="AH83" i="68" s="1"/>
  <c r="AI48" i="69"/>
  <c r="AJ48" i="69"/>
  <c r="AB48" i="69"/>
  <c r="AF48" i="69"/>
  <c r="AI36" i="69"/>
  <c r="AJ36" i="69"/>
  <c r="AF36" i="69"/>
  <c r="AB36" i="69"/>
  <c r="AE36" i="59"/>
  <c r="AH49" i="59"/>
  <c r="AH58" i="59"/>
  <c r="AA63" i="59"/>
  <c r="AA64" i="59" s="1"/>
  <c r="G63" i="59" s="1"/>
  <c r="AE100" i="59"/>
  <c r="AH98" i="59"/>
  <c r="AE111" i="59"/>
  <c r="AE107" i="59"/>
  <c r="AE114" i="59"/>
  <c r="AH116" i="59"/>
  <c r="AH81" i="65"/>
  <c r="AH106" i="65"/>
  <c r="AH84" i="65"/>
  <c r="AH108" i="65"/>
  <c r="AH96" i="65"/>
  <c r="AH104" i="65"/>
  <c r="AH56" i="65"/>
  <c r="AL52" i="65"/>
  <c r="AK51" i="65"/>
  <c r="AH48" i="65"/>
  <c r="AL44" i="65"/>
  <c r="AK43" i="65"/>
  <c r="AH40" i="65"/>
  <c r="AL36" i="65"/>
  <c r="AK35" i="65"/>
  <c r="AL68" i="65"/>
  <c r="AK67" i="65"/>
  <c r="AL60" i="65"/>
  <c r="AH70" i="65"/>
  <c r="AF84" i="65"/>
  <c r="AJ84" i="65"/>
  <c r="AE87" i="65"/>
  <c r="AE81" i="65"/>
  <c r="AL87" i="65"/>
  <c r="AK80" i="65"/>
  <c r="AK75" i="65"/>
  <c r="K102" i="65"/>
  <c r="AJ97" i="65"/>
  <c r="AI97" i="65"/>
  <c r="AF103" i="65"/>
  <c r="AB103" i="65"/>
  <c r="AB97" i="65"/>
  <c r="AF94" i="65"/>
  <c r="AK104" i="65"/>
  <c r="AL97" i="65"/>
  <c r="AL95" i="65"/>
  <c r="AL108" i="65"/>
  <c r="AA62" i="66"/>
  <c r="AA63" i="66"/>
  <c r="AA139" i="66"/>
  <c r="AI59" i="66"/>
  <c r="AF59" i="66"/>
  <c r="AA92" i="66"/>
  <c r="AF84" i="66"/>
  <c r="AA94" i="66"/>
  <c r="AI84" i="66"/>
  <c r="AB70" i="66"/>
  <c r="AA93" i="66"/>
  <c r="AB61" i="66"/>
  <c r="AF89" i="66"/>
  <c r="AI89" i="66"/>
  <c r="AB100" i="66"/>
  <c r="AI120" i="66"/>
  <c r="AB120" i="66"/>
  <c r="AF120" i="66"/>
  <c r="AB54" i="67"/>
  <c r="AI54" i="67"/>
  <c r="AJ54" i="67"/>
  <c r="AF54" i="67"/>
  <c r="AF47" i="67"/>
  <c r="AI47" i="67"/>
  <c r="AJ47" i="67"/>
  <c r="AB47" i="67"/>
  <c r="AI62" i="68"/>
  <c r="AF62" i="68"/>
  <c r="G79" i="68"/>
  <c r="AD113" i="68"/>
  <c r="AE112" i="68"/>
  <c r="AE35" i="59"/>
  <c r="AF35" i="59"/>
  <c r="AH48" i="59"/>
  <c r="AE55" i="65"/>
  <c r="AE51" i="65"/>
  <c r="AE35" i="65"/>
  <c r="AL53" i="65"/>
  <c r="AL45" i="65"/>
  <c r="AL37" i="65"/>
  <c r="AL69" i="65"/>
  <c r="AK68" i="65"/>
  <c r="AL61" i="65"/>
  <c r="AK60" i="65"/>
  <c r="K79" i="65"/>
  <c r="AB83" i="65"/>
  <c r="AA77" i="65"/>
  <c r="AE80" i="65"/>
  <c r="AK78" i="65"/>
  <c r="K105" i="65"/>
  <c r="AA93" i="65"/>
  <c r="K93" i="65"/>
  <c r="AI96" i="65"/>
  <c r="AF96" i="65"/>
  <c r="AB96" i="65"/>
  <c r="AE106" i="65"/>
  <c r="AE100" i="65"/>
  <c r="AE94" i="65"/>
  <c r="AJ104" i="65"/>
  <c r="AK102" i="65"/>
  <c r="AK97" i="65"/>
  <c r="AK95" i="65"/>
  <c r="AH94" i="65"/>
  <c r="AK108" i="65"/>
  <c r="AB115" i="66"/>
  <c r="AJ51" i="67"/>
  <c r="AF51" i="67"/>
  <c r="AB51" i="67"/>
  <c r="AI51" i="67"/>
  <c r="AH38" i="66"/>
  <c r="AH46" i="66"/>
  <c r="AE57" i="66"/>
  <c r="AH55" i="66"/>
  <c r="AA52" i="66"/>
  <c r="AF80" i="66"/>
  <c r="AA85" i="66"/>
  <c r="AF82" i="66"/>
  <c r="AB99" i="66"/>
  <c r="AF100" i="66"/>
  <c r="AI101" i="66"/>
  <c r="AH107" i="66"/>
  <c r="AB114" i="66"/>
  <c r="AF115" i="66"/>
  <c r="AI116" i="66"/>
  <c r="AI112" i="66"/>
  <c r="AE122" i="66"/>
  <c r="AH119" i="66"/>
  <c r="AF137" i="66"/>
  <c r="AI130" i="66"/>
  <c r="AL54" i="67"/>
  <c r="AK53" i="67"/>
  <c r="AH50" i="67"/>
  <c r="AL46" i="67"/>
  <c r="AK45" i="67"/>
  <c r="AL38" i="67"/>
  <c r="AK37" i="67"/>
  <c r="AH35" i="68"/>
  <c r="AB48" i="68"/>
  <c r="AF56" i="68"/>
  <c r="AH82" i="68"/>
  <c r="AG113" i="68"/>
  <c r="AH40" i="69"/>
  <c r="AH48" i="69"/>
  <c r="AH56" i="69"/>
  <c r="AH39" i="69"/>
  <c r="AH55" i="69"/>
  <c r="AH53" i="69"/>
  <c r="AH52" i="69"/>
  <c r="AJ56" i="69"/>
  <c r="AH42" i="69"/>
  <c r="AN42" i="69" s="1"/>
  <c r="AB57" i="70"/>
  <c r="AI58" i="70"/>
  <c r="AF58" i="70"/>
  <c r="AB106" i="70"/>
  <c r="AI106" i="70"/>
  <c r="AA56" i="67"/>
  <c r="AA52" i="67"/>
  <c r="AA48" i="67"/>
  <c r="AA44" i="67"/>
  <c r="AA40" i="67"/>
  <c r="AA36" i="67"/>
  <c r="AH75" i="68"/>
  <c r="AF108" i="68"/>
  <c r="O113" i="68"/>
  <c r="AI38" i="69"/>
  <c r="AJ38" i="69"/>
  <c r="AA52" i="69"/>
  <c r="AA45" i="69"/>
  <c r="AB37" i="69"/>
  <c r="AI37" i="69"/>
  <c r="AF37" i="69"/>
  <c r="G79" i="70"/>
  <c r="AI96" i="70"/>
  <c r="AF96" i="70"/>
  <c r="AL73" i="15"/>
  <c r="AL69" i="15"/>
  <c r="AL62" i="15"/>
  <c r="AL46" i="15"/>
  <c r="AL39" i="15"/>
  <c r="AL60" i="15"/>
  <c r="AL58" i="15"/>
  <c r="AL50" i="15"/>
  <c r="AL35" i="15"/>
  <c r="AL57" i="15"/>
  <c r="AL65" i="15"/>
  <c r="AL49" i="15"/>
  <c r="AL56" i="15"/>
  <c r="AL72" i="15"/>
  <c r="AL63" i="15"/>
  <c r="AL61" i="15"/>
  <c r="AL36" i="15"/>
  <c r="AL38" i="15"/>
  <c r="AL59" i="15"/>
  <c r="AL48" i="15"/>
  <c r="AL40" i="15"/>
  <c r="AL55" i="15"/>
  <c r="AL64" i="15"/>
  <c r="AL51" i="15"/>
  <c r="AL45" i="15"/>
  <c r="AI37" i="15"/>
  <c r="AF37" i="15"/>
  <c r="AL41" i="15"/>
  <c r="AG112" i="65"/>
  <c r="AE39" i="66"/>
  <c r="AF48" i="66"/>
  <c r="AI48" i="66"/>
  <c r="AE55" i="66"/>
  <c r="AF99" i="66"/>
  <c r="AE109" i="66"/>
  <c r="AH106" i="66"/>
  <c r="AF114" i="66"/>
  <c r="AH118" i="66"/>
  <c r="AI136" i="66"/>
  <c r="AA141" i="66"/>
  <c r="AA16" i="67"/>
  <c r="AL56" i="67"/>
  <c r="AK55" i="67"/>
  <c r="AH52" i="67"/>
  <c r="AL48" i="67"/>
  <c r="AK47" i="67"/>
  <c r="AL40" i="67"/>
  <c r="AK39" i="67"/>
  <c r="AH36" i="67"/>
  <c r="AH49" i="68"/>
  <c r="AF45" i="68"/>
  <c r="AI45" i="68"/>
  <c r="AF65" i="68"/>
  <c r="AH74" i="68"/>
  <c r="AA71" i="68"/>
  <c r="AA63" i="68"/>
  <c r="AA64" i="68" s="1"/>
  <c r="G64" i="68" s="1"/>
  <c r="AF74" i="68"/>
  <c r="AI84" i="68"/>
  <c r="AF90" i="68"/>
  <c r="AI91" i="68"/>
  <c r="AF105" i="68"/>
  <c r="AI106" i="68"/>
  <c r="AI102" i="68"/>
  <c r="AE108" i="68"/>
  <c r="AK35" i="69"/>
  <c r="AK43" i="69"/>
  <c r="AK51" i="69"/>
  <c r="AK42" i="69"/>
  <c r="AK50" i="69"/>
  <c r="AK40" i="69"/>
  <c r="AK48" i="69"/>
  <c r="AK56" i="69"/>
  <c r="AK39" i="69"/>
  <c r="AK47" i="69"/>
  <c r="AK55" i="69"/>
  <c r="AJ42" i="69"/>
  <c r="K35" i="69"/>
  <c r="AA35" i="69"/>
  <c r="AA51" i="69"/>
  <c r="AK53" i="69"/>
  <c r="AK49" i="69"/>
  <c r="AJ37" i="69"/>
  <c r="Z16" i="70"/>
  <c r="AA16" i="70"/>
  <c r="AF57" i="70"/>
  <c r="AD112" i="70"/>
  <c r="AE108" i="70"/>
  <c r="AA48" i="15"/>
  <c r="AI55" i="15"/>
  <c r="AB55" i="15"/>
  <c r="AF55" i="15"/>
  <c r="AH35" i="66"/>
  <c r="AE45" i="66"/>
  <c r="AH100" i="66"/>
  <c r="AB107" i="66"/>
  <c r="AF108" i="66"/>
  <c r="AI109" i="66"/>
  <c r="AI105" i="66"/>
  <c r="AE114" i="66"/>
  <c r="AF126" i="66"/>
  <c r="AK56" i="67"/>
  <c r="AL49" i="67"/>
  <c r="AK48" i="67"/>
  <c r="AL41" i="67"/>
  <c r="AK40" i="67"/>
  <c r="AF61" i="68"/>
  <c r="AI61" i="68"/>
  <c r="AI77" i="68"/>
  <c r="AB80" i="68"/>
  <c r="AB83" i="68"/>
  <c r="AF99" i="68"/>
  <c r="AF95" i="68"/>
  <c r="AI96" i="68"/>
  <c r="AI46" i="69"/>
  <c r="AJ46" i="69"/>
  <c r="K39" i="69"/>
  <c r="AA39" i="69"/>
  <c r="K36" i="69"/>
  <c r="AB56" i="69"/>
  <c r="AA44" i="69"/>
  <c r="AF46" i="69"/>
  <c r="AK41" i="69"/>
  <c r="AH35" i="69"/>
  <c r="AB66" i="70"/>
  <c r="AF66" i="70"/>
  <c r="AG113" i="70"/>
  <c r="AH112" i="70"/>
  <c r="AI49" i="15"/>
  <c r="AI47" i="15"/>
  <c r="AF47" i="15"/>
  <c r="AI64" i="15"/>
  <c r="AF64" i="15"/>
  <c r="K58" i="15"/>
  <c r="AA58" i="15"/>
  <c r="AA19" i="68"/>
  <c r="AH39" i="68"/>
  <c r="AJ50" i="69"/>
  <c r="K43" i="69"/>
  <c r="AA43" i="69"/>
  <c r="AI49" i="69"/>
  <c r="AB49" i="69"/>
  <c r="AJ49" i="69"/>
  <c r="AF49" i="69"/>
  <c r="AM42" i="69"/>
  <c r="AF56" i="69"/>
  <c r="AA19" i="70"/>
  <c r="AB82" i="70" s="1"/>
  <c r="AI74" i="70"/>
  <c r="AF74" i="70"/>
  <c r="AB65" i="70"/>
  <c r="AF65" i="70"/>
  <c r="AI65" i="70"/>
  <c r="AA43" i="70"/>
  <c r="AA44" i="70" s="1"/>
  <c r="G44" i="70" s="1"/>
  <c r="AI41" i="70"/>
  <c r="AF41" i="70"/>
  <c r="AA117" i="70"/>
  <c r="AB110" i="70"/>
  <c r="AF110" i="70"/>
  <c r="T112" i="70"/>
  <c r="T113" i="70" s="1"/>
  <c r="AA108" i="70"/>
  <c r="AL68" i="15"/>
  <c r="AH49" i="66"/>
  <c r="AH58" i="66"/>
  <c r="AH65" i="66"/>
  <c r="AH74" i="66"/>
  <c r="AF74" i="66"/>
  <c r="AE82" i="66"/>
  <c r="AI82" i="66"/>
  <c r="AE102" i="66"/>
  <c r="AH99" i="66"/>
  <c r="AB106" i="66"/>
  <c r="AF107" i="66"/>
  <c r="AH114" i="66"/>
  <c r="AF132" i="66"/>
  <c r="AH55" i="67"/>
  <c r="AL51" i="67"/>
  <c r="AK50" i="67"/>
  <c r="AL43" i="67"/>
  <c r="AK42" i="67"/>
  <c r="AL35" i="67"/>
  <c r="AI69" i="68"/>
  <c r="AA52" i="68"/>
  <c r="AF80" i="68"/>
  <c r="AF98" i="68"/>
  <c r="AI54" i="69"/>
  <c r="AJ54" i="69"/>
  <c r="AA55" i="69"/>
  <c r="AA41" i="69"/>
  <c r="AF50" i="69"/>
  <c r="AK36" i="69"/>
  <c r="AI62" i="70"/>
  <c r="AF62" i="70"/>
  <c r="AA64" i="70"/>
  <c r="G64" i="70" s="1"/>
  <c r="AI50" i="70"/>
  <c r="AF50" i="70"/>
  <c r="S112" i="70"/>
  <c r="S113" i="70" s="1"/>
  <c r="K41" i="15"/>
  <c r="AA41" i="15"/>
  <c r="AH40" i="24"/>
  <c r="AE40" i="24"/>
  <c r="Z62" i="24"/>
  <c r="AE35" i="66"/>
  <c r="AE59" i="66"/>
  <c r="AH57" i="66"/>
  <c r="AH82" i="66"/>
  <c r="AE107" i="66"/>
  <c r="AA119" i="66"/>
  <c r="AH56" i="67"/>
  <c r="AL52" i="67"/>
  <c r="AK51" i="67"/>
  <c r="AH48" i="67"/>
  <c r="AL44" i="67"/>
  <c r="AK43" i="67"/>
  <c r="AL36" i="67"/>
  <c r="AK35" i="67"/>
  <c r="AF40" i="68"/>
  <c r="AH45" i="68"/>
  <c r="AF49" i="68"/>
  <c r="AI49" i="68"/>
  <c r="AA43" i="68"/>
  <c r="K48" i="69"/>
  <c r="AB54" i="69"/>
  <c r="AB40" i="69"/>
  <c r="AK52" i="69"/>
  <c r="AI50" i="69"/>
  <c r="AK46" i="69"/>
  <c r="AK44" i="69"/>
  <c r="AK38" i="69"/>
  <c r="AB41" i="70"/>
  <c r="AI49" i="70"/>
  <c r="AF49" i="70"/>
  <c r="AA52" i="70"/>
  <c r="AA53" i="70"/>
  <c r="AA116" i="70"/>
  <c r="AB102" i="70"/>
  <c r="AI102" i="70"/>
  <c r="AF102" i="70"/>
  <c r="AE57" i="24"/>
  <c r="AA57" i="24"/>
  <c r="AH57" i="24"/>
  <c r="AH39" i="66"/>
  <c r="AE49" i="66"/>
  <c r="AH47" i="66"/>
  <c r="AE58" i="66"/>
  <c r="AH56" i="66"/>
  <c r="AL53" i="67"/>
  <c r="AK52" i="67"/>
  <c r="AL45" i="67"/>
  <c r="AK44" i="67"/>
  <c r="AF48" i="68"/>
  <c r="AF57" i="68"/>
  <c r="AA42" i="68"/>
  <c r="AF77" i="68"/>
  <c r="Q112" i="68"/>
  <c r="Q113" i="68" s="1"/>
  <c r="AB53" i="69"/>
  <c r="AI53" i="69"/>
  <c r="AF53" i="69"/>
  <c r="AF47" i="69"/>
  <c r="AJ47" i="69"/>
  <c r="AB47" i="69"/>
  <c r="AF38" i="69"/>
  <c r="AH46" i="69"/>
  <c r="AN46" i="69" s="1"/>
  <c r="AJ40" i="69"/>
  <c r="AB58" i="70"/>
  <c r="AB91" i="70"/>
  <c r="AI91" i="70"/>
  <c r="AF91" i="70"/>
  <c r="AF106" i="70"/>
  <c r="AI111" i="70"/>
  <c r="AB111" i="70"/>
  <c r="AF111" i="70"/>
  <c r="AA20" i="15"/>
  <c r="AJ49" i="15" s="1"/>
  <c r="AL47" i="15"/>
  <c r="AL70" i="15"/>
  <c r="AF72" i="15"/>
  <c r="AJ53" i="24"/>
  <c r="AJ48" i="24"/>
  <c r="AJ39" i="24"/>
  <c r="AJ54" i="24"/>
  <c r="AJ46" i="24"/>
  <c r="AJ37" i="24"/>
  <c r="AJ45" i="24"/>
  <c r="AJ36" i="24"/>
  <c r="AJ55" i="24"/>
  <c r="AJ43" i="24"/>
  <c r="AJ34" i="24"/>
  <c r="AJ44" i="24"/>
  <c r="AJ47" i="24"/>
  <c r="AJ60" i="24"/>
  <c r="AJ40" i="24"/>
  <c r="AJ52" i="24"/>
  <c r="AJ35" i="24"/>
  <c r="AJ49" i="24"/>
  <c r="AJ38" i="24"/>
  <c r="O67" i="18"/>
  <c r="AA48" i="18"/>
  <c r="K35" i="19"/>
  <c r="AA35" i="19"/>
  <c r="AM42" i="19"/>
  <c r="AN42" i="19"/>
  <c r="AM49" i="20"/>
  <c r="AN49" i="20"/>
  <c r="Z20" i="24"/>
  <c r="AI37" i="24" s="1"/>
  <c r="AA37" i="24"/>
  <c r="AH37" i="24"/>
  <c r="AE37" i="24"/>
  <c r="K34" i="24"/>
  <c r="Z34" i="24"/>
  <c r="AE55" i="24"/>
  <c r="AH55" i="24"/>
  <c r="AJ56" i="24"/>
  <c r="AD56" i="24"/>
  <c r="U62" i="24"/>
  <c r="AI39" i="18"/>
  <c r="K56" i="18"/>
  <c r="AA56" i="18"/>
  <c r="AJ62" i="19"/>
  <c r="AB62" i="19"/>
  <c r="AF62" i="19"/>
  <c r="AI62" i="19"/>
  <c r="AM42" i="21"/>
  <c r="AN42" i="21"/>
  <c r="O113" i="70"/>
  <c r="AH58" i="15"/>
  <c r="AH35" i="15"/>
  <c r="AH64" i="15"/>
  <c r="AH73" i="15"/>
  <c r="AH62" i="15"/>
  <c r="AH39" i="15"/>
  <c r="AH72" i="15"/>
  <c r="AH61" i="15"/>
  <c r="AH38" i="15"/>
  <c r="AH41" i="15"/>
  <c r="AH49" i="24"/>
  <c r="AI49" i="24"/>
  <c r="AA49" i="24"/>
  <c r="AE49" i="24"/>
  <c r="W58" i="24"/>
  <c r="O58" i="24"/>
  <c r="AA66" i="18"/>
  <c r="AB61" i="18"/>
  <c r="AF61" i="18"/>
  <c r="K39" i="19"/>
  <c r="AA39" i="19"/>
  <c r="AF40" i="19"/>
  <c r="AI40" i="19"/>
  <c r="AB40" i="19"/>
  <c r="AF55" i="19"/>
  <c r="AB55" i="19"/>
  <c r="AI55" i="19"/>
  <c r="AJ55" i="19"/>
  <c r="AM63" i="19"/>
  <c r="AN63" i="19"/>
  <c r="AL48" i="69"/>
  <c r="AL40" i="69"/>
  <c r="AF45" i="70"/>
  <c r="AH65" i="70"/>
  <c r="AA71" i="70"/>
  <c r="AA63" i="70"/>
  <c r="AB89" i="70"/>
  <c r="AF90" i="70"/>
  <c r="AB104" i="70"/>
  <c r="AF105" i="70"/>
  <c r="AA36" i="15"/>
  <c r="K49" i="15"/>
  <c r="AA51" i="15"/>
  <c r="K62" i="15"/>
  <c r="AA62" i="15"/>
  <c r="AH60" i="15"/>
  <c r="AA69" i="15"/>
  <c r="K69" i="15"/>
  <c r="AA46" i="24"/>
  <c r="AH46" i="24"/>
  <c r="AE46" i="24"/>
  <c r="Z54" i="24"/>
  <c r="AK55" i="24"/>
  <c r="AG55" i="24"/>
  <c r="AF58" i="24"/>
  <c r="AI53" i="18"/>
  <c r="AB64" i="18"/>
  <c r="AJ34" i="19"/>
  <c r="AJ42" i="19"/>
  <c r="AJ58" i="19"/>
  <c r="AM38" i="19"/>
  <c r="AN38" i="19"/>
  <c r="AM58" i="19"/>
  <c r="AN58" i="19"/>
  <c r="AB67" i="19"/>
  <c r="AI67" i="19"/>
  <c r="AJ67" i="19"/>
  <c r="AF67" i="19"/>
  <c r="AF61" i="70"/>
  <c r="AI61" i="70"/>
  <c r="AB80" i="70"/>
  <c r="AB98" i="70"/>
  <c r="AH106" i="70"/>
  <c r="AH102" i="70"/>
  <c r="AA19" i="15"/>
  <c r="AB72" i="15" s="1"/>
  <c r="AH37" i="15"/>
  <c r="AI35" i="15"/>
  <c r="AI45" i="15"/>
  <c r="AM47" i="15"/>
  <c r="AH51" i="15"/>
  <c r="AG76" i="15"/>
  <c r="AE62" i="15"/>
  <c r="AM47" i="24"/>
  <c r="AI34" i="18"/>
  <c r="AB34" i="18"/>
  <c r="AF34" i="18"/>
  <c r="AI43" i="18"/>
  <c r="AF43" i="18"/>
  <c r="AI54" i="18"/>
  <c r="AF54" i="18"/>
  <c r="AF63" i="18"/>
  <c r="AI63" i="18"/>
  <c r="AB63" i="18"/>
  <c r="AA19" i="19"/>
  <c r="K43" i="19"/>
  <c r="AA43" i="19"/>
  <c r="AJ40" i="19"/>
  <c r="AF59" i="19"/>
  <c r="AI59" i="19"/>
  <c r="AJ59" i="19"/>
  <c r="AB59" i="19"/>
  <c r="AH39" i="70"/>
  <c r="AH108" i="70"/>
  <c r="AE51" i="15"/>
  <c r="AF60" i="15"/>
  <c r="AI70" i="15"/>
  <c r="AB70" i="15"/>
  <c r="Z19" i="24"/>
  <c r="AA36" i="24" s="1"/>
  <c r="AI47" i="24"/>
  <c r="AH60" i="24"/>
  <c r="AB39" i="18"/>
  <c r="AI61" i="18"/>
  <c r="AB37" i="19"/>
  <c r="AI37" i="19"/>
  <c r="AF36" i="19"/>
  <c r="AJ36" i="19"/>
  <c r="AB36" i="19"/>
  <c r="AJ37" i="19"/>
  <c r="AI49" i="19"/>
  <c r="AJ49" i="19"/>
  <c r="AF49" i="19"/>
  <c r="AF64" i="19"/>
  <c r="AA69" i="19"/>
  <c r="AI64" i="19"/>
  <c r="AJ64" i="19"/>
  <c r="AB64" i="19"/>
  <c r="AJ66" i="19"/>
  <c r="AB66" i="19"/>
  <c r="AF66" i="19"/>
  <c r="AI66" i="19"/>
  <c r="AI65" i="20"/>
  <c r="AB65" i="20"/>
  <c r="AJ65" i="20"/>
  <c r="AF65" i="20"/>
  <c r="AL51" i="69"/>
  <c r="AL43" i="69"/>
  <c r="AL35" i="69"/>
  <c r="AH38" i="70"/>
  <c r="AF59" i="70"/>
  <c r="AI69" i="70"/>
  <c r="AK72" i="15"/>
  <c r="AK68" i="15"/>
  <c r="AK61" i="15"/>
  <c r="AK45" i="15"/>
  <c r="AK38" i="15"/>
  <c r="AK59" i="15"/>
  <c r="AK57" i="15"/>
  <c r="AK65" i="15"/>
  <c r="AK49" i="15"/>
  <c r="AK56" i="15"/>
  <c r="AK64" i="15"/>
  <c r="AK48" i="15"/>
  <c r="AK41" i="15"/>
  <c r="AA40" i="15"/>
  <c r="AK36" i="15"/>
  <c r="AF46" i="15"/>
  <c r="AN49" i="15"/>
  <c r="AK51" i="15"/>
  <c r="AI63" i="15"/>
  <c r="AB56" i="15"/>
  <c r="AF59" i="15"/>
  <c r="AH59" i="15"/>
  <c r="AI73" i="15"/>
  <c r="AD76" i="15"/>
  <c r="AH36" i="24"/>
  <c r="AA45" i="24"/>
  <c r="AA55" i="24"/>
  <c r="AJ57" i="24"/>
  <c r="AD57" i="24"/>
  <c r="AE60" i="24"/>
  <c r="AI38" i="18"/>
  <c r="AB38" i="18"/>
  <c r="AF38" i="18"/>
  <c r="AA37" i="18"/>
  <c r="AI35" i="18"/>
  <c r="AF44" i="18"/>
  <c r="AM34" i="19"/>
  <c r="AN34" i="19"/>
  <c r="AI47" i="19"/>
  <c r="AJ47" i="19"/>
  <c r="AF47" i="19"/>
  <c r="AB60" i="20"/>
  <c r="AB57" i="20"/>
  <c r="AB53" i="20"/>
  <c r="AH37" i="70"/>
  <c r="AF40" i="70"/>
  <c r="AH69" i="70"/>
  <c r="AH99" i="70"/>
  <c r="AE59" i="15"/>
  <c r="AE63" i="15"/>
  <c r="AE60" i="15"/>
  <c r="AE64" i="15"/>
  <c r="AE61" i="15"/>
  <c r="AE65" i="15"/>
  <c r="AE73" i="15"/>
  <c r="AE41" i="15"/>
  <c r="B29" i="15"/>
  <c r="AI39" i="15"/>
  <c r="AF39" i="15"/>
  <c r="AI38" i="15"/>
  <c r="AA68" i="15"/>
  <c r="K68" i="15"/>
  <c r="AH38" i="24"/>
  <c r="AE38" i="24"/>
  <c r="AE35" i="24"/>
  <c r="AH35" i="24"/>
  <c r="AA35" i="24"/>
  <c r="AM38" i="24"/>
  <c r="AH48" i="24"/>
  <c r="AE48" i="24"/>
  <c r="AA48" i="24"/>
  <c r="AE44" i="24"/>
  <c r="AH44" i="24"/>
  <c r="AA44" i="24"/>
  <c r="AL43" i="24"/>
  <c r="AM43" i="24"/>
  <c r="AH56" i="24"/>
  <c r="AA56" i="24"/>
  <c r="AE56" i="24"/>
  <c r="Z52" i="24"/>
  <c r="Z53" i="24"/>
  <c r="R58" i="24"/>
  <c r="V58" i="24"/>
  <c r="N58" i="24"/>
  <c r="Z58" i="24" s="1"/>
  <c r="AK56" i="24"/>
  <c r="AA19" i="18"/>
  <c r="K52" i="18"/>
  <c r="AA52" i="18"/>
  <c r="AA59" i="18"/>
  <c r="K59" i="18"/>
  <c r="AI64" i="18"/>
  <c r="AI41" i="19"/>
  <c r="AB41" i="19"/>
  <c r="AJ41" i="19"/>
  <c r="AF44" i="19"/>
  <c r="AJ44" i="19"/>
  <c r="AB44" i="19"/>
  <c r="AI44" i="19"/>
  <c r="AB51" i="19"/>
  <c r="AA70" i="19"/>
  <c r="AF51" i="19"/>
  <c r="AI51" i="19"/>
  <c r="AJ51" i="19"/>
  <c r="AJ63" i="20"/>
  <c r="AJ37" i="20"/>
  <c r="AJ43" i="20"/>
  <c r="AJ62" i="20"/>
  <c r="AK52" i="24"/>
  <c r="B58" i="18"/>
  <c r="AI50" i="19"/>
  <c r="AN47" i="19"/>
  <c r="AJ63" i="19"/>
  <c r="AD70" i="19"/>
  <c r="AH54" i="20"/>
  <c r="AH65" i="20"/>
  <c r="AH53" i="20"/>
  <c r="AH34" i="20"/>
  <c r="AH68" i="20"/>
  <c r="AH64" i="20"/>
  <c r="AH52" i="20"/>
  <c r="AH55" i="20"/>
  <c r="AJ38" i="20"/>
  <c r="AH35" i="20"/>
  <c r="AJ56" i="20"/>
  <c r="AB56" i="20"/>
  <c r="AI56" i="20"/>
  <c r="AI53" i="20"/>
  <c r="AF53" i="20"/>
  <c r="AI54" i="20"/>
  <c r="AF54" i="20"/>
  <c r="AJ54" i="20"/>
  <c r="AB64" i="20"/>
  <c r="AH63" i="20"/>
  <c r="AJ67" i="20"/>
  <c r="K43" i="21"/>
  <c r="AA43" i="21"/>
  <c r="AF36" i="21"/>
  <c r="AJ36" i="21"/>
  <c r="AB36" i="21"/>
  <c r="K50" i="21"/>
  <c r="AA50" i="21"/>
  <c r="AA58" i="21"/>
  <c r="K58" i="21"/>
  <c r="AJ66" i="21"/>
  <c r="K51" i="22"/>
  <c r="AA51" i="22"/>
  <c r="AA75" i="22"/>
  <c r="AI56" i="22"/>
  <c r="AB56" i="22"/>
  <c r="AF56" i="22"/>
  <c r="AI62" i="22"/>
  <c r="AJ62" i="22"/>
  <c r="AF62" i="22"/>
  <c r="AB62" i="22"/>
  <c r="AJ37" i="23"/>
  <c r="AI93" i="23"/>
  <c r="AJ93" i="23"/>
  <c r="AF93" i="23"/>
  <c r="AB93" i="23"/>
  <c r="AF63" i="19"/>
  <c r="AI63" i="19"/>
  <c r="AJ42" i="20"/>
  <c r="AG71" i="20"/>
  <c r="AL44" i="20"/>
  <c r="AJ62" i="21"/>
  <c r="AJ71" i="21"/>
  <c r="AI34" i="21"/>
  <c r="AJ34" i="21"/>
  <c r="AF34" i="21"/>
  <c r="AB34" i="21"/>
  <c r="AF63" i="21"/>
  <c r="AI63" i="21"/>
  <c r="AB63" i="21"/>
  <c r="AM41" i="22"/>
  <c r="AN41" i="22"/>
  <c r="AB72" i="22"/>
  <c r="AI72" i="22"/>
  <c r="AJ72" i="22"/>
  <c r="AF72" i="22"/>
  <c r="AM89" i="23"/>
  <c r="AF65" i="15"/>
  <c r="AF57" i="15"/>
  <c r="AA39" i="24"/>
  <c r="AK37" i="24"/>
  <c r="AK46" i="24"/>
  <c r="AK54" i="24"/>
  <c r="AD60" i="24"/>
  <c r="AA16" i="18"/>
  <c r="AB36" i="18"/>
  <c r="AE48" i="18"/>
  <c r="AF42" i="19"/>
  <c r="AF38" i="19"/>
  <c r="AF34" i="19"/>
  <c r="AL40" i="19"/>
  <c r="AK39" i="19"/>
  <c r="AJ38" i="19"/>
  <c r="AN49" i="19"/>
  <c r="AL47" i="19"/>
  <c r="K51" i="19"/>
  <c r="AH51" i="19"/>
  <c r="K59" i="19"/>
  <c r="K55" i="19"/>
  <c r="AA57" i="19"/>
  <c r="AL58" i="19"/>
  <c r="AK57" i="19"/>
  <c r="AJ56" i="19"/>
  <c r="AK61" i="20"/>
  <c r="AK49" i="20"/>
  <c r="AK57" i="20"/>
  <c r="AK60" i="20"/>
  <c r="AK48" i="20"/>
  <c r="AK56" i="20"/>
  <c r="AK41" i="20"/>
  <c r="AK37" i="20"/>
  <c r="AK55" i="20"/>
  <c r="AK36" i="20"/>
  <c r="AK62" i="20"/>
  <c r="AK50" i="20"/>
  <c r="AK43" i="20"/>
  <c r="AH38" i="20"/>
  <c r="AA70" i="20"/>
  <c r="AJ57" i="20"/>
  <c r="AF57" i="20"/>
  <c r="K48" i="20"/>
  <c r="AA51" i="20"/>
  <c r="AE53" i="20"/>
  <c r="AJ53" i="20"/>
  <c r="AH51" i="20"/>
  <c r="K61" i="20"/>
  <c r="AM63" i="20"/>
  <c r="AN63" i="20"/>
  <c r="AK64" i="20"/>
  <c r="AH67" i="20"/>
  <c r="AA19" i="21"/>
  <c r="AB64" i="21" s="1"/>
  <c r="AF44" i="21"/>
  <c r="AJ44" i="21"/>
  <c r="AB44" i="21"/>
  <c r="AJ48" i="21"/>
  <c r="AF48" i="21"/>
  <c r="AF49" i="21"/>
  <c r="AI64" i="21"/>
  <c r="AJ64" i="21"/>
  <c r="AF64" i="21"/>
  <c r="AB74" i="21"/>
  <c r="AI74" i="21"/>
  <c r="AJ74" i="21"/>
  <c r="AF74" i="21"/>
  <c r="K64" i="15"/>
  <c r="K60" i="15"/>
  <c r="K56" i="15"/>
  <c r="AA75" i="15"/>
  <c r="K38" i="24"/>
  <c r="AK38" i="24"/>
  <c r="AK40" i="24"/>
  <c r="AK47" i="24"/>
  <c r="AK49" i="24"/>
  <c r="AK60" i="24"/>
  <c r="AF62" i="24"/>
  <c r="K39" i="18"/>
  <c r="K35" i="18"/>
  <c r="K43" i="18"/>
  <c r="AI45" i="18"/>
  <c r="K54" i="18"/>
  <c r="AI60" i="18"/>
  <c r="K41" i="19"/>
  <c r="K37" i="19"/>
  <c r="AK40" i="19"/>
  <c r="AF50" i="19"/>
  <c r="AK47" i="19"/>
  <c r="AB56" i="19"/>
  <c r="AK58" i="19"/>
  <c r="AI56" i="19"/>
  <c r="AE60" i="20"/>
  <c r="AE64" i="20"/>
  <c r="AE54" i="20"/>
  <c r="AE67" i="20"/>
  <c r="AE61" i="20"/>
  <c r="AE65" i="20"/>
  <c r="AE51" i="20"/>
  <c r="AE55" i="20"/>
  <c r="AJ36" i="20"/>
  <c r="AF36" i="20"/>
  <c r="AB36" i="20"/>
  <c r="AN37" i="20"/>
  <c r="AA44" i="20"/>
  <c r="AE44" i="20"/>
  <c r="AB50" i="20"/>
  <c r="AF52" i="20"/>
  <c r="AJ50" i="20"/>
  <c r="AE62" i="20"/>
  <c r="AJ64" i="20"/>
  <c r="AH62" i="20"/>
  <c r="O71" i="20"/>
  <c r="AI38" i="21"/>
  <c r="AJ38" i="21"/>
  <c r="AF38" i="21"/>
  <c r="AJ37" i="21"/>
  <c r="AF54" i="21"/>
  <c r="AI54" i="21"/>
  <c r="AN62" i="21"/>
  <c r="AM62" i="21"/>
  <c r="AA69" i="21"/>
  <c r="K69" i="21"/>
  <c r="AI36" i="22"/>
  <c r="AB36" i="22"/>
  <c r="AF36" i="22"/>
  <c r="AI54" i="22"/>
  <c r="AJ54" i="22"/>
  <c r="AF54" i="22"/>
  <c r="AB68" i="22"/>
  <c r="AI68" i="22"/>
  <c r="AF68" i="22"/>
  <c r="AB88" i="23"/>
  <c r="AJ88" i="23"/>
  <c r="AI88" i="23"/>
  <c r="AF88" i="23"/>
  <c r="AB80" i="23"/>
  <c r="AJ80" i="23"/>
  <c r="AF80" i="23"/>
  <c r="AI80" i="23"/>
  <c r="AI85" i="23"/>
  <c r="AJ85" i="23"/>
  <c r="AF85" i="23"/>
  <c r="AB85" i="23"/>
  <c r="AB83" i="23"/>
  <c r="AI83" i="23"/>
  <c r="AF83" i="23"/>
  <c r="AJ83" i="23"/>
  <c r="AJ48" i="20"/>
  <c r="AB48" i="20"/>
  <c r="AI48" i="20"/>
  <c r="AH57" i="20"/>
  <c r="AI50" i="20"/>
  <c r="AB62" i="20"/>
  <c r="AI64" i="20"/>
  <c r="AB68" i="20"/>
  <c r="K35" i="21"/>
  <c r="AA35" i="21"/>
  <c r="AJ53" i="21"/>
  <c r="AF53" i="21"/>
  <c r="AJ52" i="21"/>
  <c r="AN52" i="21"/>
  <c r="AJ63" i="21"/>
  <c r="AB40" i="22"/>
  <c r="AI40" i="22"/>
  <c r="AF40" i="22"/>
  <c r="AM37" i="22"/>
  <c r="AN37" i="22"/>
  <c r="AF52" i="22"/>
  <c r="AI52" i="22"/>
  <c r="AJ41" i="23"/>
  <c r="AJ71" i="23"/>
  <c r="AJ43" i="23"/>
  <c r="AJ52" i="23"/>
  <c r="AK53" i="24"/>
  <c r="AF60" i="18"/>
  <c r="AG67" i="18"/>
  <c r="AK42" i="19"/>
  <c r="AK34" i="19"/>
  <c r="AK49" i="19"/>
  <c r="AJ48" i="19"/>
  <c r="AE51" i="19"/>
  <c r="AI58" i="19"/>
  <c r="AA16" i="20"/>
  <c r="AA35" i="20"/>
  <c r="AF42" i="20"/>
  <c r="AN42" i="20"/>
  <c r="AJ61" i="20"/>
  <c r="AB61" i="20"/>
  <c r="AI61" i="20"/>
  <c r="AJ68" i="20"/>
  <c r="AI42" i="21"/>
  <c r="AJ42" i="21"/>
  <c r="AF42" i="21"/>
  <c r="AF40" i="21"/>
  <c r="AI40" i="21"/>
  <c r="AB40" i="21"/>
  <c r="AA51" i="21"/>
  <c r="AI73" i="21"/>
  <c r="AB73" i="21"/>
  <c r="AI37" i="22"/>
  <c r="AF37" i="22"/>
  <c r="AI61" i="22"/>
  <c r="AB61" i="22"/>
  <c r="AJ61" i="22"/>
  <c r="AF61" i="22"/>
  <c r="K37" i="24"/>
  <c r="AC58" i="24"/>
  <c r="K44" i="18"/>
  <c r="K49" i="19"/>
  <c r="AI48" i="19"/>
  <c r="K62" i="19"/>
  <c r="AK62" i="19"/>
  <c r="AK66" i="19"/>
  <c r="AA34" i="20"/>
  <c r="K56" i="20"/>
  <c r="AB52" i="20"/>
  <c r="AJ49" i="20"/>
  <c r="AF49" i="20"/>
  <c r="AI55" i="20"/>
  <c r="AJ55" i="20"/>
  <c r="AB55" i="20"/>
  <c r="AI52" i="20"/>
  <c r="AH61" i="20"/>
  <c r="AI68" i="20"/>
  <c r="K39" i="21"/>
  <c r="AA39" i="21"/>
  <c r="AM38" i="21"/>
  <c r="AN38" i="21"/>
  <c r="AJ54" i="21"/>
  <c r="AI41" i="22"/>
  <c r="AF41" i="22"/>
  <c r="AJ48" i="22"/>
  <c r="AI48" i="22"/>
  <c r="AM39" i="23"/>
  <c r="AN39" i="23"/>
  <c r="AJ36" i="25"/>
  <c r="AJ44" i="25"/>
  <c r="AK34" i="24"/>
  <c r="AK44" i="19"/>
  <c r="AL37" i="19"/>
  <c r="AK36" i="19"/>
  <c r="AL55" i="19"/>
  <c r="AK63" i="19"/>
  <c r="AL62" i="20"/>
  <c r="AL50" i="20"/>
  <c r="AL61" i="20"/>
  <c r="AL49" i="20"/>
  <c r="AL57" i="20"/>
  <c r="AL42" i="20"/>
  <c r="AL38" i="20"/>
  <c r="AL60" i="20"/>
  <c r="AL48" i="20"/>
  <c r="AL56" i="20"/>
  <c r="AL41" i="20"/>
  <c r="AL37" i="20"/>
  <c r="AL67" i="20"/>
  <c r="AL63" i="20"/>
  <c r="AL51" i="20"/>
  <c r="AB38" i="20"/>
  <c r="AF38" i="20"/>
  <c r="AK35" i="20"/>
  <c r="AA41" i="20"/>
  <c r="K41" i="20"/>
  <c r="AI42" i="20"/>
  <c r="AB54" i="20"/>
  <c r="AF56" i="20"/>
  <c r="AH56" i="20"/>
  <c r="AK51" i="20"/>
  <c r="AI49" i="20"/>
  <c r="AJ60" i="20"/>
  <c r="AF60" i="20"/>
  <c r="AI60" i="20"/>
  <c r="AK65" i="20"/>
  <c r="AB67" i="20"/>
  <c r="AK67" i="20"/>
  <c r="AM37" i="21"/>
  <c r="AN37" i="21"/>
  <c r="AI36" i="21"/>
  <c r="AJ56" i="21"/>
  <c r="AF56" i="21"/>
  <c r="AJ49" i="21"/>
  <c r="AA65" i="21"/>
  <c r="K65" i="21"/>
  <c r="AA70" i="21"/>
  <c r="K70" i="21"/>
  <c r="AF73" i="21"/>
  <c r="B29" i="22"/>
  <c r="B58" i="22"/>
  <c r="AA20" i="22"/>
  <c r="AJ49" i="22" s="1"/>
  <c r="AI53" i="22"/>
  <c r="AF53" i="22"/>
  <c r="AI46" i="22"/>
  <c r="AJ46" i="22"/>
  <c r="AF46" i="22"/>
  <c r="AB67" i="22"/>
  <c r="AF67" i="22"/>
  <c r="AI67" i="22"/>
  <c r="AJ67" i="22"/>
  <c r="AM41" i="25"/>
  <c r="AN41" i="25"/>
  <c r="AL38" i="21"/>
  <c r="AK37" i="21"/>
  <c r="K53" i="21"/>
  <c r="AL55" i="21"/>
  <c r="AK54" i="21"/>
  <c r="AI52" i="21"/>
  <c r="AL47" i="21"/>
  <c r="AA55" i="21"/>
  <c r="AA47" i="21"/>
  <c r="AI66" i="21"/>
  <c r="AF71" i="21"/>
  <c r="AL71" i="21"/>
  <c r="AK70" i="21"/>
  <c r="AL74" i="21"/>
  <c r="AK73" i="21"/>
  <c r="AM42" i="22"/>
  <c r="AL41" i="22"/>
  <c r="AK40" i="22"/>
  <c r="AI38" i="22"/>
  <c r="K53" i="22"/>
  <c r="AM52" i="22"/>
  <c r="AL51" i="22"/>
  <c r="AK50" i="22"/>
  <c r="AB64" i="22"/>
  <c r="AB60" i="22"/>
  <c r="AJ64" i="22"/>
  <c r="AI63" i="22"/>
  <c r="K67" i="22"/>
  <c r="AL68" i="22"/>
  <c r="AK67" i="22"/>
  <c r="AL71" i="22"/>
  <c r="K49" i="23"/>
  <c r="AF34" i="23"/>
  <c r="AJ34" i="23"/>
  <c r="AJ48" i="23"/>
  <c r="AB41" i="23"/>
  <c r="AB35" i="23"/>
  <c r="AF49" i="23"/>
  <c r="AF35" i="23"/>
  <c r="AL45" i="23"/>
  <c r="AI44" i="23"/>
  <c r="AL40" i="23"/>
  <c r="AJ35" i="23"/>
  <c r="AM68" i="23"/>
  <c r="AN68" i="23"/>
  <c r="AF67" i="23"/>
  <c r="AA90" i="23"/>
  <c r="AA82" i="23"/>
  <c r="T96" i="23"/>
  <c r="T100" i="23" s="1"/>
  <c r="AL90" i="23"/>
  <c r="AJ91" i="23"/>
  <c r="AL87" i="23"/>
  <c r="AL80" i="23"/>
  <c r="AB94" i="23"/>
  <c r="AF78" i="23"/>
  <c r="AJ98" i="23"/>
  <c r="AA49" i="25"/>
  <c r="K49" i="25"/>
  <c r="AJ41" i="25"/>
  <c r="O54" i="25"/>
  <c r="AA52" i="25"/>
  <c r="AK53" i="26"/>
  <c r="AK77" i="26"/>
  <c r="AK52" i="26"/>
  <c r="AK60" i="26"/>
  <c r="AK68" i="26"/>
  <c r="AK44" i="26"/>
  <c r="AK54" i="26"/>
  <c r="AK64" i="26"/>
  <c r="AK40" i="26"/>
  <c r="AK35" i="26"/>
  <c r="AK59" i="26"/>
  <c r="AK72" i="26"/>
  <c r="AK50" i="26"/>
  <c r="AK56" i="26"/>
  <c r="AK63" i="26"/>
  <c r="AK67" i="26"/>
  <c r="AK39" i="26"/>
  <c r="AK43" i="26"/>
  <c r="AK37" i="26"/>
  <c r="AK71" i="26"/>
  <c r="AK47" i="26"/>
  <c r="AK58" i="26"/>
  <c r="AK62" i="26"/>
  <c r="AK66" i="26"/>
  <c r="AK38" i="26"/>
  <c r="AK42" i="26"/>
  <c r="AK76" i="26"/>
  <c r="AK55" i="26"/>
  <c r="AK70" i="26"/>
  <c r="AK74" i="26"/>
  <c r="AK46" i="26"/>
  <c r="AK36" i="26"/>
  <c r="AK51" i="26"/>
  <c r="AK57" i="26"/>
  <c r="AK69" i="26"/>
  <c r="AK73" i="26"/>
  <c r="AK45" i="26"/>
  <c r="AA47" i="26"/>
  <c r="K47" i="26"/>
  <c r="AA43" i="22"/>
  <c r="AA39" i="22"/>
  <c r="AA35" i="22"/>
  <c r="AA50" i="22"/>
  <c r="AI64" i="22"/>
  <c r="AF69" i="22"/>
  <c r="Q75" i="22"/>
  <c r="AE34" i="23"/>
  <c r="AE38" i="23"/>
  <c r="AE98" i="23"/>
  <c r="AE53" i="23"/>
  <c r="AI38" i="23"/>
  <c r="AF38" i="23"/>
  <c r="AL38" i="23"/>
  <c r="AA66" i="23"/>
  <c r="K66" i="23"/>
  <c r="AA63" i="23"/>
  <c r="K63" i="23"/>
  <c r="AJ73" i="23"/>
  <c r="AJ57" i="23"/>
  <c r="AM65" i="23"/>
  <c r="AE87" i="23"/>
  <c r="AK87" i="23"/>
  <c r="AL89" i="23"/>
  <c r="AH89" i="23"/>
  <c r="AN89" i="23" s="1"/>
  <c r="AJ94" i="23"/>
  <c r="AL83" i="23"/>
  <c r="AI77" i="23"/>
  <c r="AJ77" i="23"/>
  <c r="AF77" i="23"/>
  <c r="AB77" i="23"/>
  <c r="AA19" i="25"/>
  <c r="K46" i="25"/>
  <c r="AA46" i="25"/>
  <c r="AJ43" i="25"/>
  <c r="AF43" i="25"/>
  <c r="AB43" i="25"/>
  <c r="AA20" i="26"/>
  <c r="AJ44" i="26" s="1"/>
  <c r="AF44" i="26"/>
  <c r="AI44" i="26"/>
  <c r="AI38" i="26"/>
  <c r="AF38" i="26"/>
  <c r="AM38" i="27"/>
  <c r="AB42" i="27"/>
  <c r="AL40" i="21"/>
  <c r="AL49" i="21"/>
  <c r="AL58" i="21"/>
  <c r="AL63" i="21"/>
  <c r="AK42" i="22"/>
  <c r="AK34" i="22"/>
  <c r="AK52" i="22"/>
  <c r="AB63" i="22"/>
  <c r="AF60" i="22"/>
  <c r="AK69" i="22"/>
  <c r="AK72" i="22"/>
  <c r="AJ71" i="22"/>
  <c r="AF42" i="23"/>
  <c r="AB42" i="23"/>
  <c r="AJ42" i="23"/>
  <c r="AB52" i="23"/>
  <c r="AI47" i="23"/>
  <c r="AJ47" i="23"/>
  <c r="AJ40" i="23"/>
  <c r="AF53" i="23"/>
  <c r="AF39" i="23"/>
  <c r="AI52" i="23"/>
  <c r="AL48" i="23"/>
  <c r="AJ45" i="23"/>
  <c r="AL43" i="23"/>
  <c r="K67" i="23"/>
  <c r="AM67" i="23"/>
  <c r="AL73" i="23"/>
  <c r="AL65" i="23"/>
  <c r="AM61" i="23"/>
  <c r="AL57" i="23"/>
  <c r="Z96" i="23"/>
  <c r="Z100" i="23" s="1"/>
  <c r="R96" i="23"/>
  <c r="R100" i="23" s="1"/>
  <c r="AL94" i="23"/>
  <c r="AL78" i="23"/>
  <c r="AL79" i="23"/>
  <c r="AF94" i="23"/>
  <c r="AI37" i="25"/>
  <c r="AF37" i="25"/>
  <c r="AJ37" i="25"/>
  <c r="AN40" i="25"/>
  <c r="K35" i="26"/>
  <c r="AA35" i="26"/>
  <c r="AF72" i="26"/>
  <c r="AI72" i="26"/>
  <c r="AL41" i="21"/>
  <c r="AL50" i="21"/>
  <c r="AK58" i="21"/>
  <c r="AL64" i="21"/>
  <c r="AI71" i="21"/>
  <c r="AK43" i="22"/>
  <c r="AJ42" i="22"/>
  <c r="AK35" i="22"/>
  <c r="AJ34" i="22"/>
  <c r="AK53" i="22"/>
  <c r="AK56" i="22"/>
  <c r="AK60" i="22"/>
  <c r="AB69" i="22"/>
  <c r="AJ69" i="22"/>
  <c r="AI46" i="23"/>
  <c r="AF46" i="23"/>
  <c r="AB45" i="23"/>
  <c r="AL53" i="23"/>
  <c r="AI45" i="23"/>
  <c r="AJ38" i="23"/>
  <c r="AA70" i="23"/>
  <c r="K70" i="23"/>
  <c r="AF58" i="23"/>
  <c r="AI58" i="23"/>
  <c r="AI72" i="23"/>
  <c r="AJ72" i="23"/>
  <c r="AJ61" i="23"/>
  <c r="AI56" i="23"/>
  <c r="AJ56" i="23"/>
  <c r="AF56" i="23"/>
  <c r="AF89" i="23"/>
  <c r="AI89" i="23"/>
  <c r="AJ89" i="23"/>
  <c r="AF81" i="23"/>
  <c r="AI81" i="23"/>
  <c r="AJ81" i="23"/>
  <c r="AE91" i="23"/>
  <c r="AK91" i="23"/>
  <c r="AL93" i="23"/>
  <c r="AH93" i="23"/>
  <c r="AL77" i="23"/>
  <c r="AH77" i="23"/>
  <c r="AG96" i="23"/>
  <c r="AJ86" i="23"/>
  <c r="AB86" i="23"/>
  <c r="AI50" i="25"/>
  <c r="AJ50" i="25"/>
  <c r="AB50" i="25"/>
  <c r="K34" i="25"/>
  <c r="AA34" i="25"/>
  <c r="AI43" i="25"/>
  <c r="AB69" i="26"/>
  <c r="AI69" i="26"/>
  <c r="AF69" i="26"/>
  <c r="K67" i="26"/>
  <c r="AA67" i="26"/>
  <c r="AA62" i="26"/>
  <c r="K62" i="26"/>
  <c r="AI69" i="22"/>
  <c r="AL59" i="23"/>
  <c r="AL67" i="23"/>
  <c r="AL34" i="23"/>
  <c r="AL42" i="23"/>
  <c r="AL50" i="23"/>
  <c r="AL98" i="23"/>
  <c r="AL58" i="23"/>
  <c r="AL66" i="23"/>
  <c r="AL74" i="23"/>
  <c r="AL41" i="23"/>
  <c r="AL49" i="23"/>
  <c r="AL63" i="23"/>
  <c r="AL71" i="23"/>
  <c r="AL61" i="23"/>
  <c r="AL69" i="23"/>
  <c r="AL36" i="23"/>
  <c r="AL44" i="23"/>
  <c r="AL52" i="23"/>
  <c r="AF50" i="23"/>
  <c r="AB50" i="23"/>
  <c r="AJ50" i="23"/>
  <c r="AM51" i="23"/>
  <c r="AN51" i="23"/>
  <c r="AI39" i="23"/>
  <c r="AJ39" i="23"/>
  <c r="AL51" i="23"/>
  <c r="AJ67" i="23"/>
  <c r="AM60" i="23"/>
  <c r="AN60" i="23"/>
  <c r="AL82" i="23"/>
  <c r="AB91" i="23"/>
  <c r="AI91" i="23"/>
  <c r="AE52" i="25"/>
  <c r="AE37" i="25"/>
  <c r="AE45" i="25"/>
  <c r="AE34" i="25"/>
  <c r="AE38" i="25"/>
  <c r="AE46" i="25"/>
  <c r="AE50" i="25"/>
  <c r="AE35" i="25"/>
  <c r="AF41" i="25"/>
  <c r="AI41" i="25"/>
  <c r="AJ39" i="25"/>
  <c r="AF39" i="25"/>
  <c r="AI39" i="25"/>
  <c r="AB39" i="25"/>
  <c r="K39" i="26"/>
  <c r="AA39" i="26"/>
  <c r="AI51" i="26"/>
  <c r="AF51" i="26"/>
  <c r="K42" i="21"/>
  <c r="K38" i="21"/>
  <c r="K34" i="21"/>
  <c r="AL43" i="21"/>
  <c r="AK42" i="21"/>
  <c r="AJ41" i="21"/>
  <c r="AL35" i="21"/>
  <c r="AK34" i="21"/>
  <c r="AL52" i="21"/>
  <c r="AK51" i="21"/>
  <c r="AL66" i="21"/>
  <c r="AK65" i="21"/>
  <c r="AL38" i="22"/>
  <c r="AK37" i="22"/>
  <c r="AK55" i="22"/>
  <c r="AN50" i="22"/>
  <c r="AL48" i="22"/>
  <c r="AK47" i="22"/>
  <c r="AL63" i="22"/>
  <c r="AK62" i="22"/>
  <c r="AH38" i="23"/>
  <c r="AH53" i="23"/>
  <c r="AF51" i="23"/>
  <c r="AJ53" i="23"/>
  <c r="AJ51" i="23"/>
  <c r="AJ46" i="23"/>
  <c r="AL39" i="23"/>
  <c r="AL37" i="23"/>
  <c r="AI34" i="23"/>
  <c r="AA74" i="23"/>
  <c r="K74" i="23"/>
  <c r="AJ65" i="23"/>
  <c r="AN72" i="23"/>
  <c r="AN70" i="23"/>
  <c r="AN66" i="23"/>
  <c r="AN62" i="23"/>
  <c r="AN56" i="23"/>
  <c r="AA92" i="23"/>
  <c r="AA84" i="23"/>
  <c r="W96" i="23"/>
  <c r="W100" i="23" s="1"/>
  <c r="O96" i="23"/>
  <c r="AD96" i="23"/>
  <c r="AE79" i="23"/>
  <c r="AK79" i="23"/>
  <c r="AL81" i="23"/>
  <c r="AH81" i="23"/>
  <c r="AL92" i="23"/>
  <c r="AJ78" i="23"/>
  <c r="AB81" i="23"/>
  <c r="AF86" i="23"/>
  <c r="AB98" i="23"/>
  <c r="Z16" i="25"/>
  <c r="AA16" i="25"/>
  <c r="K38" i="25"/>
  <c r="AA38" i="25"/>
  <c r="AM48" i="25"/>
  <c r="AB37" i="25"/>
  <c r="AE36" i="25"/>
  <c r="AI46" i="26"/>
  <c r="AF46" i="26"/>
  <c r="AI65" i="26"/>
  <c r="AB60" i="26"/>
  <c r="AF60" i="26"/>
  <c r="AB64" i="26"/>
  <c r="AK65" i="26"/>
  <c r="AI60" i="26"/>
  <c r="AI74" i="26"/>
  <c r="AF74" i="26"/>
  <c r="AB41" i="21"/>
  <c r="AL44" i="21"/>
  <c r="AK43" i="21"/>
  <c r="AL36" i="21"/>
  <c r="AK35" i="21"/>
  <c r="AL53" i="21"/>
  <c r="AK52" i="21"/>
  <c r="AH58" i="21"/>
  <c r="K63" i="21"/>
  <c r="AK66" i="21"/>
  <c r="AN71" i="21"/>
  <c r="AL69" i="21"/>
  <c r="AA16" i="22"/>
  <c r="AF38" i="22"/>
  <c r="AL39" i="22"/>
  <c r="AK38" i="22"/>
  <c r="AF47" i="22"/>
  <c r="AN51" i="22"/>
  <c r="AL49" i="22"/>
  <c r="AK48" i="22"/>
  <c r="AJ47" i="22"/>
  <c r="AL64" i="22"/>
  <c r="AK63" i="22"/>
  <c r="AN71" i="22"/>
  <c r="AA19" i="23"/>
  <c r="AB53" i="23" s="1"/>
  <c r="K41" i="23"/>
  <c r="AB49" i="23"/>
  <c r="AM43" i="23"/>
  <c r="AN43" i="23"/>
  <c r="AF41" i="23"/>
  <c r="AJ49" i="23"/>
  <c r="AH36" i="23"/>
  <c r="AH34" i="23"/>
  <c r="AA59" i="23"/>
  <c r="K59" i="23"/>
  <c r="AN69" i="23"/>
  <c r="AF68" i="23"/>
  <c r="AL72" i="23"/>
  <c r="AL70" i="23"/>
  <c r="AL68" i="23"/>
  <c r="AL64" i="23"/>
  <c r="AL62" i="23"/>
  <c r="AL60" i="23"/>
  <c r="AL56" i="23"/>
  <c r="AL86" i="23"/>
  <c r="AL95" i="23"/>
  <c r="AL88" i="23"/>
  <c r="AB78" i="23"/>
  <c r="AF98" i="23"/>
  <c r="AI45" i="25"/>
  <c r="AF45" i="25"/>
  <c r="AJ45" i="25"/>
  <c r="AJ47" i="25"/>
  <c r="AF47" i="25"/>
  <c r="AI47" i="25"/>
  <c r="AB47" i="25"/>
  <c r="AB36" i="25"/>
  <c r="AM44" i="25"/>
  <c r="AA19" i="26"/>
  <c r="AB38" i="26" s="1"/>
  <c r="K43" i="26"/>
  <c r="AA43" i="26"/>
  <c r="AK41" i="26"/>
  <c r="AI63" i="26"/>
  <c r="AF63" i="26"/>
  <c r="AB63" i="26"/>
  <c r="AM58" i="26"/>
  <c r="AK44" i="21"/>
  <c r="AL37" i="21"/>
  <c r="AK36" i="21"/>
  <c r="AL54" i="21"/>
  <c r="AK53" i="21"/>
  <c r="AB66" i="21"/>
  <c r="AL70" i="21"/>
  <c r="AL40" i="22"/>
  <c r="AK39" i="22"/>
  <c r="AL50" i="22"/>
  <c r="AK49" i="22"/>
  <c r="K61" i="22"/>
  <c r="K45" i="23"/>
  <c r="AB48" i="23"/>
  <c r="AA36" i="23"/>
  <c r="AE36" i="23"/>
  <c r="AL47" i="23"/>
  <c r="AL35" i="23"/>
  <c r="AJ69" i="23"/>
  <c r="AI64" i="23"/>
  <c r="AJ64" i="23"/>
  <c r="AF72" i="23"/>
  <c r="AJ68" i="23"/>
  <c r="AJ62" i="23"/>
  <c r="AJ60" i="23"/>
  <c r="AJ58" i="23"/>
  <c r="AI95" i="23"/>
  <c r="AF95" i="23"/>
  <c r="AA87" i="23"/>
  <c r="AA79" i="23"/>
  <c r="AE83" i="23"/>
  <c r="AK83" i="23"/>
  <c r="AL85" i="23"/>
  <c r="AH85" i="23"/>
  <c r="AJ95" i="23"/>
  <c r="AL91" i="23"/>
  <c r="AL84" i="23"/>
  <c r="AH37" i="25"/>
  <c r="AH45" i="25"/>
  <c r="AH36" i="25"/>
  <c r="AH35" i="25"/>
  <c r="AH38" i="25"/>
  <c r="AH46" i="25"/>
  <c r="K42" i="25"/>
  <c r="AA42" i="25"/>
  <c r="AB45" i="25"/>
  <c r="AJ35" i="25"/>
  <c r="AF35" i="25"/>
  <c r="AB35" i="25"/>
  <c r="AK51" i="23"/>
  <c r="AK43" i="23"/>
  <c r="AK35" i="23"/>
  <c r="K62" i="23"/>
  <c r="K58" i="23"/>
  <c r="AK68" i="23"/>
  <c r="AK60" i="23"/>
  <c r="AK95" i="23"/>
  <c r="AF48" i="25"/>
  <c r="AF44" i="25"/>
  <c r="AF40" i="25"/>
  <c r="AF36" i="25"/>
  <c r="AL50" i="25"/>
  <c r="AK49" i="25"/>
  <c r="AJ48" i="25"/>
  <c r="AL42" i="25"/>
  <c r="AK41" i="25"/>
  <c r="AJ40" i="25"/>
  <c r="AL34" i="25"/>
  <c r="AL52" i="25"/>
  <c r="AA42" i="26"/>
  <c r="AE43" i="26"/>
  <c r="AL41" i="26"/>
  <c r="AH39" i="26"/>
  <c r="AA54" i="26"/>
  <c r="K54" i="26"/>
  <c r="AA68" i="26"/>
  <c r="AA59" i="26"/>
  <c r="AE66" i="26"/>
  <c r="AF53" i="26"/>
  <c r="AL65" i="26"/>
  <c r="AH56" i="26"/>
  <c r="AH77" i="26"/>
  <c r="AJ37" i="27"/>
  <c r="AF37" i="27"/>
  <c r="AB37" i="27"/>
  <c r="AI37" i="27"/>
  <c r="AJ34" i="27"/>
  <c r="AI34" i="27"/>
  <c r="AF34" i="27"/>
  <c r="AA80" i="26"/>
  <c r="AI76" i="26"/>
  <c r="AJ76" i="26"/>
  <c r="AL35" i="27"/>
  <c r="AL46" i="27"/>
  <c r="AL34" i="27"/>
  <c r="AL36" i="27"/>
  <c r="AL44" i="27"/>
  <c r="AL43" i="27"/>
  <c r="AL37" i="27"/>
  <c r="AL42" i="27"/>
  <c r="AL40" i="27"/>
  <c r="AL39" i="27"/>
  <c r="AL38" i="27"/>
  <c r="AL45" i="27"/>
  <c r="AK70" i="23"/>
  <c r="AK62" i="23"/>
  <c r="AK43" i="25"/>
  <c r="AK35" i="25"/>
  <c r="AE51" i="26"/>
  <c r="AE55" i="26"/>
  <c r="AE67" i="26"/>
  <c r="AF36" i="26"/>
  <c r="AB45" i="26"/>
  <c r="AE42" i="26"/>
  <c r="AI45" i="26"/>
  <c r="AJ41" i="26"/>
  <c r="AH40" i="26"/>
  <c r="AA70" i="26"/>
  <c r="K70" i="26"/>
  <c r="K50" i="26"/>
  <c r="AB71" i="26"/>
  <c r="AB57" i="26"/>
  <c r="AF73" i="26"/>
  <c r="AE65" i="26"/>
  <c r="AE61" i="26"/>
  <c r="AE57" i="26"/>
  <c r="AF52" i="26"/>
  <c r="AI73" i="26"/>
  <c r="AH64" i="26"/>
  <c r="AH60" i="26"/>
  <c r="AH54" i="26"/>
  <c r="AI41" i="27"/>
  <c r="AJ41" i="27"/>
  <c r="AF41" i="27"/>
  <c r="AB41" i="27"/>
  <c r="AJ38" i="27"/>
  <c r="AK44" i="25"/>
  <c r="AK36" i="25"/>
  <c r="AE46" i="26"/>
  <c r="AE41" i="26"/>
  <c r="AH45" i="26"/>
  <c r="AB61" i="26"/>
  <c r="AB52" i="26"/>
  <c r="AE73" i="26"/>
  <c r="AE69" i="26"/>
  <c r="AF64" i="26"/>
  <c r="AE52" i="26"/>
  <c r="AH69" i="26"/>
  <c r="AE77" i="26"/>
  <c r="AH76" i="26"/>
  <c r="AH58" i="28"/>
  <c r="AH51" i="28"/>
  <c r="AH43" i="28"/>
  <c r="AH50" i="28"/>
  <c r="AH63" i="28"/>
  <c r="AH39" i="28"/>
  <c r="AH52" i="28"/>
  <c r="AH40" i="28"/>
  <c r="AH61" i="28"/>
  <c r="AH60" i="28"/>
  <c r="AH44" i="28"/>
  <c r="AH64" i="28"/>
  <c r="AH48" i="28"/>
  <c r="AH49" i="28"/>
  <c r="AI40" i="28"/>
  <c r="AF40" i="28"/>
  <c r="AF61" i="28"/>
  <c r="AJ61" i="28"/>
  <c r="AI61" i="28"/>
  <c r="AH74" i="26"/>
  <c r="AH61" i="26"/>
  <c r="AI55" i="26"/>
  <c r="AH52" i="26"/>
  <c r="AF76" i="26"/>
  <c r="AF45" i="27"/>
  <c r="AB45" i="27"/>
  <c r="AI45" i="27"/>
  <c r="AJ45" i="27"/>
  <c r="AJ42" i="27"/>
  <c r="AI42" i="27"/>
  <c r="AK48" i="23"/>
  <c r="AK40" i="23"/>
  <c r="AK73" i="23"/>
  <c r="AK65" i="23"/>
  <c r="AK57" i="23"/>
  <c r="AE94" i="23"/>
  <c r="AE90" i="23"/>
  <c r="AE86" i="23"/>
  <c r="AE82" i="23"/>
  <c r="AE78" i="23"/>
  <c r="K45" i="25"/>
  <c r="K41" i="25"/>
  <c r="K37" i="25"/>
  <c r="AL47" i="25"/>
  <c r="AK46" i="25"/>
  <c r="AI44" i="25"/>
  <c r="AL39" i="25"/>
  <c r="AK38" i="25"/>
  <c r="AI36" i="25"/>
  <c r="K38" i="26"/>
  <c r="AE35" i="26"/>
  <c r="AE40" i="26"/>
  <c r="AH46" i="26"/>
  <c r="AH42" i="26"/>
  <c r="K69" i="26"/>
  <c r="K51" i="26"/>
  <c r="AE72" i="26"/>
  <c r="AE68" i="26"/>
  <c r="AF55" i="26"/>
  <c r="AF50" i="26"/>
  <c r="AL72" i="26"/>
  <c r="AH70" i="26"/>
  <c r="AH66" i="26"/>
  <c r="AH55" i="26"/>
  <c r="AE76" i="26"/>
  <c r="AF38" i="27"/>
  <c r="AI38" i="27"/>
  <c r="AA19" i="28"/>
  <c r="AB52" i="28" s="1"/>
  <c r="AK49" i="23"/>
  <c r="AK41" i="23"/>
  <c r="AK74" i="23"/>
  <c r="AK66" i="23"/>
  <c r="AK58" i="23"/>
  <c r="AL48" i="25"/>
  <c r="AK47" i="25"/>
  <c r="AL54" i="26"/>
  <c r="AL53" i="26"/>
  <c r="AL61" i="26"/>
  <c r="AL69" i="26"/>
  <c r="AL45" i="26"/>
  <c r="AL76" i="26"/>
  <c r="AL35" i="26"/>
  <c r="AE44" i="26"/>
  <c r="AL44" i="26"/>
  <c r="AL40" i="26"/>
  <c r="AH38" i="26"/>
  <c r="AF71" i="26"/>
  <c r="AE50" i="26"/>
  <c r="AM50" i="26" s="1"/>
  <c r="AL68" i="26"/>
  <c r="AL64" i="26"/>
  <c r="AL77" i="26"/>
  <c r="AB34" i="27"/>
  <c r="AH50" i="26"/>
  <c r="AN50" i="26" s="1"/>
  <c r="AH58" i="26"/>
  <c r="AN58" i="26" s="1"/>
  <c r="AH57" i="26"/>
  <c r="AH65" i="26"/>
  <c r="AH73" i="26"/>
  <c r="AH41" i="26"/>
  <c r="AH47" i="26"/>
  <c r="AH43" i="26"/>
  <c r="AH67" i="26"/>
  <c r="AH59" i="26"/>
  <c r="AH53" i="26"/>
  <c r="AB77" i="26"/>
  <c r="AJ77" i="26"/>
  <c r="AF77" i="26"/>
  <c r="AI77" i="26"/>
  <c r="Z16" i="27"/>
  <c r="AK44" i="27"/>
  <c r="AJ43" i="27"/>
  <c r="AH41" i="27"/>
  <c r="AA42" i="28"/>
  <c r="K42" i="28"/>
  <c r="AA39" i="28"/>
  <c r="K39" i="28"/>
  <c r="AI52" i="28"/>
  <c r="AJ52" i="28"/>
  <c r="AF52" i="28"/>
  <c r="AA47" i="28"/>
  <c r="AI58" i="28"/>
  <c r="AB60" i="29"/>
  <c r="AA44" i="27"/>
  <c r="AA40" i="27"/>
  <c r="AA36" i="27"/>
  <c r="AB36" i="28"/>
  <c r="AI36" i="28"/>
  <c r="AJ63" i="29"/>
  <c r="AJ65" i="29"/>
  <c r="AJ43" i="29"/>
  <c r="AJ47" i="29"/>
  <c r="AB68" i="29"/>
  <c r="AB63" i="29"/>
  <c r="AB52" i="29"/>
  <c r="AB59" i="29"/>
  <c r="AB72" i="29"/>
  <c r="AB35" i="29"/>
  <c r="AB39" i="29"/>
  <c r="AB43" i="29"/>
  <c r="AB47" i="29"/>
  <c r="AB40" i="29"/>
  <c r="AI40" i="29"/>
  <c r="AJ40" i="29"/>
  <c r="AF40" i="29"/>
  <c r="AA37" i="29"/>
  <c r="K37" i="29"/>
  <c r="AB38" i="29"/>
  <c r="AB43" i="27"/>
  <c r="AB39" i="27"/>
  <c r="AB35" i="27"/>
  <c r="AF35" i="27"/>
  <c r="AH43" i="27"/>
  <c r="AK38" i="27"/>
  <c r="AK36" i="27"/>
  <c r="AA48" i="27"/>
  <c r="AE46" i="27"/>
  <c r="AA16" i="28"/>
  <c r="AN41" i="28"/>
  <c r="AM41" i="28"/>
  <c r="AA44" i="28"/>
  <c r="AJ35" i="29"/>
  <c r="K42" i="27"/>
  <c r="K38" i="27"/>
  <c r="K34" i="27"/>
  <c r="AE43" i="27"/>
  <c r="AE39" i="27"/>
  <c r="AE35" i="27"/>
  <c r="AH44" i="27"/>
  <c r="AK39" i="27"/>
  <c r="AK46" i="27"/>
  <c r="AL63" i="28"/>
  <c r="AL47" i="28"/>
  <c r="AL39" i="28"/>
  <c r="AL35" i="28"/>
  <c r="AL58" i="28"/>
  <c r="AL51" i="28"/>
  <c r="AL43" i="28"/>
  <c r="AL57" i="28"/>
  <c r="AL50" i="28"/>
  <c r="AL42" i="28"/>
  <c r="AL64" i="28"/>
  <c r="AL48" i="28"/>
  <c r="AL40" i="28"/>
  <c r="AL36" i="28"/>
  <c r="AF43" i="28"/>
  <c r="AI43" i="28"/>
  <c r="AF50" i="28"/>
  <c r="AJ50" i="28"/>
  <c r="AL60" i="28"/>
  <c r="AL61" i="28"/>
  <c r="AI51" i="29"/>
  <c r="AB51" i="29"/>
  <c r="AF51" i="29"/>
  <c r="AJ51" i="29"/>
  <c r="AB55" i="29"/>
  <c r="AI44" i="29"/>
  <c r="AB44" i="29"/>
  <c r="AJ44" i="29"/>
  <c r="AF44" i="29"/>
  <c r="AA41" i="29"/>
  <c r="K41" i="29"/>
  <c r="AH38" i="27"/>
  <c r="AN38" i="27" s="1"/>
  <c r="AH35" i="27"/>
  <c r="AA46" i="27"/>
  <c r="AA20" i="28"/>
  <c r="AJ41" i="28" s="1"/>
  <c r="AJ36" i="28"/>
  <c r="AA51" i="28"/>
  <c r="AL52" i="28"/>
  <c r="AL49" i="28"/>
  <c r="AH53" i="28"/>
  <c r="AA59" i="28"/>
  <c r="K59" i="28"/>
  <c r="AL59" i="28"/>
  <c r="AA67" i="28"/>
  <c r="AI63" i="28"/>
  <c r="AF46" i="29"/>
  <c r="AB46" i="29"/>
  <c r="AI46" i="29"/>
  <c r="AJ46" i="29"/>
  <c r="AF56" i="29"/>
  <c r="AI56" i="29"/>
  <c r="AB56" i="29"/>
  <c r="AJ56" i="29"/>
  <c r="AK42" i="27"/>
  <c r="AH39" i="27"/>
  <c r="AJ35" i="27"/>
  <c r="W66" i="28"/>
  <c r="O66" i="28"/>
  <c r="AD66" i="28"/>
  <c r="AK44" i="28"/>
  <c r="AE44" i="28"/>
  <c r="AF48" i="28"/>
  <c r="AI48" i="28"/>
  <c r="AJ48" i="28"/>
  <c r="AA49" i="28"/>
  <c r="AA53" i="28"/>
  <c r="AJ60" i="28"/>
  <c r="AF58" i="28"/>
  <c r="AI36" i="29"/>
  <c r="AB36" i="29"/>
  <c r="AJ36" i="29"/>
  <c r="AF36" i="29"/>
  <c r="AK34" i="27"/>
  <c r="AK35" i="27"/>
  <c r="AK43" i="27"/>
  <c r="AH40" i="27"/>
  <c r="AH46" i="27"/>
  <c r="AA35" i="28"/>
  <c r="AL56" i="28"/>
  <c r="AK61" i="28"/>
  <c r="AE61" i="28"/>
  <c r="AF63" i="28"/>
  <c r="AA45" i="29"/>
  <c r="K45" i="29"/>
  <c r="AI42" i="29"/>
  <c r="AF42" i="29"/>
  <c r="AJ42" i="29"/>
  <c r="AB42" i="29"/>
  <c r="Z16" i="28"/>
  <c r="AK35" i="28"/>
  <c r="AE43" i="28"/>
  <c r="AE39" i="28"/>
  <c r="AK39" i="28"/>
  <c r="AK47" i="28"/>
  <c r="AI60" i="28"/>
  <c r="AK63" i="28"/>
  <c r="AK54" i="29"/>
  <c r="AK62" i="29"/>
  <c r="AK70" i="29"/>
  <c r="AK53" i="29"/>
  <c r="AK61" i="29"/>
  <c r="AK69" i="29"/>
  <c r="AK39" i="29"/>
  <c r="AK74" i="29"/>
  <c r="AK55" i="29"/>
  <c r="AK63" i="29"/>
  <c r="AK71" i="29"/>
  <c r="K44" i="29"/>
  <c r="K40" i="29"/>
  <c r="K36" i="29"/>
  <c r="AE45" i="29"/>
  <c r="AE41" i="29"/>
  <c r="AK47" i="29"/>
  <c r="AH44" i="29"/>
  <c r="AL40" i="29"/>
  <c r="AH39" i="29"/>
  <c r="AK37" i="29"/>
  <c r="AA50" i="29"/>
  <c r="K50" i="29"/>
  <c r="AB67" i="29"/>
  <c r="AE71" i="29"/>
  <c r="AE59" i="29"/>
  <c r="AH72" i="29"/>
  <c r="AH70" i="29"/>
  <c r="AK68" i="29"/>
  <c r="AK66" i="29"/>
  <c r="AK64" i="29"/>
  <c r="AJ59" i="29"/>
  <c r="AJ57" i="29"/>
  <c r="AJ55" i="29"/>
  <c r="AL53" i="29"/>
  <c r="AK75" i="29"/>
  <c r="AA50" i="30"/>
  <c r="K50" i="30"/>
  <c r="AE53" i="29"/>
  <c r="AE57" i="29"/>
  <c r="AE61" i="29"/>
  <c r="AE69" i="29"/>
  <c r="AL41" i="29"/>
  <c r="AL35" i="29"/>
  <c r="AB62" i="29"/>
  <c r="AJ62" i="29"/>
  <c r="AI60" i="29"/>
  <c r="AJ60" i="29"/>
  <c r="AF60" i="29"/>
  <c r="AJ53" i="29"/>
  <c r="AF53" i="29"/>
  <c r="AI53" i="29"/>
  <c r="AB53" i="29"/>
  <c r="AE64" i="29"/>
  <c r="AJ64" i="29"/>
  <c r="AB75" i="29"/>
  <c r="AJ75" i="29"/>
  <c r="AF75" i="29"/>
  <c r="AI75" i="29"/>
  <c r="AJ49" i="30"/>
  <c r="AJ39" i="29"/>
  <c r="AI39" i="29"/>
  <c r="AE44" i="29"/>
  <c r="AI47" i="29"/>
  <c r="AL42" i="29"/>
  <c r="K70" i="29"/>
  <c r="K51" i="29"/>
  <c r="AF65" i="29"/>
  <c r="AB65" i="29"/>
  <c r="AE70" i="29"/>
  <c r="AE58" i="29"/>
  <c r="AE51" i="29"/>
  <c r="AJ71" i="29"/>
  <c r="AI64" i="29"/>
  <c r="AI62" i="29"/>
  <c r="AL60" i="29"/>
  <c r="AL58" i="29"/>
  <c r="AK50" i="29"/>
  <c r="AH75" i="29"/>
  <c r="AH54" i="30"/>
  <c r="AH62" i="30"/>
  <c r="AH70" i="30"/>
  <c r="AH53" i="30"/>
  <c r="AN53" i="30" s="1"/>
  <c r="AH61" i="30"/>
  <c r="AH69" i="30"/>
  <c r="AH75" i="30"/>
  <c r="AH51" i="30"/>
  <c r="AH59" i="30"/>
  <c r="AH67" i="30"/>
  <c r="AH74" i="30"/>
  <c r="AH56" i="30"/>
  <c r="AH58" i="30"/>
  <c r="AH38" i="30"/>
  <c r="AH46" i="30"/>
  <c r="AH49" i="30"/>
  <c r="AH60" i="30"/>
  <c r="AH45" i="30"/>
  <c r="AH71" i="30"/>
  <c r="AH44" i="30"/>
  <c r="AH55" i="30"/>
  <c r="AH57" i="30"/>
  <c r="AN57" i="30" s="1"/>
  <c r="AH68" i="30"/>
  <c r="AH42" i="30"/>
  <c r="AH50" i="30"/>
  <c r="AH41" i="30"/>
  <c r="AH52" i="30"/>
  <c r="AH72" i="30"/>
  <c r="AH40" i="30"/>
  <c r="AH63" i="30"/>
  <c r="AH65" i="30"/>
  <c r="AH39" i="30"/>
  <c r="AF44" i="30"/>
  <c r="AJ44" i="30"/>
  <c r="AA71" i="30"/>
  <c r="K71" i="30"/>
  <c r="AA55" i="30"/>
  <c r="K55" i="30"/>
  <c r="AM57" i="30"/>
  <c r="AF41" i="28"/>
  <c r="AK42" i="28"/>
  <c r="AE50" i="28"/>
  <c r="AK50" i="28"/>
  <c r="AK57" i="28"/>
  <c r="AJ56" i="28"/>
  <c r="AE64" i="28"/>
  <c r="AI64" i="28"/>
  <c r="AF47" i="29"/>
  <c r="AF43" i="29"/>
  <c r="AF39" i="29"/>
  <c r="AF35" i="29"/>
  <c r="AH47" i="29"/>
  <c r="AL43" i="29"/>
  <c r="AK42" i="29"/>
  <c r="AL38" i="29"/>
  <c r="AA58" i="29"/>
  <c r="K58" i="29"/>
  <c r="K56" i="29"/>
  <c r="AB71" i="29"/>
  <c r="AB64" i="29"/>
  <c r="AI52" i="29"/>
  <c r="AJ52" i="29"/>
  <c r="AF52" i="29"/>
  <c r="AE68" i="29"/>
  <c r="AE63" i="29"/>
  <c r="AE56" i="29"/>
  <c r="AI71" i="29"/>
  <c r="AL69" i="29"/>
  <c r="AL67" i="29"/>
  <c r="AL65" i="29"/>
  <c r="AH64" i="29"/>
  <c r="AK60" i="29"/>
  <c r="AK58" i="29"/>
  <c r="AK56" i="29"/>
  <c r="AI45" i="30"/>
  <c r="AF45" i="30"/>
  <c r="AI44" i="30"/>
  <c r="AH35" i="30"/>
  <c r="AJ69" i="30"/>
  <c r="AI69" i="30"/>
  <c r="AB69" i="30"/>
  <c r="AF69" i="30"/>
  <c r="AH66" i="30"/>
  <c r="AI38" i="29"/>
  <c r="AJ38" i="29"/>
  <c r="AB70" i="29"/>
  <c r="AJ70" i="29"/>
  <c r="AF57" i="29"/>
  <c r="AB57" i="29"/>
  <c r="AA78" i="29"/>
  <c r="AI74" i="29"/>
  <c r="AB74" i="29"/>
  <c r="AJ74" i="29"/>
  <c r="AF36" i="30"/>
  <c r="AB36" i="30"/>
  <c r="AJ36" i="30"/>
  <c r="AB49" i="30"/>
  <c r="AI49" i="30"/>
  <c r="AA78" i="30"/>
  <c r="AF74" i="30"/>
  <c r="AI74" i="30"/>
  <c r="AJ74" i="30"/>
  <c r="AL74" i="29"/>
  <c r="AL55" i="29"/>
  <c r="AL63" i="29"/>
  <c r="AL71" i="29"/>
  <c r="AL54" i="29"/>
  <c r="AL62" i="29"/>
  <c r="AL70" i="29"/>
  <c r="AL50" i="29"/>
  <c r="AL75" i="29"/>
  <c r="AL56" i="29"/>
  <c r="AL64" i="29"/>
  <c r="AL72" i="29"/>
  <c r="AF38" i="29"/>
  <c r="AL45" i="29"/>
  <c r="AJ69" i="29"/>
  <c r="AF69" i="29"/>
  <c r="AI69" i="29"/>
  <c r="AB69" i="29"/>
  <c r="AE67" i="29"/>
  <c r="AE55" i="29"/>
  <c r="AJ67" i="29"/>
  <c r="AE75" i="29"/>
  <c r="AA19" i="30"/>
  <c r="AB44" i="30" s="1"/>
  <c r="AA41" i="30"/>
  <c r="AH43" i="30"/>
  <c r="AF70" i="30"/>
  <c r="AI70" i="30"/>
  <c r="AJ70" i="30"/>
  <c r="AH64" i="30"/>
  <c r="AE40" i="28"/>
  <c r="K57" i="28"/>
  <c r="AE58" i="28"/>
  <c r="AH51" i="29"/>
  <c r="AH59" i="29"/>
  <c r="AH67" i="29"/>
  <c r="AH50" i="29"/>
  <c r="AH58" i="29"/>
  <c r="AH66" i="29"/>
  <c r="AH54" i="29"/>
  <c r="AH52" i="29"/>
  <c r="AH60" i="29"/>
  <c r="AH68" i="29"/>
  <c r="AH38" i="29"/>
  <c r="AE46" i="29"/>
  <c r="AE42" i="29"/>
  <c r="AE38" i="29"/>
  <c r="AL46" i="29"/>
  <c r="AK45" i="29"/>
  <c r="AH42" i="29"/>
  <c r="AA66" i="29"/>
  <c r="K66" i="29"/>
  <c r="AB54" i="29"/>
  <c r="AJ54" i="29"/>
  <c r="AE72" i="29"/>
  <c r="AE60" i="29"/>
  <c r="AF54" i="29"/>
  <c r="AJ72" i="29"/>
  <c r="AI65" i="29"/>
  <c r="AL61" i="29"/>
  <c r="AL59" i="29"/>
  <c r="AL57" i="29"/>
  <c r="AH56" i="29"/>
  <c r="AL51" i="29"/>
  <c r="AF74" i="29"/>
  <c r="AA63" i="30"/>
  <c r="K63" i="30"/>
  <c r="AE52" i="28"/>
  <c r="AL47" i="29"/>
  <c r="AK46" i="29"/>
  <c r="AH43" i="29"/>
  <c r="AL39" i="29"/>
  <c r="AL37" i="29"/>
  <c r="K62" i="29"/>
  <c r="AI68" i="29"/>
  <c r="AJ68" i="29"/>
  <c r="AF68" i="29"/>
  <c r="AA61" i="29"/>
  <c r="AE66" i="29"/>
  <c r="AF59" i="29"/>
  <c r="AE54" i="29"/>
  <c r="AI72" i="29"/>
  <c r="AI70" i="29"/>
  <c r="AL68" i="29"/>
  <c r="AL66" i="29"/>
  <c r="AH63" i="29"/>
  <c r="AH61" i="29"/>
  <c r="AK59" i="29"/>
  <c r="AK57" i="29"/>
  <c r="AK51" i="29"/>
  <c r="AE74" i="29"/>
  <c r="AJ38" i="30"/>
  <c r="AJ46" i="30"/>
  <c r="AJ75" i="30"/>
  <c r="AJ57" i="30"/>
  <c r="AJ59" i="30"/>
  <c r="AJ42" i="30"/>
  <c r="AJ40" i="30"/>
  <c r="AF40" i="30"/>
  <c r="AI40" i="30"/>
  <c r="AA37" i="30"/>
  <c r="AJ61" i="30"/>
  <c r="AF61" i="30"/>
  <c r="AI61" i="30"/>
  <c r="AJ72" i="30"/>
  <c r="AI72" i="30"/>
  <c r="AF72" i="30"/>
  <c r="K44" i="30"/>
  <c r="K40" i="30"/>
  <c r="K36" i="30"/>
  <c r="AA43" i="30"/>
  <c r="AA39" i="30"/>
  <c r="AA35" i="30"/>
  <c r="AE35" i="30"/>
  <c r="AL43" i="30"/>
  <c r="AK42" i="30"/>
  <c r="AL35" i="30"/>
  <c r="AA54" i="30"/>
  <c r="AF65" i="30"/>
  <c r="AL70" i="30"/>
  <c r="AL68" i="30"/>
  <c r="AK61" i="30"/>
  <c r="AK59" i="30"/>
  <c r="AJ52" i="30"/>
  <c r="AK75" i="30"/>
  <c r="AJ36" i="31"/>
  <c r="AF36" i="31"/>
  <c r="AI36" i="31"/>
  <c r="S65" i="33"/>
  <c r="S66" i="33"/>
  <c r="AF38" i="33"/>
  <c r="AI38" i="33"/>
  <c r="AB38" i="33"/>
  <c r="AF66" i="30"/>
  <c r="R65" i="33"/>
  <c r="R66" i="33"/>
  <c r="Z65" i="33"/>
  <c r="Z66" i="33"/>
  <c r="AA77" i="30"/>
  <c r="AL45" i="30"/>
  <c r="AL37" i="30"/>
  <c r="AJ53" i="30"/>
  <c r="AF57" i="30"/>
  <c r="AJ68" i="30"/>
  <c r="AJ66" i="30"/>
  <c r="AL64" i="30"/>
  <c r="AL53" i="30"/>
  <c r="Q66" i="33"/>
  <c r="Q65" i="33"/>
  <c r="AF45" i="33"/>
  <c r="AB45" i="33"/>
  <c r="AI45" i="33"/>
  <c r="AL74" i="30"/>
  <c r="AL50" i="30"/>
  <c r="AL58" i="30"/>
  <c r="AL66" i="30"/>
  <c r="AL49" i="30"/>
  <c r="AL57" i="30"/>
  <c r="AL65" i="30"/>
  <c r="AL55" i="30"/>
  <c r="AL63" i="30"/>
  <c r="AL71" i="30"/>
  <c r="AL46" i="30"/>
  <c r="AL38" i="30"/>
  <c r="AF58" i="30"/>
  <c r="AB52" i="30"/>
  <c r="AI66" i="30"/>
  <c r="AL62" i="30"/>
  <c r="AL60" i="30"/>
  <c r="AL36" i="32"/>
  <c r="AL34" i="32"/>
  <c r="O65" i="33"/>
  <c r="O66" i="33"/>
  <c r="AA64" i="33"/>
  <c r="AF53" i="33"/>
  <c r="AB53" i="33"/>
  <c r="AI53" i="33"/>
  <c r="AL40" i="30"/>
  <c r="AF68" i="30"/>
  <c r="AJ60" i="30"/>
  <c r="AJ58" i="30"/>
  <c r="AL56" i="30"/>
  <c r="AF61" i="33"/>
  <c r="AB61" i="33"/>
  <c r="AI61" i="33"/>
  <c r="AA16" i="30"/>
  <c r="AK49" i="30"/>
  <c r="AK57" i="30"/>
  <c r="AK65" i="30"/>
  <c r="AK56" i="30"/>
  <c r="AK64" i="30"/>
  <c r="AK72" i="30"/>
  <c r="AK54" i="30"/>
  <c r="AK62" i="30"/>
  <c r="AK70" i="30"/>
  <c r="AI46" i="30"/>
  <c r="AL41" i="30"/>
  <c r="AK40" i="30"/>
  <c r="K67" i="30"/>
  <c r="K59" i="30"/>
  <c r="AA62" i="30"/>
  <c r="AF67" i="30"/>
  <c r="AE61" i="30"/>
  <c r="AE54" i="30"/>
  <c r="AJ67" i="30"/>
  <c r="AJ65" i="30"/>
  <c r="AI58" i="30"/>
  <c r="AL54" i="30"/>
  <c r="AL52" i="30"/>
  <c r="AA19" i="31"/>
  <c r="AB36" i="31" s="1"/>
  <c r="AL35" i="32"/>
  <c r="AA36" i="32"/>
  <c r="U66" i="33"/>
  <c r="U65" i="33"/>
  <c r="AB42" i="33"/>
  <c r="AB50" i="33"/>
  <c r="AK36" i="33"/>
  <c r="AK44" i="33"/>
  <c r="AK52" i="33"/>
  <c r="AK60" i="33"/>
  <c r="AK35" i="33"/>
  <c r="AK43" i="33"/>
  <c r="AK51" i="33"/>
  <c r="AK59" i="33"/>
  <c r="AK34" i="33"/>
  <c r="AK42" i="33"/>
  <c r="AK50" i="33"/>
  <c r="AK58" i="33"/>
  <c r="AK40" i="33"/>
  <c r="AK48" i="33"/>
  <c r="AK56" i="33"/>
  <c r="AK49" i="33"/>
  <c r="AK45" i="33"/>
  <c r="AK41" i="33"/>
  <c r="AK54" i="33"/>
  <c r="AK62" i="33"/>
  <c r="AK39" i="33"/>
  <c r="AK37" i="33"/>
  <c r="AK46" i="33"/>
  <c r="AK63" i="33"/>
  <c r="AK38" i="33"/>
  <c r="AK47" i="33"/>
  <c r="AK53" i="33"/>
  <c r="AK57" i="33"/>
  <c r="AK61" i="33"/>
  <c r="AF37" i="33"/>
  <c r="AB37" i="33"/>
  <c r="AI37" i="33"/>
  <c r="AK55" i="33"/>
  <c r="AE51" i="30"/>
  <c r="AE55" i="30"/>
  <c r="AE59" i="30"/>
  <c r="AE63" i="30"/>
  <c r="AE67" i="30"/>
  <c r="AE71" i="30"/>
  <c r="AE52" i="30"/>
  <c r="AE56" i="30"/>
  <c r="AE60" i="30"/>
  <c r="AE64" i="30"/>
  <c r="AE68" i="30"/>
  <c r="AE72" i="30"/>
  <c r="AL42" i="30"/>
  <c r="AK41" i="30"/>
  <c r="AJ64" i="30"/>
  <c r="AJ56" i="30"/>
  <c r="AA51" i="30"/>
  <c r="K51" i="30"/>
  <c r="K49" i="30"/>
  <c r="AB68" i="30"/>
  <c r="AE66" i="30"/>
  <c r="AF60" i="30"/>
  <c r="AF53" i="30"/>
  <c r="AL72" i="30"/>
  <c r="AK63" i="30"/>
  <c r="AL61" i="30"/>
  <c r="AL59" i="30"/>
  <c r="AK52" i="30"/>
  <c r="AK50" i="30"/>
  <c r="AL75" i="30"/>
  <c r="AA37" i="31"/>
  <c r="AA19" i="32"/>
  <c r="AB34" i="32" s="1"/>
  <c r="AA21" i="33"/>
  <c r="AJ38" i="33" s="1"/>
  <c r="AI49" i="34"/>
  <c r="AJ49" i="34"/>
  <c r="AF49" i="34"/>
  <c r="AB49" i="34"/>
  <c r="K36" i="31"/>
  <c r="AA35" i="32"/>
  <c r="V65" i="33"/>
  <c r="V66" i="33"/>
  <c r="AH41" i="33"/>
  <c r="AH40" i="33"/>
  <c r="AH47" i="33"/>
  <c r="AH63" i="33"/>
  <c r="AH45" i="33"/>
  <c r="AH53" i="33"/>
  <c r="K60" i="33"/>
  <c r="AB52" i="33"/>
  <c r="AA40" i="33"/>
  <c r="K40" i="33"/>
  <c r="K38" i="33"/>
  <c r="AA62" i="33"/>
  <c r="AF54" i="33"/>
  <c r="AI54" i="33"/>
  <c r="AF46" i="33"/>
  <c r="AI46" i="33"/>
  <c r="AE53" i="33"/>
  <c r="AE40" i="33"/>
  <c r="AA20" i="34"/>
  <c r="AJ42" i="34" s="1"/>
  <c r="AI37" i="34"/>
  <c r="AF37" i="34"/>
  <c r="AI35" i="34"/>
  <c r="AF35" i="34"/>
  <c r="AB35" i="34"/>
  <c r="AA44" i="34"/>
  <c r="AL44" i="34"/>
  <c r="AH44" i="34"/>
  <c r="AJ34" i="32"/>
  <c r="AD66" i="33"/>
  <c r="AK64" i="33"/>
  <c r="AB60" i="33"/>
  <c r="AA48" i="33"/>
  <c r="K48" i="33"/>
  <c r="AB59" i="33"/>
  <c r="AF59" i="33"/>
  <c r="AB51" i="33"/>
  <c r="AF51" i="33"/>
  <c r="AA43" i="33"/>
  <c r="AJ35" i="33"/>
  <c r="AB35" i="33"/>
  <c r="AF35" i="33"/>
  <c r="AD65" i="33"/>
  <c r="AL34" i="31"/>
  <c r="AL37" i="31"/>
  <c r="AI34" i="32"/>
  <c r="AA20" i="33"/>
  <c r="AE50" i="33"/>
  <c r="AE54" i="33"/>
  <c r="AE51" i="33"/>
  <c r="AE44" i="33"/>
  <c r="AN58" i="33"/>
  <c r="W65" i="33"/>
  <c r="W66" i="33"/>
  <c r="AL66" i="33"/>
  <c r="AH66" i="33"/>
  <c r="AB56" i="34"/>
  <c r="AF56" i="34"/>
  <c r="AI56" i="34"/>
  <c r="O59" i="35"/>
  <c r="AL35" i="31"/>
  <c r="AA16" i="32"/>
  <c r="AH34" i="32"/>
  <c r="AA56" i="33"/>
  <c r="K56" i="33"/>
  <c r="AI58" i="33"/>
  <c r="AF58" i="33"/>
  <c r="AI50" i="33"/>
  <c r="AJ50" i="33"/>
  <c r="AF50" i="33"/>
  <c r="AI42" i="33"/>
  <c r="AF42" i="33"/>
  <c r="AI34" i="33"/>
  <c r="AF34" i="33"/>
  <c r="AE43" i="33"/>
  <c r="AF36" i="33"/>
  <c r="AH50" i="33"/>
  <c r="AH44" i="33"/>
  <c r="AI35" i="33"/>
  <c r="X66" i="33"/>
  <c r="AF39" i="34"/>
  <c r="AB39" i="34"/>
  <c r="O60" i="34"/>
  <c r="AJ50" i="34"/>
  <c r="AF50" i="34"/>
  <c r="AB50" i="34"/>
  <c r="AJ39" i="35"/>
  <c r="AF39" i="35"/>
  <c r="AB39" i="35"/>
  <c r="AI39" i="35"/>
  <c r="AF40" i="35"/>
  <c r="AB40" i="35"/>
  <c r="AI40" i="35"/>
  <c r="AJ40" i="35"/>
  <c r="AL57" i="35"/>
  <c r="AH57" i="35"/>
  <c r="AF44" i="36"/>
  <c r="AI44" i="36"/>
  <c r="AJ44" i="36"/>
  <c r="AK35" i="31"/>
  <c r="AJ34" i="31"/>
  <c r="AF57" i="33"/>
  <c r="AI57" i="33"/>
  <c r="AB57" i="33"/>
  <c r="AF49" i="33"/>
  <c r="AI49" i="33"/>
  <c r="AB49" i="33"/>
  <c r="AF41" i="33"/>
  <c r="AI41" i="33"/>
  <c r="AB41" i="33"/>
  <c r="AI52" i="33"/>
  <c r="T65" i="33"/>
  <c r="AA36" i="34"/>
  <c r="K36" i="34"/>
  <c r="AJ35" i="34"/>
  <c r="AI50" i="34"/>
  <c r="AA16" i="31"/>
  <c r="AJ35" i="31"/>
  <c r="K52" i="33"/>
  <c r="AB44" i="33"/>
  <c r="AB63" i="33"/>
  <c r="AF63" i="33"/>
  <c r="AB55" i="33"/>
  <c r="AF55" i="33"/>
  <c r="AB47" i="33"/>
  <c r="AF47" i="33"/>
  <c r="AB39" i="33"/>
  <c r="AF39" i="33"/>
  <c r="AE41" i="33"/>
  <c r="AI60" i="33"/>
  <c r="AH52" i="33"/>
  <c r="AN34" i="33"/>
  <c r="AG65" i="33"/>
  <c r="AL64" i="33"/>
  <c r="AA16" i="34"/>
  <c r="AL57" i="34"/>
  <c r="AL58" i="34"/>
  <c r="AL56" i="34"/>
  <c r="AL50" i="34"/>
  <c r="AL42" i="34"/>
  <c r="AL39" i="34"/>
  <c r="AL38" i="34"/>
  <c r="AL51" i="34"/>
  <c r="AL49" i="34"/>
  <c r="AL36" i="34"/>
  <c r="AL35" i="34"/>
  <c r="AL43" i="34"/>
  <c r="AL37" i="34"/>
  <c r="AI42" i="34"/>
  <c r="AB42" i="34"/>
  <c r="AA46" i="34"/>
  <c r="AG46" i="34"/>
  <c r="AF35" i="31"/>
  <c r="AB54" i="33"/>
  <c r="AB46" i="33"/>
  <c r="AE47" i="33"/>
  <c r="AH60" i="33"/>
  <c r="AH54" i="33"/>
  <c r="AH43" i="33"/>
  <c r="AN36" i="33"/>
  <c r="AE64" i="33"/>
  <c r="P66" i="33"/>
  <c r="AB37" i="34"/>
  <c r="AB43" i="34"/>
  <c r="AI43" i="34"/>
  <c r="AJ43" i="34"/>
  <c r="AF43" i="34"/>
  <c r="AM45" i="35"/>
  <c r="AN45" i="35"/>
  <c r="AB56" i="35"/>
  <c r="AJ56" i="35"/>
  <c r="AF56" i="35"/>
  <c r="AI56" i="35"/>
  <c r="AA51" i="34"/>
  <c r="AB35" i="35"/>
  <c r="AJ35" i="35"/>
  <c r="AF35" i="35"/>
  <c r="AF44" i="35"/>
  <c r="AJ44" i="35"/>
  <c r="AB44" i="35"/>
  <c r="AF55" i="35"/>
  <c r="AI55" i="35"/>
  <c r="AJ55" i="35"/>
  <c r="AB55" i="35"/>
  <c r="AI40" i="36"/>
  <c r="AJ40" i="36"/>
  <c r="AF40" i="36"/>
  <c r="AB40" i="36"/>
  <c r="AF47" i="36"/>
  <c r="AI47" i="36"/>
  <c r="AJ47" i="36"/>
  <c r="AF59" i="36"/>
  <c r="AI59" i="36"/>
  <c r="AB53" i="36"/>
  <c r="AI53" i="36"/>
  <c r="AJ53" i="36"/>
  <c r="AF53" i="36"/>
  <c r="AJ63" i="36"/>
  <c r="AL41" i="35"/>
  <c r="AL40" i="35"/>
  <c r="AL39" i="35"/>
  <c r="AL46" i="35"/>
  <c r="AL45" i="35"/>
  <c r="AL56" i="35"/>
  <c r="AL44" i="35"/>
  <c r="AL35" i="35"/>
  <c r="AI38" i="35"/>
  <c r="AJ38" i="35"/>
  <c r="AF38" i="35"/>
  <c r="AB38" i="35"/>
  <c r="AF45" i="35"/>
  <c r="AA48" i="35"/>
  <c r="AL50" i="35"/>
  <c r="AL57" i="33"/>
  <c r="AL49" i="33"/>
  <c r="AL41" i="33"/>
  <c r="T53" i="34"/>
  <c r="T60" i="34" s="1"/>
  <c r="AE46" i="34"/>
  <c r="AK53" i="34"/>
  <c r="AK57" i="34"/>
  <c r="AB57" i="35"/>
  <c r="AF57" i="35"/>
  <c r="AI57" i="35"/>
  <c r="AJ57" i="35"/>
  <c r="AI38" i="36"/>
  <c r="AJ38" i="36"/>
  <c r="AF38" i="36"/>
  <c r="K35" i="36"/>
  <c r="AA35" i="36"/>
  <c r="AA45" i="36"/>
  <c r="K45" i="36"/>
  <c r="AI57" i="36"/>
  <c r="AJ57" i="36"/>
  <c r="AF57" i="36"/>
  <c r="AA58" i="34"/>
  <c r="AI37" i="36"/>
  <c r="AF37" i="36"/>
  <c r="AJ37" i="36"/>
  <c r="AI64" i="36"/>
  <c r="AJ64" i="36"/>
  <c r="AF64" i="36"/>
  <c r="AL59" i="33"/>
  <c r="AL51" i="33"/>
  <c r="AL43" i="33"/>
  <c r="AL35" i="33"/>
  <c r="AK37" i="34"/>
  <c r="AK46" i="34"/>
  <c r="AK49" i="34"/>
  <c r="AI57" i="34"/>
  <c r="AF57" i="34"/>
  <c r="AA19" i="35"/>
  <c r="AI35" i="35"/>
  <c r="AA46" i="35"/>
  <c r="AK48" i="35"/>
  <c r="AE50" i="35"/>
  <c r="AK50" i="35"/>
  <c r="K39" i="36"/>
  <c r="AA39" i="36"/>
  <c r="AA49" i="36"/>
  <c r="K49" i="36"/>
  <c r="AF55" i="36"/>
  <c r="AI55" i="36"/>
  <c r="AJ55" i="36"/>
  <c r="AB55" i="36"/>
  <c r="AL60" i="33"/>
  <c r="AL52" i="33"/>
  <c r="AL44" i="33"/>
  <c r="AL36" i="33"/>
  <c r="AE53" i="34"/>
  <c r="AJ45" i="35"/>
  <c r="Z52" i="35"/>
  <c r="Z59" i="35" s="1"/>
  <c r="R52" i="35"/>
  <c r="R59" i="35" s="1"/>
  <c r="AG52" i="35"/>
  <c r="AL48" i="35"/>
  <c r="AH48" i="35"/>
  <c r="S59" i="35"/>
  <c r="Z16" i="36"/>
  <c r="AA16" i="36"/>
  <c r="AA19" i="36"/>
  <c r="AB44" i="36" s="1"/>
  <c r="AF36" i="36"/>
  <c r="AI36" i="36"/>
  <c r="AJ36" i="36"/>
  <c r="AJ43" i="36"/>
  <c r="AF43" i="36"/>
  <c r="AB43" i="36"/>
  <c r="AB61" i="36"/>
  <c r="AI61" i="36"/>
  <c r="AJ61" i="36"/>
  <c r="AF61" i="36"/>
  <c r="AL61" i="33"/>
  <c r="AL53" i="33"/>
  <c r="AL45" i="33"/>
  <c r="AK39" i="34"/>
  <c r="AK58" i="34"/>
  <c r="AK40" i="35"/>
  <c r="AK39" i="35"/>
  <c r="AK38" i="35"/>
  <c r="AK45" i="35"/>
  <c r="AK56" i="35"/>
  <c r="AK44" i="35"/>
  <c r="AK35" i="35"/>
  <c r="AK55" i="35"/>
  <c r="AK34" i="35"/>
  <c r="AI34" i="35"/>
  <c r="AJ34" i="35"/>
  <c r="AB34" i="35"/>
  <c r="AL34" i="35"/>
  <c r="AM41" i="35"/>
  <c r="AN41" i="35"/>
  <c r="AL55" i="35"/>
  <c r="AB48" i="36"/>
  <c r="AI48" i="36"/>
  <c r="AF48" i="36"/>
  <c r="AJ48" i="36"/>
  <c r="AJ58" i="36"/>
  <c r="AB64" i="36"/>
  <c r="AJ41" i="35"/>
  <c r="AE46" i="35"/>
  <c r="AD52" i="35"/>
  <c r="AL38" i="36"/>
  <c r="AK37" i="36"/>
  <c r="AF46" i="36"/>
  <c r="AL47" i="36"/>
  <c r="AK46" i="36"/>
  <c r="AH43" i="36"/>
  <c r="K59" i="36"/>
  <c r="K55" i="36"/>
  <c r="AA60" i="36"/>
  <c r="AA56" i="36"/>
  <c r="AA52" i="36"/>
  <c r="AE58" i="36"/>
  <c r="AE54" i="36"/>
  <c r="AK61" i="36"/>
  <c r="AH58" i="36"/>
  <c r="AL54" i="36"/>
  <c r="AK53" i="36"/>
  <c r="AL63" i="36"/>
  <c r="AE38" i="36"/>
  <c r="AL39" i="36"/>
  <c r="AK38" i="36"/>
  <c r="AH35" i="36"/>
  <c r="K47" i="36"/>
  <c r="K43" i="36"/>
  <c r="AE46" i="36"/>
  <c r="AL48" i="36"/>
  <c r="AK47" i="36"/>
  <c r="AJ46" i="36"/>
  <c r="AH44" i="36"/>
  <c r="AH59" i="36"/>
  <c r="AL55" i="36"/>
  <c r="AK54" i="36"/>
  <c r="AL64" i="36"/>
  <c r="AK63" i="36"/>
  <c r="AA50" i="35"/>
  <c r="AL40" i="36"/>
  <c r="AK39" i="36"/>
  <c r="AH36" i="36"/>
  <c r="AB46" i="36"/>
  <c r="AL49" i="36"/>
  <c r="AK48" i="36"/>
  <c r="AE61" i="36"/>
  <c r="AE57" i="36"/>
  <c r="AE53" i="36"/>
  <c r="AH60" i="36"/>
  <c r="AL56" i="36"/>
  <c r="AK55" i="36"/>
  <c r="AH52" i="36"/>
  <c r="AK64" i="36"/>
  <c r="AK56" i="36"/>
  <c r="AH47" i="36"/>
  <c r="AL43" i="36"/>
  <c r="AE60" i="36"/>
  <c r="AE56" i="36"/>
  <c r="AL58" i="36"/>
  <c r="AK57" i="36"/>
  <c r="AH54" i="36"/>
  <c r="AH63" i="36"/>
  <c r="AE40" i="36"/>
  <c r="AE36" i="36"/>
  <c r="AL35" i="36"/>
  <c r="AE48" i="36"/>
  <c r="AL44" i="36"/>
  <c r="AK43" i="36"/>
  <c r="AL59" i="36"/>
  <c r="AK58" i="36"/>
  <c r="AH55" i="36"/>
  <c r="AH40" i="36"/>
  <c r="AL36" i="36"/>
  <c r="AK35" i="36"/>
  <c r="AH49" i="36"/>
  <c r="AL45" i="36"/>
  <c r="AK44" i="36"/>
  <c r="AE59" i="36"/>
  <c r="AE55" i="36"/>
  <c r="AL60" i="36"/>
  <c r="AM64" i="30" l="1"/>
  <c r="AB67" i="30"/>
  <c r="AB48" i="28"/>
  <c r="AB40" i="28"/>
  <c r="AJ38" i="15"/>
  <c r="AB36" i="59"/>
  <c r="AB115" i="58"/>
  <c r="AB78" i="58"/>
  <c r="AB41" i="65"/>
  <c r="AJ67" i="54"/>
  <c r="AJ68" i="53"/>
  <c r="AJ35" i="61"/>
  <c r="AJ77" i="53"/>
  <c r="AJ112" i="9"/>
  <c r="AJ45" i="51"/>
  <c r="AJ66" i="16"/>
  <c r="AJ67" i="9"/>
  <c r="AJ113" i="16"/>
  <c r="AJ44" i="16"/>
  <c r="AB37" i="23"/>
  <c r="AF37" i="23"/>
  <c r="AI37" i="23"/>
  <c r="AF40" i="11"/>
  <c r="AI40" i="11"/>
  <c r="AF48" i="63"/>
  <c r="AI48" i="63"/>
  <c r="AJ50" i="52"/>
  <c r="AJ58" i="52"/>
  <c r="AI124" i="6"/>
  <c r="AF124" i="6"/>
  <c r="AC52" i="37"/>
  <c r="AD52" i="37" s="1"/>
  <c r="AD51" i="37"/>
  <c r="AJ57" i="34"/>
  <c r="AJ38" i="34"/>
  <c r="AA60" i="34"/>
  <c r="AJ52" i="33"/>
  <c r="AB61" i="30"/>
  <c r="AB64" i="28"/>
  <c r="AB44" i="26"/>
  <c r="AB39" i="15"/>
  <c r="AJ63" i="15"/>
  <c r="AJ70" i="15"/>
  <c r="AB35" i="15"/>
  <c r="AB119" i="58"/>
  <c r="AJ117" i="54"/>
  <c r="AB85" i="58"/>
  <c r="AB121" i="58"/>
  <c r="AB78" i="61"/>
  <c r="AJ47" i="61"/>
  <c r="AJ113" i="9"/>
  <c r="AJ101" i="9"/>
  <c r="AJ100" i="9"/>
  <c r="AJ107" i="16"/>
  <c r="AJ101" i="16"/>
  <c r="AJ117" i="16"/>
  <c r="AJ119" i="16"/>
  <c r="AJ63" i="16"/>
  <c r="L50" i="37"/>
  <c r="M50" i="37" s="1"/>
  <c r="AI62" i="20"/>
  <c r="AF62" i="20"/>
  <c r="AJ56" i="11"/>
  <c r="AI56" i="11"/>
  <c r="AI44" i="54"/>
  <c r="AF44" i="54"/>
  <c r="AA64" i="55"/>
  <c r="G63" i="55" s="1"/>
  <c r="AF62" i="55"/>
  <c r="AI62" i="55"/>
  <c r="AI38" i="9"/>
  <c r="AF38" i="9"/>
  <c r="AI87" i="16"/>
  <c r="AF87" i="16"/>
  <c r="AB103" i="59"/>
  <c r="AB49" i="59"/>
  <c r="AJ93" i="54"/>
  <c r="AB69" i="58"/>
  <c r="AJ54" i="36"/>
  <c r="AF54" i="36"/>
  <c r="AI54" i="36"/>
  <c r="AF34" i="22"/>
  <c r="AB34" i="22"/>
  <c r="AI34" i="22"/>
  <c r="AH126" i="56"/>
  <c r="AG127" i="56"/>
  <c r="AB97" i="51"/>
  <c r="AN97" i="51" s="1"/>
  <c r="AI97" i="51"/>
  <c r="AA84" i="39"/>
  <c r="G82" i="39" s="1"/>
  <c r="AF81" i="39"/>
  <c r="AF81" i="51"/>
  <c r="AI81" i="51"/>
  <c r="AB46" i="23"/>
  <c r="AB38" i="36"/>
  <c r="AJ54" i="33"/>
  <c r="AJ57" i="33"/>
  <c r="AJ39" i="34"/>
  <c r="AJ37" i="34"/>
  <c r="AJ37" i="33"/>
  <c r="AB45" i="30"/>
  <c r="AB50" i="28"/>
  <c r="AB72" i="26"/>
  <c r="AB75" i="70"/>
  <c r="AA40" i="24"/>
  <c r="AB108" i="58"/>
  <c r="AJ108" i="54"/>
  <c r="AJ39" i="54"/>
  <c r="AJ42" i="54"/>
  <c r="AJ64" i="54"/>
  <c r="AB49" i="55"/>
  <c r="AJ116" i="9"/>
  <c r="AJ97" i="9"/>
  <c r="AJ82" i="9"/>
  <c r="AJ52" i="51"/>
  <c r="AM97" i="51"/>
  <c r="AJ86" i="51"/>
  <c r="AJ96" i="9"/>
  <c r="AJ49" i="51"/>
  <c r="AJ64" i="9"/>
  <c r="AJ78" i="51"/>
  <c r="AJ44" i="51"/>
  <c r="AJ98" i="16"/>
  <c r="AJ54" i="16"/>
  <c r="AA77" i="37"/>
  <c r="AI64" i="30"/>
  <c r="AF64" i="30"/>
  <c r="AB64" i="30"/>
  <c r="AN64" i="30" s="1"/>
  <c r="AF43" i="27"/>
  <c r="AI43" i="27"/>
  <c r="AI61" i="23"/>
  <c r="AF61" i="23"/>
  <c r="AI66" i="26"/>
  <c r="AF66" i="26"/>
  <c r="AF86" i="66"/>
  <c r="AI86" i="66"/>
  <c r="AF88" i="64"/>
  <c r="AI88" i="64"/>
  <c r="AA145" i="64"/>
  <c r="AA54" i="56"/>
  <c r="G53" i="56" s="1"/>
  <c r="AJ39" i="7"/>
  <c r="AI40" i="4"/>
  <c r="AF40" i="4"/>
  <c r="AJ55" i="33"/>
  <c r="AJ41" i="33"/>
  <c r="AB75" i="30"/>
  <c r="AB63" i="28"/>
  <c r="AN63" i="28" s="1"/>
  <c r="AB61" i="28"/>
  <c r="AB40" i="26"/>
  <c r="AB76" i="26"/>
  <c r="AB74" i="26"/>
  <c r="AB46" i="26"/>
  <c r="AB51" i="26"/>
  <c r="AB38" i="23"/>
  <c r="AJ46" i="15"/>
  <c r="AB37" i="15"/>
  <c r="AJ77" i="54"/>
  <c r="AB124" i="58"/>
  <c r="AB77" i="58"/>
  <c r="AB68" i="58"/>
  <c r="AJ65" i="54"/>
  <c r="AJ76" i="9"/>
  <c r="AJ83" i="9"/>
  <c r="AJ93" i="9"/>
  <c r="AJ115" i="16"/>
  <c r="AJ120" i="16"/>
  <c r="AJ103" i="16"/>
  <c r="AJ38" i="16"/>
  <c r="AJ92" i="16"/>
  <c r="AJ65" i="16"/>
  <c r="AJ49" i="16"/>
  <c r="AJ52" i="20"/>
  <c r="AJ44" i="23"/>
  <c r="AF44" i="23"/>
  <c r="AB44" i="23"/>
  <c r="AF69" i="23"/>
  <c r="AI69" i="23"/>
  <c r="AI84" i="51"/>
  <c r="AF84" i="51"/>
  <c r="AF67" i="4"/>
  <c r="AI67" i="4"/>
  <c r="AJ58" i="33"/>
  <c r="AJ45" i="33"/>
  <c r="AB72" i="30"/>
  <c r="AB40" i="30"/>
  <c r="AB60" i="28"/>
  <c r="AB34" i="23"/>
  <c r="AM34" i="23" s="1"/>
  <c r="AB73" i="15"/>
  <c r="AJ35" i="15"/>
  <c r="AJ76" i="65"/>
  <c r="AB95" i="65"/>
  <c r="AJ78" i="65"/>
  <c r="AJ74" i="65"/>
  <c r="AJ103" i="54"/>
  <c r="AB122" i="58"/>
  <c r="AB101" i="58"/>
  <c r="AJ48" i="54"/>
  <c r="AJ108" i="9"/>
  <c r="AJ88" i="9"/>
  <c r="AJ86" i="9"/>
  <c r="AJ114" i="9"/>
  <c r="AJ118" i="9"/>
  <c r="AJ80" i="9"/>
  <c r="AJ46" i="16"/>
  <c r="AJ93" i="16"/>
  <c r="AJ109" i="16"/>
  <c r="AJ108" i="16"/>
  <c r="AI60" i="23"/>
  <c r="AF60" i="23"/>
  <c r="AJ36" i="11"/>
  <c r="AF94" i="56"/>
  <c r="AI70" i="51"/>
  <c r="AF70" i="51"/>
  <c r="AI56" i="26"/>
  <c r="AF56" i="26"/>
  <c r="AF41" i="26"/>
  <c r="AI41" i="26"/>
  <c r="AF40" i="23"/>
  <c r="AI40" i="23"/>
  <c r="AB40" i="23"/>
  <c r="AI36" i="18"/>
  <c r="AF36" i="18"/>
  <c r="AF42" i="56"/>
  <c r="AI42" i="56"/>
  <c r="AI46" i="9"/>
  <c r="AB46" i="9"/>
  <c r="AM46" i="9" s="1"/>
  <c r="AJ39" i="33"/>
  <c r="AJ63" i="33"/>
  <c r="AJ42" i="33"/>
  <c r="AB55" i="26"/>
  <c r="AB51" i="65"/>
  <c r="AJ87" i="54"/>
  <c r="AJ109" i="54"/>
  <c r="AB37" i="58"/>
  <c r="AJ69" i="9"/>
  <c r="AJ56" i="16"/>
  <c r="AJ42" i="9"/>
  <c r="AJ96" i="16"/>
  <c r="AJ61" i="16"/>
  <c r="AJ40" i="16"/>
  <c r="AJ106" i="16"/>
  <c r="AJ114" i="16"/>
  <c r="AI34" i="31"/>
  <c r="AF34" i="31"/>
  <c r="AI48" i="23"/>
  <c r="AF48" i="23"/>
  <c r="AI61" i="26"/>
  <c r="AF61" i="26"/>
  <c r="AI36" i="26"/>
  <c r="AB36" i="26"/>
  <c r="AF47" i="23"/>
  <c r="AB47" i="23"/>
  <c r="AB63" i="11"/>
  <c r="AN63" i="11" s="1"/>
  <c r="AF40" i="63"/>
  <c r="AI40" i="63"/>
  <c r="AI132" i="6"/>
  <c r="AF132" i="6"/>
  <c r="AI47" i="37"/>
  <c r="AM36" i="31"/>
  <c r="AN36" i="31"/>
  <c r="AN44" i="30"/>
  <c r="AM44" i="30"/>
  <c r="AM52" i="28"/>
  <c r="AN52" i="28"/>
  <c r="AI54" i="37"/>
  <c r="AK54" i="37"/>
  <c r="AM78" i="53"/>
  <c r="AN78" i="53"/>
  <c r="AN82" i="9"/>
  <c r="AM82" i="9"/>
  <c r="AN82" i="65"/>
  <c r="AM82" i="65"/>
  <c r="AM95" i="51"/>
  <c r="AN95" i="51"/>
  <c r="AN41" i="61"/>
  <c r="AM41" i="61"/>
  <c r="AM36" i="24"/>
  <c r="AL36" i="24"/>
  <c r="AA72" i="37"/>
  <c r="AE72" i="37"/>
  <c r="AH72" i="37"/>
  <c r="AM64" i="21"/>
  <c r="AN64" i="21"/>
  <c r="AB58" i="34"/>
  <c r="AI58" i="34"/>
  <c r="AF58" i="34"/>
  <c r="AJ58" i="34"/>
  <c r="AM41" i="33"/>
  <c r="AN41" i="33"/>
  <c r="AM54" i="29"/>
  <c r="AN54" i="29"/>
  <c r="AM45" i="30"/>
  <c r="AN45" i="30"/>
  <c r="AJ46" i="27"/>
  <c r="AI46" i="27"/>
  <c r="AB46" i="27"/>
  <c r="AF46" i="27"/>
  <c r="AF44" i="28"/>
  <c r="AB44" i="28"/>
  <c r="AJ44" i="28"/>
  <c r="AA66" i="28"/>
  <c r="AI44" i="28"/>
  <c r="AM72" i="29"/>
  <c r="AN72" i="29"/>
  <c r="AI42" i="26"/>
  <c r="AB42" i="26"/>
  <c r="AJ42" i="26"/>
  <c r="AF42" i="26"/>
  <c r="AF36" i="23"/>
  <c r="AB36" i="23"/>
  <c r="AI36" i="23"/>
  <c r="AJ36" i="23"/>
  <c r="AN63" i="26"/>
  <c r="AM63" i="26"/>
  <c r="AM49" i="23"/>
  <c r="AN49" i="23"/>
  <c r="AF92" i="23"/>
  <c r="AJ92" i="23"/>
  <c r="AI92" i="23"/>
  <c r="AB92" i="23"/>
  <c r="AM50" i="23"/>
  <c r="AN50" i="23"/>
  <c r="AM45" i="23"/>
  <c r="AN45" i="23"/>
  <c r="AM48" i="36"/>
  <c r="AN48" i="36"/>
  <c r="AB48" i="35"/>
  <c r="AI48" i="35"/>
  <c r="AF48" i="35"/>
  <c r="AJ48" i="35"/>
  <c r="AI51" i="34"/>
  <c r="AJ51" i="34"/>
  <c r="AB51" i="34"/>
  <c r="AF51" i="34"/>
  <c r="AM42" i="34"/>
  <c r="AN42" i="34"/>
  <c r="AM46" i="36"/>
  <c r="AN46" i="36"/>
  <c r="AM61" i="36"/>
  <c r="AN61" i="36"/>
  <c r="AB54" i="36"/>
  <c r="AB58" i="36"/>
  <c r="AB63" i="36"/>
  <c r="AB57" i="36"/>
  <c r="AM56" i="34"/>
  <c r="AN56" i="34"/>
  <c r="AN35" i="33"/>
  <c r="AM35" i="33"/>
  <c r="AJ59" i="33"/>
  <c r="AM75" i="30"/>
  <c r="AN75" i="30"/>
  <c r="AM50" i="33"/>
  <c r="AN50" i="33"/>
  <c r="AM61" i="33"/>
  <c r="AN61" i="33"/>
  <c r="AM53" i="33"/>
  <c r="AN53" i="33"/>
  <c r="AF54" i="30"/>
  <c r="AB54" i="30"/>
  <c r="AI54" i="30"/>
  <c r="AJ54" i="30"/>
  <c r="AF43" i="30"/>
  <c r="AB43" i="30"/>
  <c r="AI43" i="30"/>
  <c r="AJ43" i="30"/>
  <c r="AB66" i="29"/>
  <c r="AF66" i="29"/>
  <c r="AI66" i="29"/>
  <c r="AJ66" i="29"/>
  <c r="AB70" i="30"/>
  <c r="AM71" i="29"/>
  <c r="AN71" i="29"/>
  <c r="AB50" i="29"/>
  <c r="AI50" i="29"/>
  <c r="AJ50" i="29"/>
  <c r="AF50" i="29"/>
  <c r="AB35" i="28"/>
  <c r="AF35" i="28"/>
  <c r="AI35" i="28"/>
  <c r="AJ35" i="28"/>
  <c r="AN36" i="29"/>
  <c r="AM36" i="29"/>
  <c r="AM46" i="29"/>
  <c r="AN46" i="29"/>
  <c r="AM55" i="29"/>
  <c r="AN55" i="29"/>
  <c r="AM35" i="27"/>
  <c r="AN35" i="27"/>
  <c r="AN52" i="29"/>
  <c r="AM52" i="29"/>
  <c r="AM36" i="28"/>
  <c r="AN36" i="28"/>
  <c r="AJ53" i="26"/>
  <c r="AM45" i="27"/>
  <c r="AN45" i="27"/>
  <c r="AJ55" i="26"/>
  <c r="AM41" i="27"/>
  <c r="AN41" i="27"/>
  <c r="AJ61" i="26"/>
  <c r="AM57" i="26"/>
  <c r="AN57" i="26"/>
  <c r="AI42" i="25"/>
  <c r="AJ42" i="25"/>
  <c r="AB42" i="25"/>
  <c r="AF42" i="25"/>
  <c r="AB87" i="23"/>
  <c r="AI87" i="23"/>
  <c r="AF87" i="23"/>
  <c r="AJ87" i="23"/>
  <c r="AJ63" i="26"/>
  <c r="AN47" i="25"/>
  <c r="AM47" i="25"/>
  <c r="AN78" i="23"/>
  <c r="AM78" i="23"/>
  <c r="AM53" i="23"/>
  <c r="AN53" i="23"/>
  <c r="AM41" i="21"/>
  <c r="AN41" i="21"/>
  <c r="AJ60" i="26"/>
  <c r="AJ46" i="26"/>
  <c r="AJ51" i="26"/>
  <c r="AJ56" i="26"/>
  <c r="AJ55" i="22"/>
  <c r="AJ60" i="22"/>
  <c r="AJ53" i="22"/>
  <c r="AM54" i="20"/>
  <c r="AN54" i="20"/>
  <c r="AJ39" i="21"/>
  <c r="AB39" i="21"/>
  <c r="AF39" i="21"/>
  <c r="AI39" i="21"/>
  <c r="AM61" i="22"/>
  <c r="AN61" i="22"/>
  <c r="AN40" i="21"/>
  <c r="AM40" i="21"/>
  <c r="AM61" i="20"/>
  <c r="AN61" i="20"/>
  <c r="AJ40" i="22"/>
  <c r="AM50" i="20"/>
  <c r="AN50" i="20"/>
  <c r="AF51" i="22"/>
  <c r="AI51" i="22"/>
  <c r="AJ51" i="22"/>
  <c r="AM37" i="19"/>
  <c r="AN37" i="19"/>
  <c r="AM70" i="15"/>
  <c r="AN70" i="15"/>
  <c r="AM59" i="19"/>
  <c r="AN59" i="19"/>
  <c r="AJ45" i="15"/>
  <c r="AF71" i="70"/>
  <c r="AI71" i="70"/>
  <c r="AA73" i="70"/>
  <c r="G73" i="70" s="1"/>
  <c r="AL49" i="24"/>
  <c r="AM49" i="24"/>
  <c r="AM37" i="24"/>
  <c r="AL37" i="24"/>
  <c r="AA67" i="18"/>
  <c r="AB48" i="18"/>
  <c r="AI48" i="18"/>
  <c r="AF48" i="18"/>
  <c r="AJ47" i="15"/>
  <c r="AI56" i="67"/>
  <c r="AJ56" i="67"/>
  <c r="AF56" i="67"/>
  <c r="AB56" i="67"/>
  <c r="AA54" i="66"/>
  <c r="G54" i="66" s="1"/>
  <c r="AI52" i="66"/>
  <c r="AF52" i="66"/>
  <c r="AB93" i="65"/>
  <c r="AI93" i="65"/>
  <c r="AJ93" i="65"/>
  <c r="AF93" i="65"/>
  <c r="AJ98" i="65"/>
  <c r="AM53" i="67"/>
  <c r="AN53" i="67"/>
  <c r="AJ88" i="65"/>
  <c r="AJ86" i="65"/>
  <c r="AB86" i="65"/>
  <c r="AF86" i="65"/>
  <c r="AI86" i="65"/>
  <c r="AI40" i="65"/>
  <c r="AB40" i="65"/>
  <c r="AJ40" i="65"/>
  <c r="AF40" i="65"/>
  <c r="AJ95" i="65"/>
  <c r="AJ75" i="65"/>
  <c r="AJ103" i="65"/>
  <c r="AI121" i="59"/>
  <c r="AF121" i="59"/>
  <c r="AB121" i="59"/>
  <c r="AM78" i="65"/>
  <c r="AN78" i="65"/>
  <c r="AJ50" i="65"/>
  <c r="AI125" i="59"/>
  <c r="AF125" i="59"/>
  <c r="AB125" i="59"/>
  <c r="AM74" i="11"/>
  <c r="AN74" i="11"/>
  <c r="AN74" i="65"/>
  <c r="AM74" i="65"/>
  <c r="AJ66" i="65"/>
  <c r="AJ49" i="65"/>
  <c r="O127" i="59"/>
  <c r="AA126" i="59"/>
  <c r="AM70" i="11"/>
  <c r="AN70" i="11"/>
  <c r="AI41" i="11"/>
  <c r="AJ41" i="11"/>
  <c r="AF41" i="11"/>
  <c r="AB41" i="11"/>
  <c r="AJ42" i="65"/>
  <c r="AN117" i="54"/>
  <c r="AM117" i="54"/>
  <c r="AN88" i="54"/>
  <c r="AM88" i="54"/>
  <c r="AM99" i="65"/>
  <c r="AN99" i="65"/>
  <c r="AJ51" i="65"/>
  <c r="AN79" i="65"/>
  <c r="AM79" i="65"/>
  <c r="AF73" i="11"/>
  <c r="AB73" i="11"/>
  <c r="AJ73" i="11"/>
  <c r="AI73" i="11"/>
  <c r="AM51" i="11"/>
  <c r="AN51" i="11"/>
  <c r="AJ97" i="54"/>
  <c r="AB97" i="54"/>
  <c r="AF97" i="54"/>
  <c r="AI97" i="54"/>
  <c r="AN110" i="54"/>
  <c r="AM110" i="54"/>
  <c r="AN109" i="54"/>
  <c r="AM109" i="54"/>
  <c r="AI47" i="54"/>
  <c r="AJ47" i="54"/>
  <c r="AF47" i="54"/>
  <c r="AB47" i="54"/>
  <c r="AA120" i="54"/>
  <c r="AI90" i="54"/>
  <c r="AJ90" i="54"/>
  <c r="AB90" i="54"/>
  <c r="AF90" i="54"/>
  <c r="AF93" i="64"/>
  <c r="AI93" i="64"/>
  <c r="AB86" i="54"/>
  <c r="AI86" i="54"/>
  <c r="AJ86" i="54"/>
  <c r="AF86" i="54"/>
  <c r="AM58" i="54"/>
  <c r="AN58" i="54"/>
  <c r="AI78" i="63"/>
  <c r="AJ78" i="63"/>
  <c r="AF78" i="63"/>
  <c r="AB78" i="63"/>
  <c r="AI38" i="53"/>
  <c r="AJ38" i="53"/>
  <c r="AF38" i="53"/>
  <c r="AB38" i="53"/>
  <c r="AF49" i="54"/>
  <c r="AB49" i="54"/>
  <c r="AJ49" i="54"/>
  <c r="AI49" i="54"/>
  <c r="AN87" i="63"/>
  <c r="AM87" i="63"/>
  <c r="AM48" i="63"/>
  <c r="AN48" i="63"/>
  <c r="AI104" i="54"/>
  <c r="AB104" i="54"/>
  <c r="AJ104" i="54"/>
  <c r="AF104" i="54"/>
  <c r="AI51" i="54"/>
  <c r="AF51" i="54"/>
  <c r="AB51" i="54"/>
  <c r="AJ51" i="54"/>
  <c r="AI57" i="63"/>
  <c r="AJ57" i="63"/>
  <c r="AF57" i="63"/>
  <c r="AB57" i="63"/>
  <c r="AJ69" i="54"/>
  <c r="AF69" i="54"/>
  <c r="AI69" i="54"/>
  <c r="AM88" i="63"/>
  <c r="AN88" i="63"/>
  <c r="AJ69" i="61"/>
  <c r="AF69" i="61"/>
  <c r="AI69" i="61"/>
  <c r="AN55" i="53"/>
  <c r="AM55" i="53"/>
  <c r="AM56" i="61"/>
  <c r="AN56" i="61"/>
  <c r="AF93" i="57"/>
  <c r="AI93" i="57"/>
  <c r="AJ42" i="61"/>
  <c r="AF42" i="61"/>
  <c r="AB42" i="61"/>
  <c r="AI42" i="61"/>
  <c r="O127" i="55"/>
  <c r="AA126" i="55"/>
  <c r="AN48" i="54"/>
  <c r="AM48" i="54"/>
  <c r="AB79" i="61"/>
  <c r="AJ79" i="61"/>
  <c r="AF79" i="61"/>
  <c r="AI79" i="61"/>
  <c r="AM88" i="53"/>
  <c r="AN88" i="53"/>
  <c r="AM50" i="52"/>
  <c r="AN50" i="52"/>
  <c r="AM42" i="63"/>
  <c r="AN42" i="63"/>
  <c r="AM58" i="63"/>
  <c r="AN58" i="63"/>
  <c r="AF67" i="52"/>
  <c r="AI67" i="52"/>
  <c r="AJ67" i="52"/>
  <c r="AM76" i="61"/>
  <c r="AN76" i="61"/>
  <c r="AN53" i="61"/>
  <c r="AM53" i="61"/>
  <c r="AF40" i="52"/>
  <c r="AB40" i="52"/>
  <c r="AI40" i="52"/>
  <c r="AJ40" i="52"/>
  <c r="AM39" i="52"/>
  <c r="AN39" i="52"/>
  <c r="AM88" i="52"/>
  <c r="AN88" i="52"/>
  <c r="O127" i="39"/>
  <c r="AA126" i="39"/>
  <c r="AJ46" i="51"/>
  <c r="AF46" i="51"/>
  <c r="AB46" i="51"/>
  <c r="AI46" i="51"/>
  <c r="AI141" i="39"/>
  <c r="AF141" i="39"/>
  <c r="AM41" i="52"/>
  <c r="AN41" i="52"/>
  <c r="AB99" i="55"/>
  <c r="AM47" i="52"/>
  <c r="AN47" i="52"/>
  <c r="AM88" i="9"/>
  <c r="AN88" i="9"/>
  <c r="AN100" i="51"/>
  <c r="AM100" i="51"/>
  <c r="AB88" i="51"/>
  <c r="AJ104" i="9"/>
  <c r="AI77" i="9"/>
  <c r="AF77" i="9"/>
  <c r="AJ77" i="9"/>
  <c r="AB77" i="9"/>
  <c r="AJ37" i="9"/>
  <c r="AJ79" i="9"/>
  <c r="AJ49" i="9"/>
  <c r="AI143" i="17"/>
  <c r="AB143" i="17"/>
  <c r="AF143" i="17"/>
  <c r="AA52" i="17"/>
  <c r="G51" i="17" s="1"/>
  <c r="AF50" i="17"/>
  <c r="AI50" i="17"/>
  <c r="AJ89" i="16"/>
  <c r="AA122" i="16"/>
  <c r="AF89" i="16"/>
  <c r="AB89" i="16"/>
  <c r="AI89" i="16"/>
  <c r="AF110" i="16"/>
  <c r="AI110" i="16"/>
  <c r="AB110" i="16"/>
  <c r="AJ110" i="16"/>
  <c r="AM51" i="9"/>
  <c r="AN51" i="9"/>
  <c r="AJ57" i="9"/>
  <c r="AI65" i="9"/>
  <c r="AF65" i="9"/>
  <c r="AJ65" i="9"/>
  <c r="AJ47" i="9"/>
  <c r="AN70" i="16"/>
  <c r="AM70" i="16"/>
  <c r="AF72" i="7"/>
  <c r="AI72" i="7"/>
  <c r="AM74" i="16"/>
  <c r="AN74" i="16"/>
  <c r="AF73" i="7"/>
  <c r="AI73" i="7"/>
  <c r="AN36" i="7"/>
  <c r="AL36" i="7"/>
  <c r="W62" i="37"/>
  <c r="W64" i="37"/>
  <c r="W74" i="37" s="1"/>
  <c r="AJ60" i="16"/>
  <c r="AM114" i="16"/>
  <c r="AN114" i="16"/>
  <c r="AI146" i="6"/>
  <c r="AF146" i="6"/>
  <c r="AI45" i="4"/>
  <c r="AF45" i="4"/>
  <c r="AB45" i="4"/>
  <c r="AJ45" i="4"/>
  <c r="AM101" i="16"/>
  <c r="AN101" i="16"/>
  <c r="AJ36" i="16"/>
  <c r="AJ105" i="16"/>
  <c r="AM83" i="16"/>
  <c r="AN83" i="16"/>
  <c r="AB61" i="7"/>
  <c r="AJ55" i="9"/>
  <c r="AL37" i="7"/>
  <c r="AN37" i="7"/>
  <c r="AF141" i="6"/>
  <c r="AI141" i="6"/>
  <c r="Z51" i="37"/>
  <c r="AL51" i="4"/>
  <c r="AN51" i="4"/>
  <c r="U75" i="37"/>
  <c r="U86" i="37"/>
  <c r="U88" i="37" s="1"/>
  <c r="U82" i="37"/>
  <c r="U84" i="37" s="1"/>
  <c r="U85" i="37" s="1"/>
  <c r="AN59" i="4"/>
  <c r="AL59" i="4"/>
  <c r="AL88" i="4"/>
  <c r="AN88" i="4"/>
  <c r="AN35" i="35"/>
  <c r="AM35" i="35"/>
  <c r="AN40" i="30"/>
  <c r="AM40" i="30"/>
  <c r="AM67" i="29"/>
  <c r="AN67" i="29"/>
  <c r="AF50" i="30"/>
  <c r="AB50" i="30"/>
  <c r="AI50" i="30"/>
  <c r="AJ50" i="30"/>
  <c r="AM40" i="29"/>
  <c r="AN40" i="29"/>
  <c r="AN98" i="23"/>
  <c r="AM98" i="23"/>
  <c r="AM72" i="26"/>
  <c r="AN72" i="26"/>
  <c r="AM38" i="26"/>
  <c r="AN38" i="26"/>
  <c r="AI50" i="22"/>
  <c r="AJ50" i="22"/>
  <c r="AF50" i="22"/>
  <c r="AF49" i="25"/>
  <c r="AI49" i="25"/>
  <c r="AB49" i="25"/>
  <c r="AJ49" i="25"/>
  <c r="AN34" i="23"/>
  <c r="AJ35" i="21"/>
  <c r="AB35" i="21"/>
  <c r="AI35" i="21"/>
  <c r="AF35" i="21"/>
  <c r="AM48" i="20"/>
  <c r="AN48" i="20"/>
  <c r="AB69" i="21"/>
  <c r="AJ69" i="21"/>
  <c r="AF69" i="21"/>
  <c r="AI69" i="21"/>
  <c r="AM56" i="19"/>
  <c r="AN56" i="19"/>
  <c r="AL39" i="24"/>
  <c r="AM39" i="24"/>
  <c r="AN72" i="22"/>
  <c r="AM72" i="22"/>
  <c r="AM44" i="19"/>
  <c r="AN44" i="19"/>
  <c r="AF59" i="18"/>
  <c r="AI59" i="18"/>
  <c r="AB59" i="18"/>
  <c r="AI53" i="24"/>
  <c r="AE53" i="24"/>
  <c r="AH53" i="24"/>
  <c r="AA53" i="24"/>
  <c r="AL44" i="24"/>
  <c r="AM44" i="24"/>
  <c r="AM66" i="19"/>
  <c r="AN66" i="19"/>
  <c r="AK58" i="24"/>
  <c r="AG58" i="24"/>
  <c r="AI39" i="24"/>
  <c r="AI43" i="24"/>
  <c r="AI46" i="24"/>
  <c r="AJ41" i="15"/>
  <c r="AB41" i="15"/>
  <c r="AF41" i="15"/>
  <c r="AI41" i="15"/>
  <c r="AA54" i="68"/>
  <c r="G54" i="68" s="1"/>
  <c r="AI52" i="68"/>
  <c r="AF52" i="68"/>
  <c r="AB58" i="68"/>
  <c r="AB59" i="68"/>
  <c r="AB35" i="68"/>
  <c r="AB36" i="68"/>
  <c r="AB88" i="68"/>
  <c r="AB92" i="68"/>
  <c r="AB82" i="68"/>
  <c r="AB66" i="68"/>
  <c r="AB67" i="68"/>
  <c r="AB104" i="68"/>
  <c r="AB89" i="68"/>
  <c r="AB68" i="68"/>
  <c r="AB55" i="68"/>
  <c r="AB46" i="68"/>
  <c r="AB39" i="68"/>
  <c r="AB99" i="68"/>
  <c r="AB69" i="68"/>
  <c r="AB56" i="68"/>
  <c r="AB47" i="68"/>
  <c r="AA115" i="68"/>
  <c r="AB57" i="68"/>
  <c r="AB74" i="68"/>
  <c r="AB49" i="68"/>
  <c r="AN104" i="65"/>
  <c r="AM104" i="65"/>
  <c r="AB112" i="68"/>
  <c r="AI112" i="68"/>
  <c r="AF112" i="68"/>
  <c r="AM42" i="67"/>
  <c r="AN42" i="67"/>
  <c r="AB45" i="68"/>
  <c r="AI44" i="65"/>
  <c r="AJ44" i="65"/>
  <c r="AB44" i="65"/>
  <c r="AF44" i="65"/>
  <c r="AM85" i="65"/>
  <c r="AN85" i="65"/>
  <c r="AN69" i="11"/>
  <c r="AM69" i="11"/>
  <c r="AI141" i="58"/>
  <c r="AF141" i="58"/>
  <c r="AM49" i="65"/>
  <c r="AN49" i="65"/>
  <c r="AM36" i="11"/>
  <c r="AN36" i="11"/>
  <c r="AN39" i="65"/>
  <c r="AM39" i="65"/>
  <c r="AN77" i="11"/>
  <c r="AM77" i="11"/>
  <c r="AF45" i="11"/>
  <c r="AB45" i="11"/>
  <c r="AI45" i="11"/>
  <c r="AJ45" i="11"/>
  <c r="AM81" i="11"/>
  <c r="AN81" i="11"/>
  <c r="AF125" i="58"/>
  <c r="AI125" i="58"/>
  <c r="AB125" i="58"/>
  <c r="AJ67" i="65"/>
  <c r="AM47" i="11"/>
  <c r="AN47" i="11"/>
  <c r="AN79" i="54"/>
  <c r="AM79" i="54"/>
  <c r="AB122" i="64"/>
  <c r="AI122" i="64"/>
  <c r="AF122" i="64"/>
  <c r="AM43" i="11"/>
  <c r="AN43" i="11"/>
  <c r="AI55" i="54"/>
  <c r="AJ55" i="54"/>
  <c r="AF55" i="54"/>
  <c r="AB55" i="54"/>
  <c r="AM81" i="54"/>
  <c r="AN81" i="54"/>
  <c r="AM35" i="11"/>
  <c r="AN35" i="11"/>
  <c r="AI42" i="53"/>
  <c r="AJ42" i="53"/>
  <c r="AF42" i="53"/>
  <c r="AB42" i="53"/>
  <c r="AF57" i="54"/>
  <c r="AB57" i="54"/>
  <c r="AJ57" i="54"/>
  <c r="AI57" i="54"/>
  <c r="AM52" i="63"/>
  <c r="AN52" i="63"/>
  <c r="AM77" i="61"/>
  <c r="AN77" i="61"/>
  <c r="AM38" i="54"/>
  <c r="AN38" i="54"/>
  <c r="AA64" i="64"/>
  <c r="G63" i="64" s="1"/>
  <c r="AI62" i="64"/>
  <c r="AF62" i="64"/>
  <c r="AJ63" i="63"/>
  <c r="AF63" i="63"/>
  <c r="AI63" i="63"/>
  <c r="AM85" i="61"/>
  <c r="AN85" i="61"/>
  <c r="AI46" i="61"/>
  <c r="AJ46" i="61"/>
  <c r="AB46" i="61"/>
  <c r="AF46" i="61"/>
  <c r="AM47" i="63"/>
  <c r="AN47" i="63"/>
  <c r="AM78" i="61"/>
  <c r="AN78" i="61"/>
  <c r="AN49" i="61"/>
  <c r="AM49" i="61"/>
  <c r="AN36" i="54"/>
  <c r="AM36" i="54"/>
  <c r="AM44" i="61"/>
  <c r="AN44" i="61"/>
  <c r="AN45" i="61"/>
  <c r="AM45" i="61"/>
  <c r="AJ65" i="61"/>
  <c r="AI65" i="61"/>
  <c r="AF65" i="61"/>
  <c r="AE126" i="57"/>
  <c r="AD127" i="57"/>
  <c r="AI62" i="53"/>
  <c r="AJ62" i="53"/>
  <c r="AF62" i="53"/>
  <c r="AM76" i="52"/>
  <c r="AN76" i="52"/>
  <c r="AN54" i="52"/>
  <c r="AM54" i="52"/>
  <c r="AI72" i="57"/>
  <c r="AA74" i="57"/>
  <c r="G73" i="57" s="1"/>
  <c r="AF72" i="57"/>
  <c r="AI80" i="53"/>
  <c r="AJ80" i="53"/>
  <c r="AB80" i="53"/>
  <c r="AF80" i="53"/>
  <c r="AN51" i="53"/>
  <c r="AM51" i="53"/>
  <c r="AI141" i="56"/>
  <c r="AF141" i="56"/>
  <c r="AA109" i="51"/>
  <c r="AI72" i="51"/>
  <c r="AF72" i="51"/>
  <c r="AB72" i="51"/>
  <c r="AJ72" i="51"/>
  <c r="AM36" i="61"/>
  <c r="AN36" i="61"/>
  <c r="AF44" i="52"/>
  <c r="AB44" i="52"/>
  <c r="AI44" i="52"/>
  <c r="AJ44" i="52"/>
  <c r="AM85" i="52"/>
  <c r="AN85" i="52"/>
  <c r="AJ92" i="51"/>
  <c r="AF92" i="51"/>
  <c r="AI92" i="51"/>
  <c r="AB92" i="51"/>
  <c r="AM116" i="9"/>
  <c r="AN116" i="9"/>
  <c r="AM97" i="9"/>
  <c r="AN97" i="9"/>
  <c r="AM45" i="52"/>
  <c r="AN45" i="52"/>
  <c r="AM93" i="51"/>
  <c r="AN93" i="51"/>
  <c r="AM36" i="51"/>
  <c r="AN36" i="51"/>
  <c r="AN114" i="9"/>
  <c r="AM114" i="9"/>
  <c r="AD127" i="39"/>
  <c r="AE126" i="39"/>
  <c r="AN112" i="9"/>
  <c r="AM112" i="9"/>
  <c r="AB106" i="51"/>
  <c r="AM39" i="51"/>
  <c r="AN39" i="51"/>
  <c r="AI99" i="51"/>
  <c r="AJ99" i="51"/>
  <c r="AB99" i="51"/>
  <c r="AF99" i="51"/>
  <c r="AF42" i="51"/>
  <c r="AB42" i="51"/>
  <c r="AJ42" i="51"/>
  <c r="AI42" i="51"/>
  <c r="AM44" i="51"/>
  <c r="AN44" i="51"/>
  <c r="AF102" i="9"/>
  <c r="AB102" i="9"/>
  <c r="AJ102" i="9"/>
  <c r="AI102" i="9"/>
  <c r="AI81" i="9"/>
  <c r="AF81" i="9"/>
  <c r="AB81" i="9"/>
  <c r="AJ81" i="9"/>
  <c r="AM83" i="9"/>
  <c r="AN83" i="9"/>
  <c r="AM37" i="9"/>
  <c r="AN37" i="9"/>
  <c r="AF56" i="9"/>
  <c r="AB56" i="9"/>
  <c r="AI56" i="9"/>
  <c r="AJ56" i="9"/>
  <c r="AM39" i="9"/>
  <c r="AN39" i="9"/>
  <c r="AM55" i="16"/>
  <c r="AN55" i="16"/>
  <c r="AM84" i="16"/>
  <c r="AN84" i="16"/>
  <c r="AL38" i="7"/>
  <c r="AN38" i="7"/>
  <c r="AL94" i="4"/>
  <c r="AN94" i="4"/>
  <c r="AM80" i="16"/>
  <c r="AN80" i="16"/>
  <c r="AM38" i="16"/>
  <c r="AN38" i="16"/>
  <c r="AN77" i="4"/>
  <c r="AL77" i="4"/>
  <c r="AN93" i="4"/>
  <c r="AL93" i="4"/>
  <c r="AI76" i="4"/>
  <c r="AF76" i="4"/>
  <c r="AJ76" i="4"/>
  <c r="AB76" i="4"/>
  <c r="AM97" i="16"/>
  <c r="AN97" i="16"/>
  <c r="AI49" i="4"/>
  <c r="AJ49" i="4"/>
  <c r="AF49" i="4"/>
  <c r="AB49" i="4"/>
  <c r="AM117" i="16"/>
  <c r="AN117" i="16"/>
  <c r="AM79" i="16"/>
  <c r="AN79" i="16"/>
  <c r="AM43" i="16"/>
  <c r="AN43" i="16"/>
  <c r="AF149" i="6"/>
  <c r="AI149" i="6"/>
  <c r="AN83" i="4"/>
  <c r="AL83" i="4"/>
  <c r="AN64" i="4"/>
  <c r="AL64" i="4"/>
  <c r="AN91" i="4"/>
  <c r="AL91" i="4"/>
  <c r="AE95" i="37"/>
  <c r="AH95" i="37"/>
  <c r="AM57" i="35"/>
  <c r="AN57" i="35"/>
  <c r="AM57" i="33"/>
  <c r="AN57" i="33"/>
  <c r="AB34" i="31"/>
  <c r="AB35" i="31"/>
  <c r="AF35" i="30"/>
  <c r="AB35" i="30"/>
  <c r="AI35" i="30"/>
  <c r="AJ35" i="30"/>
  <c r="AN60" i="28"/>
  <c r="AM60" i="28"/>
  <c r="AM48" i="28"/>
  <c r="AN48" i="28"/>
  <c r="AN44" i="35"/>
  <c r="AM44" i="35"/>
  <c r="AH65" i="33"/>
  <c r="AL65" i="33"/>
  <c r="AM37" i="33"/>
  <c r="AN37" i="33"/>
  <c r="AM67" i="30"/>
  <c r="AN67" i="30"/>
  <c r="AM69" i="29"/>
  <c r="AN69" i="29"/>
  <c r="AM69" i="30"/>
  <c r="AN69" i="30"/>
  <c r="AM63" i="29"/>
  <c r="AN63" i="29"/>
  <c r="AN61" i="28"/>
  <c r="AM61" i="28"/>
  <c r="AN71" i="26"/>
  <c r="AM71" i="26"/>
  <c r="AI36" i="34"/>
  <c r="AB36" i="34"/>
  <c r="AJ36" i="34"/>
  <c r="AF36" i="34"/>
  <c r="AM50" i="34"/>
  <c r="AN50" i="34"/>
  <c r="AJ43" i="33"/>
  <c r="AB43" i="33"/>
  <c r="AF43" i="33"/>
  <c r="AI43" i="33"/>
  <c r="AN35" i="34"/>
  <c r="AM35" i="34"/>
  <c r="AM61" i="30"/>
  <c r="AN61" i="30"/>
  <c r="AF41" i="29"/>
  <c r="AB41" i="29"/>
  <c r="AI41" i="29"/>
  <c r="AJ41" i="29"/>
  <c r="AM68" i="29"/>
  <c r="AN68" i="29"/>
  <c r="AJ64" i="26"/>
  <c r="AJ74" i="26"/>
  <c r="AM60" i="26"/>
  <c r="AN60" i="26"/>
  <c r="AB39" i="26"/>
  <c r="AI39" i="26"/>
  <c r="AJ39" i="26"/>
  <c r="AF39" i="26"/>
  <c r="AM69" i="26"/>
  <c r="AN69" i="26"/>
  <c r="AN86" i="23"/>
  <c r="AM86" i="23"/>
  <c r="AF70" i="23"/>
  <c r="AJ70" i="23"/>
  <c r="AI70" i="23"/>
  <c r="AN52" i="23"/>
  <c r="AM52" i="23"/>
  <c r="AM63" i="22"/>
  <c r="AN63" i="22"/>
  <c r="AN42" i="27"/>
  <c r="AM42" i="27"/>
  <c r="AI46" i="25"/>
  <c r="AJ46" i="25"/>
  <c r="AB46" i="25"/>
  <c r="AF46" i="25"/>
  <c r="AI35" i="22"/>
  <c r="AB35" i="22"/>
  <c r="AJ35" i="22"/>
  <c r="AF35" i="22"/>
  <c r="AF82" i="23"/>
  <c r="AB82" i="23"/>
  <c r="AI82" i="23"/>
  <c r="AJ82" i="23"/>
  <c r="AM60" i="22"/>
  <c r="AN60" i="22"/>
  <c r="AM67" i="22"/>
  <c r="AN67" i="22"/>
  <c r="AN52" i="20"/>
  <c r="AM52" i="20"/>
  <c r="AM88" i="23"/>
  <c r="AN88" i="23"/>
  <c r="AA71" i="20"/>
  <c r="AB44" i="20"/>
  <c r="AJ44" i="20"/>
  <c r="AI44" i="20"/>
  <c r="AF44" i="20"/>
  <c r="AM93" i="23"/>
  <c r="AN93" i="23"/>
  <c r="AJ43" i="21"/>
  <c r="AB43" i="21"/>
  <c r="AI43" i="21"/>
  <c r="AF43" i="21"/>
  <c r="AI52" i="18"/>
  <c r="AF52" i="18"/>
  <c r="AE52" i="24"/>
  <c r="AA52" i="24"/>
  <c r="AH52" i="24"/>
  <c r="AI52" i="24"/>
  <c r="AI44" i="24"/>
  <c r="AL35" i="24"/>
  <c r="AM35" i="24"/>
  <c r="AF68" i="15"/>
  <c r="AI68" i="15"/>
  <c r="AJ68" i="15"/>
  <c r="AB68" i="15"/>
  <c r="AI69" i="15"/>
  <c r="AF69" i="15"/>
  <c r="AJ69" i="15"/>
  <c r="AB69" i="15"/>
  <c r="AI36" i="15"/>
  <c r="AF36" i="15"/>
  <c r="AJ36" i="15"/>
  <c r="AB36" i="15"/>
  <c r="AM55" i="19"/>
  <c r="AN55" i="19"/>
  <c r="AM62" i="19"/>
  <c r="AN62" i="19"/>
  <c r="AJ61" i="15"/>
  <c r="AJ59" i="15"/>
  <c r="AJ73" i="15"/>
  <c r="AJ57" i="15"/>
  <c r="AJ50" i="15"/>
  <c r="AJ39" i="15"/>
  <c r="AJ65" i="15"/>
  <c r="AJ58" i="15"/>
  <c r="AB58" i="15"/>
  <c r="AF58" i="15"/>
  <c r="AI58" i="15"/>
  <c r="AN37" i="15"/>
  <c r="AM37" i="15"/>
  <c r="AI92" i="66"/>
  <c r="AF92" i="66"/>
  <c r="AF122" i="66"/>
  <c r="AB122" i="66"/>
  <c r="AI122" i="66"/>
  <c r="AB106" i="68"/>
  <c r="AN38" i="69"/>
  <c r="AM38" i="69"/>
  <c r="AM45" i="67"/>
  <c r="AN45" i="67"/>
  <c r="AB109" i="68"/>
  <c r="AI48" i="65"/>
  <c r="AB48" i="65"/>
  <c r="AF48" i="65"/>
  <c r="AJ48" i="65"/>
  <c r="AM106" i="65"/>
  <c r="AN106" i="65"/>
  <c r="AM38" i="65"/>
  <c r="AN38" i="65"/>
  <c r="AI64" i="65"/>
  <c r="AF64" i="65"/>
  <c r="AJ64" i="65"/>
  <c r="AF124" i="59"/>
  <c r="AB124" i="59"/>
  <c r="AI124" i="59"/>
  <c r="AH126" i="64"/>
  <c r="AG127" i="64"/>
  <c r="AN40" i="11"/>
  <c r="AM40" i="11"/>
  <c r="AJ39" i="65"/>
  <c r="AB122" i="59"/>
  <c r="AI122" i="59"/>
  <c r="AF122" i="59"/>
  <c r="AM86" i="11"/>
  <c r="AN86" i="11"/>
  <c r="AI49" i="11"/>
  <c r="AJ49" i="11"/>
  <c r="AF49" i="11"/>
  <c r="AB49" i="11"/>
  <c r="AJ45" i="65"/>
  <c r="AN35" i="65"/>
  <c r="AM35" i="65"/>
  <c r="AJ82" i="65"/>
  <c r="AJ54" i="65"/>
  <c r="AF57" i="11"/>
  <c r="AI57" i="11"/>
  <c r="AJ57" i="11"/>
  <c r="AM77" i="54"/>
  <c r="AN77" i="54"/>
  <c r="AM89" i="54"/>
  <c r="AN89" i="54"/>
  <c r="AM80" i="63"/>
  <c r="AN80" i="63"/>
  <c r="AM36" i="53"/>
  <c r="AN36" i="53"/>
  <c r="AM46" i="54"/>
  <c r="AN46" i="54"/>
  <c r="AM114" i="54"/>
  <c r="AN114" i="54"/>
  <c r="AJ71" i="54"/>
  <c r="AJ76" i="54"/>
  <c r="AJ84" i="54"/>
  <c r="AJ110" i="54"/>
  <c r="AJ88" i="54"/>
  <c r="AJ102" i="54"/>
  <c r="AJ80" i="54"/>
  <c r="AJ118" i="54"/>
  <c r="AJ107" i="54"/>
  <c r="AI46" i="53"/>
  <c r="AJ46" i="53"/>
  <c r="AF46" i="53"/>
  <c r="AB46" i="53"/>
  <c r="AM85" i="63"/>
  <c r="AN85" i="63"/>
  <c r="AM56" i="63"/>
  <c r="AN56" i="63"/>
  <c r="AJ85" i="54"/>
  <c r="AF72" i="63"/>
  <c r="AI72" i="63"/>
  <c r="AJ72" i="63"/>
  <c r="AA91" i="63"/>
  <c r="AB72" i="63"/>
  <c r="AJ68" i="54"/>
  <c r="AJ44" i="54"/>
  <c r="AJ63" i="53"/>
  <c r="AF63" i="53"/>
  <c r="AI63" i="53"/>
  <c r="AI64" i="61"/>
  <c r="AJ64" i="61"/>
  <c r="AF64" i="61"/>
  <c r="AI88" i="57"/>
  <c r="AF88" i="57"/>
  <c r="AJ35" i="53"/>
  <c r="AI35" i="53"/>
  <c r="AF35" i="53"/>
  <c r="AB35" i="53"/>
  <c r="AJ58" i="61"/>
  <c r="AB58" i="61"/>
  <c r="AI58" i="61"/>
  <c r="AF58" i="61"/>
  <c r="AN44" i="54"/>
  <c r="AM44" i="54"/>
  <c r="AM83" i="63"/>
  <c r="AN83" i="63"/>
  <c r="AB121" i="57"/>
  <c r="AI121" i="57"/>
  <c r="AF121" i="57"/>
  <c r="AI62" i="56"/>
  <c r="AF62" i="56"/>
  <c r="AA64" i="56"/>
  <c r="G63" i="56" s="1"/>
  <c r="AN80" i="52"/>
  <c r="AM80" i="52"/>
  <c r="AM58" i="52"/>
  <c r="AN58" i="52"/>
  <c r="O127" i="62"/>
  <c r="AA126" i="62"/>
  <c r="AM87" i="61"/>
  <c r="AN87" i="61"/>
  <c r="AM84" i="63"/>
  <c r="AN84" i="63"/>
  <c r="AN37" i="61"/>
  <c r="AM37" i="61"/>
  <c r="AJ43" i="53"/>
  <c r="AI43" i="53"/>
  <c r="AF43" i="53"/>
  <c r="AB43" i="53"/>
  <c r="AF48" i="52"/>
  <c r="AB48" i="52"/>
  <c r="AI48" i="52"/>
  <c r="AJ48" i="52"/>
  <c r="AB47" i="51"/>
  <c r="AM51" i="52"/>
  <c r="AN51" i="52"/>
  <c r="AB96" i="51"/>
  <c r="AB86" i="51"/>
  <c r="AB103" i="51"/>
  <c r="AM53" i="52"/>
  <c r="AN53" i="52"/>
  <c r="AN51" i="51"/>
  <c r="AM51" i="51"/>
  <c r="AM43" i="52"/>
  <c r="AN43" i="52"/>
  <c r="AI95" i="9"/>
  <c r="AB95" i="9"/>
  <c r="AF95" i="9"/>
  <c r="AJ95" i="9"/>
  <c r="AI85" i="9"/>
  <c r="AB85" i="9"/>
  <c r="AF85" i="9"/>
  <c r="AJ85" i="9"/>
  <c r="AM92" i="16"/>
  <c r="AN92" i="16"/>
  <c r="AJ107" i="9"/>
  <c r="AJ119" i="9"/>
  <c r="AJ99" i="9"/>
  <c r="AJ115" i="9"/>
  <c r="AJ106" i="9"/>
  <c r="AJ70" i="9"/>
  <c r="AJ38" i="9"/>
  <c r="AJ109" i="9"/>
  <c r="AF64" i="16"/>
  <c r="AI64" i="16"/>
  <c r="AJ64" i="16"/>
  <c r="AJ45" i="9"/>
  <c r="AM35" i="9"/>
  <c r="AN35" i="9"/>
  <c r="AN41" i="9"/>
  <c r="AM41" i="9"/>
  <c r="AM47" i="9"/>
  <c r="AN47" i="9"/>
  <c r="AM95" i="16"/>
  <c r="AN95" i="16"/>
  <c r="AN54" i="16"/>
  <c r="AM54" i="16"/>
  <c r="AJ104" i="16"/>
  <c r="AB42" i="9"/>
  <c r="AI84" i="4"/>
  <c r="AF84" i="4"/>
  <c r="AJ84" i="4"/>
  <c r="AB84" i="4"/>
  <c r="AE71" i="37"/>
  <c r="AH71" i="37"/>
  <c r="AA71" i="37"/>
  <c r="AJ97" i="16"/>
  <c r="AJ62" i="16"/>
  <c r="AC62" i="37"/>
  <c r="AD62" i="37" s="1"/>
  <c r="AC64" i="37"/>
  <c r="AD61" i="37"/>
  <c r="AJ82" i="16"/>
  <c r="AM36" i="16"/>
  <c r="AN36" i="16"/>
  <c r="AN90" i="4"/>
  <c r="AL90" i="4"/>
  <c r="AM88" i="16"/>
  <c r="AN88" i="16"/>
  <c r="AM49" i="16"/>
  <c r="AN49" i="16"/>
  <c r="AM75" i="16"/>
  <c r="AN75" i="16"/>
  <c r="AM78" i="16"/>
  <c r="AN78" i="16"/>
  <c r="AL62" i="4"/>
  <c r="AN62" i="4"/>
  <c r="AL79" i="4"/>
  <c r="AN79" i="4"/>
  <c r="AL97" i="4"/>
  <c r="AN97" i="4"/>
  <c r="AL99" i="4"/>
  <c r="AN99" i="4"/>
  <c r="AN38" i="36"/>
  <c r="AM38" i="36"/>
  <c r="AM37" i="34"/>
  <c r="AN37" i="34"/>
  <c r="AN63" i="33"/>
  <c r="AM63" i="33"/>
  <c r="AM49" i="33"/>
  <c r="AN49" i="33"/>
  <c r="AI48" i="33"/>
  <c r="AB48" i="33"/>
  <c r="AF48" i="33"/>
  <c r="AJ48" i="33"/>
  <c r="AI40" i="33"/>
  <c r="AB40" i="33"/>
  <c r="AF40" i="33"/>
  <c r="AJ40" i="33"/>
  <c r="AN68" i="30"/>
  <c r="AM68" i="30"/>
  <c r="AJ64" i="33"/>
  <c r="AB64" i="33"/>
  <c r="AF64" i="33"/>
  <c r="AI64" i="33"/>
  <c r="AN52" i="30"/>
  <c r="AM52" i="30"/>
  <c r="AM63" i="28"/>
  <c r="AM43" i="27"/>
  <c r="AN43" i="27"/>
  <c r="AM47" i="29"/>
  <c r="AN47" i="29"/>
  <c r="AI40" i="27"/>
  <c r="AJ40" i="27"/>
  <c r="AF40" i="27"/>
  <c r="AB40" i="27"/>
  <c r="AE96" i="23"/>
  <c r="AD100" i="23"/>
  <c r="AK96" i="23"/>
  <c r="AB59" i="36"/>
  <c r="AN56" i="35"/>
  <c r="AM56" i="35"/>
  <c r="AM54" i="33"/>
  <c r="AN54" i="33"/>
  <c r="AJ47" i="33"/>
  <c r="AM44" i="33"/>
  <c r="AN44" i="33"/>
  <c r="AJ49" i="33"/>
  <c r="AJ34" i="33"/>
  <c r="AA52" i="35"/>
  <c r="AM60" i="33"/>
  <c r="AN60" i="33"/>
  <c r="AM52" i="33"/>
  <c r="AN52" i="33"/>
  <c r="AA66" i="33"/>
  <c r="AB58" i="30"/>
  <c r="AM45" i="33"/>
  <c r="AN45" i="33"/>
  <c r="AF41" i="30"/>
  <c r="AB41" i="30"/>
  <c r="AI41" i="30"/>
  <c r="AJ41" i="30"/>
  <c r="AB74" i="30"/>
  <c r="AN36" i="30"/>
  <c r="AM36" i="30"/>
  <c r="AB58" i="29"/>
  <c r="AI58" i="29"/>
  <c r="AJ58" i="29"/>
  <c r="AF58" i="29"/>
  <c r="AJ45" i="29"/>
  <c r="AF45" i="29"/>
  <c r="AB45" i="29"/>
  <c r="AI45" i="29"/>
  <c r="AM56" i="29"/>
  <c r="AN56" i="29"/>
  <c r="AI51" i="28"/>
  <c r="AF51" i="28"/>
  <c r="AB51" i="28"/>
  <c r="AJ51" i="28"/>
  <c r="AM51" i="29"/>
  <c r="AN51" i="29"/>
  <c r="AM38" i="29"/>
  <c r="AN38" i="29"/>
  <c r="AM43" i="29"/>
  <c r="AN43" i="29"/>
  <c r="AI44" i="27"/>
  <c r="AJ44" i="27"/>
  <c r="AF44" i="27"/>
  <c r="AB44" i="27"/>
  <c r="AM34" i="27"/>
  <c r="AN34" i="27"/>
  <c r="AM40" i="26"/>
  <c r="AN40" i="26"/>
  <c r="AJ40" i="26"/>
  <c r="AJ43" i="26"/>
  <c r="AB43" i="26"/>
  <c r="AF43" i="26"/>
  <c r="AI43" i="26"/>
  <c r="AN74" i="26"/>
  <c r="AM74" i="26"/>
  <c r="AJ65" i="26"/>
  <c r="AM37" i="25"/>
  <c r="AN37" i="25"/>
  <c r="AM81" i="23"/>
  <c r="AN81" i="23"/>
  <c r="O100" i="23"/>
  <c r="AA96" i="23"/>
  <c r="AM91" i="23"/>
  <c r="AN91" i="23"/>
  <c r="AM55" i="26"/>
  <c r="AN55" i="26"/>
  <c r="AJ37" i="26"/>
  <c r="AN69" i="22"/>
  <c r="AM69" i="22"/>
  <c r="AM44" i="26"/>
  <c r="AN44" i="26"/>
  <c r="AI63" i="23"/>
  <c r="AF63" i="23"/>
  <c r="AJ63" i="23"/>
  <c r="AI39" i="22"/>
  <c r="AJ39" i="22"/>
  <c r="AB39" i="22"/>
  <c r="AF39" i="22"/>
  <c r="AF90" i="23"/>
  <c r="AB90" i="23"/>
  <c r="AI90" i="23"/>
  <c r="AJ90" i="23"/>
  <c r="AM64" i="22"/>
  <c r="AN64" i="22"/>
  <c r="AF47" i="21"/>
  <c r="AI47" i="21"/>
  <c r="AJ47" i="21"/>
  <c r="AI41" i="20"/>
  <c r="AF41" i="20"/>
  <c r="AJ41" i="20"/>
  <c r="AJ41" i="22"/>
  <c r="AJ58" i="24"/>
  <c r="AD58" i="24"/>
  <c r="AJ37" i="22"/>
  <c r="AM40" i="22"/>
  <c r="AN40" i="22"/>
  <c r="AN68" i="20"/>
  <c r="AM68" i="20"/>
  <c r="AJ68" i="22"/>
  <c r="AJ38" i="22"/>
  <c r="AM74" i="21"/>
  <c r="AN74" i="21"/>
  <c r="AM44" i="21"/>
  <c r="AN44" i="21"/>
  <c r="AI35" i="24"/>
  <c r="AN73" i="15"/>
  <c r="AM73" i="15"/>
  <c r="AM64" i="19"/>
  <c r="AN64" i="19"/>
  <c r="AA60" i="24"/>
  <c r="AI41" i="69"/>
  <c r="AB41" i="69"/>
  <c r="AJ41" i="69"/>
  <c r="AF41" i="69"/>
  <c r="AB74" i="70"/>
  <c r="AM49" i="69"/>
  <c r="AN49" i="69"/>
  <c r="AJ44" i="69"/>
  <c r="AF44" i="69"/>
  <c r="AB44" i="69"/>
  <c r="AI44" i="69"/>
  <c r="AD113" i="70"/>
  <c r="AE112" i="70"/>
  <c r="AF51" i="69"/>
  <c r="AB51" i="69"/>
  <c r="AI51" i="69"/>
  <c r="AJ51" i="69"/>
  <c r="AF71" i="68"/>
  <c r="AI71" i="68"/>
  <c r="AA73" i="68"/>
  <c r="G73" i="68" s="1"/>
  <c r="AJ37" i="15"/>
  <c r="AM37" i="69"/>
  <c r="AN37" i="69"/>
  <c r="AF36" i="67"/>
  <c r="AI36" i="67"/>
  <c r="AJ36" i="67"/>
  <c r="AB36" i="67"/>
  <c r="AB108" i="68"/>
  <c r="AJ80" i="65"/>
  <c r="AM43" i="67"/>
  <c r="AN43" i="67"/>
  <c r="AB97" i="68"/>
  <c r="AB65" i="68"/>
  <c r="AN80" i="65"/>
  <c r="AM80" i="65"/>
  <c r="AI52" i="65"/>
  <c r="AJ52" i="65"/>
  <c r="AB52" i="65"/>
  <c r="AF52" i="65"/>
  <c r="AM37" i="67"/>
  <c r="AN37" i="67"/>
  <c r="AJ37" i="65"/>
  <c r="AB99" i="59"/>
  <c r="AM109" i="65"/>
  <c r="AN109" i="65"/>
  <c r="AM46" i="65"/>
  <c r="AN46" i="65"/>
  <c r="AM44" i="11"/>
  <c r="AN44" i="11"/>
  <c r="AJ100" i="54"/>
  <c r="AJ60" i="65"/>
  <c r="AA74" i="58"/>
  <c r="G73" i="58" s="1"/>
  <c r="AI72" i="58"/>
  <c r="AF72" i="58"/>
  <c r="AJ38" i="65"/>
  <c r="AB82" i="11"/>
  <c r="AF82" i="11"/>
  <c r="AI82" i="11"/>
  <c r="AJ82" i="11"/>
  <c r="AJ99" i="54"/>
  <c r="AM50" i="54"/>
  <c r="AN50" i="54"/>
  <c r="AJ89" i="54"/>
  <c r="AF45" i="54"/>
  <c r="AB45" i="54"/>
  <c r="AI45" i="54"/>
  <c r="AJ45" i="54"/>
  <c r="AN40" i="53"/>
  <c r="AM40" i="53"/>
  <c r="AN118" i="54"/>
  <c r="AM118" i="54"/>
  <c r="AJ105" i="54"/>
  <c r="AB105" i="54"/>
  <c r="AF105" i="54"/>
  <c r="AI105" i="54"/>
  <c r="AA44" i="64"/>
  <c r="G43" i="64" s="1"/>
  <c r="AI42" i="64"/>
  <c r="AF42" i="64"/>
  <c r="AM100" i="54"/>
  <c r="AN100" i="54"/>
  <c r="AI96" i="54"/>
  <c r="AB96" i="54"/>
  <c r="AJ96" i="54"/>
  <c r="AF96" i="54"/>
  <c r="AJ40" i="54"/>
  <c r="AD127" i="64"/>
  <c r="AE126" i="64"/>
  <c r="AI50" i="53"/>
  <c r="AJ50" i="53"/>
  <c r="AF50" i="53"/>
  <c r="AB50" i="53"/>
  <c r="AI82" i="54"/>
  <c r="AJ82" i="54"/>
  <c r="AB82" i="54"/>
  <c r="AF82" i="54"/>
  <c r="AN94" i="54"/>
  <c r="AM94" i="54"/>
  <c r="AM85" i="54"/>
  <c r="AN85" i="54"/>
  <c r="AF62" i="54"/>
  <c r="AI62" i="54"/>
  <c r="AJ62" i="54"/>
  <c r="AJ38" i="54"/>
  <c r="AI37" i="63"/>
  <c r="AJ37" i="63"/>
  <c r="AF37" i="63"/>
  <c r="AB37" i="63"/>
  <c r="AJ52" i="54"/>
  <c r="AA84" i="56"/>
  <c r="G82" i="56" s="1"/>
  <c r="AI81" i="56"/>
  <c r="AF81" i="56"/>
  <c r="AJ84" i="61"/>
  <c r="AJ77" i="61"/>
  <c r="AJ62" i="61"/>
  <c r="AJ70" i="61"/>
  <c r="AJ43" i="61"/>
  <c r="AJ87" i="61"/>
  <c r="AJ80" i="61"/>
  <c r="AJ67" i="61"/>
  <c r="AJ78" i="61"/>
  <c r="AJ49" i="61"/>
  <c r="AF94" i="57"/>
  <c r="AI94" i="57"/>
  <c r="AM45" i="53"/>
  <c r="AN45" i="53"/>
  <c r="AB111" i="55"/>
  <c r="AJ47" i="53"/>
  <c r="AF47" i="53"/>
  <c r="AB47" i="53"/>
  <c r="AI47" i="53"/>
  <c r="AM95" i="54"/>
  <c r="AN95" i="54"/>
  <c r="AJ44" i="61"/>
  <c r="AM51" i="61"/>
  <c r="AN51" i="61"/>
  <c r="AF123" i="62"/>
  <c r="AB123" i="62"/>
  <c r="AI123" i="62"/>
  <c r="AJ63" i="61"/>
  <c r="AJ39" i="53"/>
  <c r="AF39" i="53"/>
  <c r="AB39" i="53"/>
  <c r="AI39" i="53"/>
  <c r="AI93" i="39"/>
  <c r="AF93" i="39"/>
  <c r="AM39" i="63"/>
  <c r="AN39" i="63"/>
  <c r="AM55" i="63"/>
  <c r="AN55" i="63"/>
  <c r="AB122" i="62"/>
  <c r="AI122" i="62"/>
  <c r="AF122" i="62"/>
  <c r="AI72" i="55"/>
  <c r="AF72" i="55"/>
  <c r="AA74" i="55"/>
  <c r="G73" i="55" s="1"/>
  <c r="AN77" i="63"/>
  <c r="AM77" i="63"/>
  <c r="AM84" i="53"/>
  <c r="AN84" i="53"/>
  <c r="AI121" i="62"/>
  <c r="AF121" i="62"/>
  <c r="AB121" i="62"/>
  <c r="AJ36" i="61"/>
  <c r="AJ88" i="53"/>
  <c r="AM53" i="53"/>
  <c r="AN53" i="53"/>
  <c r="AI68" i="52"/>
  <c r="AJ68" i="52"/>
  <c r="AF68" i="52"/>
  <c r="AF52" i="52"/>
  <c r="AB52" i="52"/>
  <c r="AI52" i="52"/>
  <c r="AJ52" i="52"/>
  <c r="AB105" i="51"/>
  <c r="AB43" i="51"/>
  <c r="AM79" i="52"/>
  <c r="AN79" i="52"/>
  <c r="AB125" i="39"/>
  <c r="AI125" i="39"/>
  <c r="AF125" i="39"/>
  <c r="AI88" i="39"/>
  <c r="AF88" i="39"/>
  <c r="AB40" i="51"/>
  <c r="AN76" i="51"/>
  <c r="AM76" i="51"/>
  <c r="AF58" i="51"/>
  <c r="AB58" i="51"/>
  <c r="AJ58" i="51"/>
  <c r="AI58" i="51"/>
  <c r="AB41" i="53"/>
  <c r="AM110" i="9"/>
  <c r="AN110" i="9"/>
  <c r="AJ38" i="51"/>
  <c r="AF38" i="51"/>
  <c r="AB38" i="51"/>
  <c r="AI38" i="51"/>
  <c r="AI103" i="9"/>
  <c r="AB103" i="9"/>
  <c r="AJ103" i="9"/>
  <c r="AF103" i="9"/>
  <c r="AI89" i="9"/>
  <c r="AB89" i="9"/>
  <c r="AF89" i="9"/>
  <c r="AJ89" i="9"/>
  <c r="AJ66" i="9"/>
  <c r="AJ53" i="9"/>
  <c r="AF40" i="9"/>
  <c r="AB40" i="9"/>
  <c r="AI40" i="9"/>
  <c r="AJ40" i="9"/>
  <c r="AM100" i="16"/>
  <c r="AN100" i="16"/>
  <c r="AN109" i="9"/>
  <c r="AM109" i="9"/>
  <c r="AJ58" i="9"/>
  <c r="AM45" i="9"/>
  <c r="AN45" i="9"/>
  <c r="AM86" i="9"/>
  <c r="AN86" i="9"/>
  <c r="AJ46" i="9"/>
  <c r="AM99" i="16"/>
  <c r="AN99" i="16"/>
  <c r="AB58" i="9"/>
  <c r="AL42" i="7"/>
  <c r="AN42" i="7"/>
  <c r="AL78" i="4"/>
  <c r="AN78" i="4"/>
  <c r="N62" i="37"/>
  <c r="N64" i="37"/>
  <c r="Z61" i="37"/>
  <c r="AJ80" i="16"/>
  <c r="AJ41" i="16"/>
  <c r="AK55" i="37"/>
  <c r="AI55" i="37"/>
  <c r="AN41" i="7"/>
  <c r="AL41" i="7"/>
  <c r="AI92" i="4"/>
  <c r="AF92" i="4"/>
  <c r="AJ92" i="4"/>
  <c r="AB92" i="4"/>
  <c r="AL66" i="4"/>
  <c r="AN66" i="4"/>
  <c r="R62" i="37"/>
  <c r="R64" i="37"/>
  <c r="R74" i="37" s="1"/>
  <c r="AJ55" i="16"/>
  <c r="AJ47" i="7"/>
  <c r="AF47" i="7"/>
  <c r="AI47" i="7"/>
  <c r="AB47" i="7"/>
  <c r="Q64" i="37"/>
  <c r="Q74" i="37" s="1"/>
  <c r="Q62" i="37"/>
  <c r="AM82" i="16"/>
  <c r="AN82" i="16"/>
  <c r="AJ35" i="7"/>
  <c r="AA66" i="7"/>
  <c r="AF35" i="7"/>
  <c r="AB35" i="7"/>
  <c r="AI35" i="7"/>
  <c r="AF68" i="7"/>
  <c r="AI68" i="7"/>
  <c r="AF45" i="7"/>
  <c r="AB45" i="7"/>
  <c r="AJ45" i="7"/>
  <c r="AI45" i="7"/>
  <c r="AL70" i="4"/>
  <c r="AN70" i="4"/>
  <c r="AN48" i="7"/>
  <c r="AL48" i="7"/>
  <c r="AL87" i="4"/>
  <c r="AN87" i="4"/>
  <c r="AL60" i="4"/>
  <c r="AN60" i="4"/>
  <c r="AN48" i="4"/>
  <c r="AL48" i="4"/>
  <c r="AL95" i="4"/>
  <c r="AN95" i="4"/>
  <c r="P86" i="37"/>
  <c r="P88" i="37" s="1"/>
  <c r="P82" i="37"/>
  <c r="P84" i="37" s="1"/>
  <c r="P85" i="37" s="1"/>
  <c r="P75" i="37"/>
  <c r="AF60" i="36"/>
  <c r="AI60" i="36"/>
  <c r="AJ60" i="36"/>
  <c r="AB60" i="36"/>
  <c r="AI46" i="34"/>
  <c r="AJ46" i="34"/>
  <c r="AB46" i="34"/>
  <c r="AF46" i="34"/>
  <c r="AM74" i="29"/>
  <c r="AN74" i="29"/>
  <c r="AM43" i="36"/>
  <c r="AN43" i="36"/>
  <c r="AM38" i="35"/>
  <c r="AN38" i="35"/>
  <c r="AM40" i="36"/>
  <c r="AN40" i="36"/>
  <c r="AN39" i="33"/>
  <c r="AM39" i="33"/>
  <c r="AB44" i="34"/>
  <c r="AF44" i="34"/>
  <c r="AI44" i="34"/>
  <c r="AJ44" i="34"/>
  <c r="AI63" i="30"/>
  <c r="AJ63" i="30"/>
  <c r="AB63" i="30"/>
  <c r="AF63" i="30"/>
  <c r="AN49" i="30"/>
  <c r="AM49" i="30"/>
  <c r="AI71" i="30"/>
  <c r="AJ71" i="30"/>
  <c r="AB71" i="30"/>
  <c r="AF71" i="30"/>
  <c r="AM39" i="27"/>
  <c r="AN39" i="27"/>
  <c r="AM45" i="26"/>
  <c r="AN45" i="26"/>
  <c r="AM64" i="36"/>
  <c r="AN64" i="36"/>
  <c r="AI46" i="35"/>
  <c r="AB46" i="35"/>
  <c r="AF46" i="35"/>
  <c r="AJ46" i="35"/>
  <c r="AM46" i="33"/>
  <c r="AN46" i="33"/>
  <c r="AM34" i="35"/>
  <c r="AN34" i="35"/>
  <c r="AB45" i="36"/>
  <c r="AF45" i="36"/>
  <c r="AI45" i="36"/>
  <c r="AJ45" i="36"/>
  <c r="AA65" i="33"/>
  <c r="AB56" i="30"/>
  <c r="AB59" i="30"/>
  <c r="AB60" i="30"/>
  <c r="AB38" i="30"/>
  <c r="AB42" i="30"/>
  <c r="AB46" i="30"/>
  <c r="AM70" i="29"/>
  <c r="AN70" i="29"/>
  <c r="AM75" i="29"/>
  <c r="AN75" i="29"/>
  <c r="AI53" i="28"/>
  <c r="AJ53" i="28"/>
  <c r="AF53" i="28"/>
  <c r="AB53" i="28"/>
  <c r="AM39" i="29"/>
  <c r="AN39" i="29"/>
  <c r="AM60" i="29"/>
  <c r="AN60" i="29"/>
  <c r="AB57" i="28"/>
  <c r="AB43" i="28"/>
  <c r="AJ71" i="26"/>
  <c r="AJ36" i="26"/>
  <c r="AM76" i="26"/>
  <c r="AN76" i="26"/>
  <c r="AI70" i="26"/>
  <c r="AB70" i="26"/>
  <c r="AJ70" i="26"/>
  <c r="AF70" i="26"/>
  <c r="AN35" i="25"/>
  <c r="AM35" i="25"/>
  <c r="AN39" i="25"/>
  <c r="AM39" i="25"/>
  <c r="AL96" i="23"/>
  <c r="AG100" i="23"/>
  <c r="AH96" i="23"/>
  <c r="AJ72" i="26"/>
  <c r="AM42" i="23"/>
  <c r="AN42" i="23"/>
  <c r="AI43" i="22"/>
  <c r="AB43" i="22"/>
  <c r="AF43" i="22"/>
  <c r="AJ43" i="22"/>
  <c r="AN94" i="23"/>
  <c r="AM94" i="23"/>
  <c r="AF55" i="21"/>
  <c r="AI55" i="21"/>
  <c r="AJ55" i="21"/>
  <c r="AJ69" i="26"/>
  <c r="AI34" i="20"/>
  <c r="AB34" i="20"/>
  <c r="AF34" i="20"/>
  <c r="AJ34" i="20"/>
  <c r="AI35" i="20"/>
  <c r="AJ35" i="20"/>
  <c r="AF35" i="20"/>
  <c r="AB35" i="20"/>
  <c r="AN36" i="20"/>
  <c r="AM36" i="20"/>
  <c r="AN63" i="21"/>
  <c r="AM63" i="21"/>
  <c r="AM56" i="22"/>
  <c r="AN56" i="22"/>
  <c r="AI58" i="21"/>
  <c r="AF58" i="21"/>
  <c r="AB58" i="21"/>
  <c r="AJ58" i="21"/>
  <c r="AA77" i="21"/>
  <c r="AL56" i="24"/>
  <c r="AM56" i="24"/>
  <c r="AN53" i="20"/>
  <c r="AM53" i="20"/>
  <c r="AM36" i="19"/>
  <c r="AN36" i="19"/>
  <c r="AI60" i="24"/>
  <c r="AJ60" i="15"/>
  <c r="AI36" i="24"/>
  <c r="AM35" i="15"/>
  <c r="AN35" i="15"/>
  <c r="AH54" i="24"/>
  <c r="AA54" i="24"/>
  <c r="AE54" i="24"/>
  <c r="AI54" i="24"/>
  <c r="AJ56" i="15"/>
  <c r="AN40" i="19"/>
  <c r="AM40" i="19"/>
  <c r="AI55" i="24"/>
  <c r="AI56" i="18"/>
  <c r="AF56" i="18"/>
  <c r="AH34" i="24"/>
  <c r="AE34" i="24"/>
  <c r="AA34" i="24"/>
  <c r="AI34" i="24"/>
  <c r="AM53" i="69"/>
  <c r="AN53" i="69"/>
  <c r="AM57" i="24"/>
  <c r="AL57" i="24"/>
  <c r="AF55" i="69"/>
  <c r="AJ55" i="69"/>
  <c r="AB55" i="69"/>
  <c r="AI55" i="69"/>
  <c r="AM56" i="69"/>
  <c r="AN56" i="69"/>
  <c r="AM55" i="15"/>
  <c r="AN55" i="15"/>
  <c r="AF35" i="69"/>
  <c r="AB35" i="69"/>
  <c r="AI35" i="69"/>
  <c r="AJ35" i="69"/>
  <c r="AB45" i="69"/>
  <c r="AI45" i="69"/>
  <c r="AF45" i="69"/>
  <c r="AJ45" i="69"/>
  <c r="AI40" i="67"/>
  <c r="AJ40" i="67"/>
  <c r="AF40" i="67"/>
  <c r="AB40" i="67"/>
  <c r="AB105" i="68"/>
  <c r="AN96" i="65"/>
  <c r="AM96" i="65"/>
  <c r="AM54" i="67"/>
  <c r="AN54" i="67"/>
  <c r="AF93" i="66"/>
  <c r="AI93" i="66"/>
  <c r="AM48" i="69"/>
  <c r="AN48" i="69"/>
  <c r="AM46" i="67"/>
  <c r="AN46" i="67"/>
  <c r="AJ84" i="11"/>
  <c r="AB84" i="11"/>
  <c r="AI84" i="11"/>
  <c r="AF84" i="11"/>
  <c r="AF101" i="65"/>
  <c r="AI101" i="65"/>
  <c r="AJ101" i="65"/>
  <c r="AB101" i="65"/>
  <c r="AF70" i="65"/>
  <c r="AI70" i="65"/>
  <c r="AA112" i="65"/>
  <c r="AJ70" i="65"/>
  <c r="AF63" i="65"/>
  <c r="AJ63" i="65"/>
  <c r="AI63" i="65"/>
  <c r="AI56" i="65"/>
  <c r="AB56" i="65"/>
  <c r="AJ56" i="65"/>
  <c r="AF56" i="65"/>
  <c r="AN55" i="67"/>
  <c r="AM55" i="67"/>
  <c r="AI72" i="11"/>
  <c r="AJ72" i="11"/>
  <c r="AB72" i="11"/>
  <c r="AF72" i="11"/>
  <c r="AJ102" i="65"/>
  <c r="AI42" i="59"/>
  <c r="AF42" i="59"/>
  <c r="AA44" i="59"/>
  <c r="G43" i="59" s="1"/>
  <c r="AN55" i="65"/>
  <c r="AM55" i="65"/>
  <c r="AJ68" i="11"/>
  <c r="AB68" i="11"/>
  <c r="AF68" i="11"/>
  <c r="AI68" i="11"/>
  <c r="AJ35" i="65"/>
  <c r="AB88" i="65"/>
  <c r="AB108" i="65"/>
  <c r="AB84" i="65"/>
  <c r="AB94" i="65"/>
  <c r="AB81" i="65"/>
  <c r="AB87" i="65"/>
  <c r="AB50" i="65"/>
  <c r="AM38" i="11"/>
  <c r="AN38" i="11"/>
  <c r="AA126" i="58"/>
  <c r="AA84" i="58"/>
  <c r="G82" i="58" s="1"/>
  <c r="AI81" i="58"/>
  <c r="AF81" i="58"/>
  <c r="AJ101" i="54"/>
  <c r="AF88" i="58"/>
  <c r="AI88" i="58"/>
  <c r="AJ98" i="54"/>
  <c r="AF53" i="54"/>
  <c r="AB53" i="54"/>
  <c r="AI53" i="54"/>
  <c r="AJ53" i="54"/>
  <c r="AM44" i="53"/>
  <c r="AN44" i="53"/>
  <c r="AJ83" i="54"/>
  <c r="AJ46" i="54"/>
  <c r="AI66" i="63"/>
  <c r="AJ66" i="63"/>
  <c r="AF66" i="63"/>
  <c r="AI88" i="62"/>
  <c r="AF88" i="62"/>
  <c r="AJ72" i="53"/>
  <c r="AA91" i="53"/>
  <c r="AF72" i="53"/>
  <c r="AI72" i="53"/>
  <c r="AB72" i="53"/>
  <c r="AM111" i="54"/>
  <c r="AN111" i="54"/>
  <c r="AF70" i="54"/>
  <c r="AI70" i="54"/>
  <c r="AJ70" i="54"/>
  <c r="AF66" i="61"/>
  <c r="AJ66" i="61"/>
  <c r="AI66" i="61"/>
  <c r="AI54" i="53"/>
  <c r="AJ54" i="53"/>
  <c r="AF54" i="53"/>
  <c r="AB54" i="53"/>
  <c r="AJ63" i="54"/>
  <c r="AJ43" i="54"/>
  <c r="AI41" i="63"/>
  <c r="AJ41" i="63"/>
  <c r="AF41" i="63"/>
  <c r="AB41" i="63"/>
  <c r="AF41" i="54"/>
  <c r="AB41" i="54"/>
  <c r="AJ41" i="54"/>
  <c r="AI41" i="54"/>
  <c r="AJ115" i="54"/>
  <c r="AF123" i="57"/>
  <c r="AB123" i="57"/>
  <c r="AI123" i="57"/>
  <c r="AN83" i="53"/>
  <c r="AM83" i="53"/>
  <c r="AF121" i="56"/>
  <c r="AI121" i="56"/>
  <c r="AB121" i="56"/>
  <c r="AM40" i="61"/>
  <c r="AN40" i="61"/>
  <c r="AM39" i="61"/>
  <c r="AN39" i="61"/>
  <c r="AM55" i="61"/>
  <c r="AN55" i="61"/>
  <c r="AF122" i="57"/>
  <c r="AB122" i="57"/>
  <c r="AI122" i="57"/>
  <c r="AA126" i="57"/>
  <c r="AN87" i="54"/>
  <c r="AM87" i="54"/>
  <c r="AN43" i="63"/>
  <c r="AM43" i="63"/>
  <c r="AJ76" i="61"/>
  <c r="AM49" i="53"/>
  <c r="AN49" i="53"/>
  <c r="AN57" i="61"/>
  <c r="AM57" i="61"/>
  <c r="AJ51" i="53"/>
  <c r="AI88" i="55"/>
  <c r="AF88" i="55"/>
  <c r="AJ50" i="61"/>
  <c r="AF50" i="61"/>
  <c r="AI50" i="61"/>
  <c r="AB50" i="61"/>
  <c r="AJ84" i="53"/>
  <c r="AN35" i="63"/>
  <c r="AM35" i="63"/>
  <c r="AN51" i="63"/>
  <c r="AM51" i="63"/>
  <c r="AM43" i="61"/>
  <c r="AN43" i="61"/>
  <c r="AJ57" i="53"/>
  <c r="AF56" i="52"/>
  <c r="AB56" i="52"/>
  <c r="AI56" i="52"/>
  <c r="AJ56" i="52"/>
  <c r="AM77" i="52"/>
  <c r="AN77" i="52"/>
  <c r="AB82" i="51"/>
  <c r="AA126" i="56"/>
  <c r="AM55" i="52"/>
  <c r="AN55" i="52"/>
  <c r="AM105" i="9"/>
  <c r="AN105" i="9"/>
  <c r="AI87" i="51"/>
  <c r="AJ87" i="51"/>
  <c r="AF87" i="51"/>
  <c r="AB87" i="51"/>
  <c r="AF110" i="17"/>
  <c r="AI110" i="17"/>
  <c r="AN96" i="9"/>
  <c r="AM96" i="9"/>
  <c r="AI168" i="17"/>
  <c r="AF168" i="17"/>
  <c r="AM57" i="52"/>
  <c r="AN57" i="52"/>
  <c r="AI121" i="39"/>
  <c r="AB121" i="39"/>
  <c r="AF121" i="39"/>
  <c r="AI111" i="9"/>
  <c r="AB111" i="9"/>
  <c r="AJ111" i="9"/>
  <c r="AF111" i="9"/>
  <c r="AM53" i="9"/>
  <c r="AN53" i="9"/>
  <c r="AJ43" i="9"/>
  <c r="AM108" i="16"/>
  <c r="AN108" i="16"/>
  <c r="AI171" i="17"/>
  <c r="AF171" i="17"/>
  <c r="AJ52" i="9"/>
  <c r="AF52" i="9"/>
  <c r="AB52" i="9"/>
  <c r="AI52" i="9"/>
  <c r="AI74" i="7"/>
  <c r="AF74" i="7"/>
  <c r="AJ63" i="9"/>
  <c r="AJ41" i="9"/>
  <c r="AJ50" i="9"/>
  <c r="AM103" i="16"/>
  <c r="AN103" i="16"/>
  <c r="AM113" i="16"/>
  <c r="AN113" i="16"/>
  <c r="AN44" i="7"/>
  <c r="AL44" i="7"/>
  <c r="AI49" i="37"/>
  <c r="AK49" i="37"/>
  <c r="AN104" i="16"/>
  <c r="AM104" i="16"/>
  <c r="AI63" i="37"/>
  <c r="AK63" i="37"/>
  <c r="AM86" i="16"/>
  <c r="AN86" i="16"/>
  <c r="AI67" i="37"/>
  <c r="AK67" i="37"/>
  <c r="AJ76" i="16"/>
  <c r="AM52" i="16"/>
  <c r="AN52" i="16"/>
  <c r="AJ61" i="4"/>
  <c r="AF61" i="4"/>
  <c r="AB61" i="4"/>
  <c r="AI61" i="4"/>
  <c r="Y64" i="37"/>
  <c r="Y74" i="37" s="1"/>
  <c r="Y62" i="37"/>
  <c r="AJ43" i="7"/>
  <c r="AF43" i="7"/>
  <c r="AB43" i="7"/>
  <c r="AI43" i="7"/>
  <c r="AN74" i="4"/>
  <c r="AL74" i="4"/>
  <c r="AJ73" i="4"/>
  <c r="AF73" i="4"/>
  <c r="AB73" i="4"/>
  <c r="AI73" i="4"/>
  <c r="AI43" i="37"/>
  <c r="AK43" i="37"/>
  <c r="AA57" i="37"/>
  <c r="AA70" i="37"/>
  <c r="Z44" i="37"/>
  <c r="AA44" i="37" s="1"/>
  <c r="AH43" i="37"/>
  <c r="AA78" i="37"/>
  <c r="AA56" i="37"/>
  <c r="AE43" i="37"/>
  <c r="AA87" i="37"/>
  <c r="AA68" i="37"/>
  <c r="AA43" i="37"/>
  <c r="AJ88" i="16"/>
  <c r="AM46" i="16"/>
  <c r="AN46" i="16"/>
  <c r="AJ78" i="16"/>
  <c r="AN56" i="4"/>
  <c r="AL56" i="4"/>
  <c r="AL68" i="4"/>
  <c r="AN68" i="4"/>
  <c r="AN51" i="7"/>
  <c r="AL51" i="7"/>
  <c r="AL44" i="4"/>
  <c r="AN44" i="4"/>
  <c r="AA58" i="37"/>
  <c r="AN40" i="4"/>
  <c r="AL40" i="4"/>
  <c r="AN75" i="4"/>
  <c r="AL75" i="4"/>
  <c r="AL36" i="4"/>
  <c r="AN36" i="4"/>
  <c r="AH52" i="35"/>
  <c r="AL52" i="35"/>
  <c r="AG59" i="35"/>
  <c r="AH59" i="35" s="1"/>
  <c r="AK65" i="33"/>
  <c r="AE65" i="33"/>
  <c r="AI37" i="31"/>
  <c r="AJ37" i="31"/>
  <c r="AB37" i="31"/>
  <c r="AF37" i="31"/>
  <c r="AM72" i="30"/>
  <c r="AN72" i="30"/>
  <c r="AM53" i="36"/>
  <c r="AN53" i="36"/>
  <c r="AM43" i="34"/>
  <c r="AN43" i="34"/>
  <c r="AM42" i="33"/>
  <c r="AN42" i="33"/>
  <c r="AN57" i="29"/>
  <c r="AM57" i="29"/>
  <c r="AN50" i="28"/>
  <c r="AM50" i="28"/>
  <c r="AI36" i="27"/>
  <c r="AJ36" i="27"/>
  <c r="AF36" i="27"/>
  <c r="AB36" i="27"/>
  <c r="AF54" i="26"/>
  <c r="AJ54" i="26"/>
  <c r="AB54" i="26"/>
  <c r="AI54" i="26"/>
  <c r="AF50" i="35"/>
  <c r="AI50" i="35"/>
  <c r="AJ50" i="35"/>
  <c r="AB50" i="35"/>
  <c r="AF52" i="36"/>
  <c r="AI52" i="36"/>
  <c r="AJ52" i="36"/>
  <c r="AB52" i="36"/>
  <c r="AB36" i="36"/>
  <c r="AI49" i="36"/>
  <c r="AJ49" i="36"/>
  <c r="AB49" i="36"/>
  <c r="AF49" i="36"/>
  <c r="AA66" i="36"/>
  <c r="AN47" i="33"/>
  <c r="AM47" i="33"/>
  <c r="AM40" i="35"/>
  <c r="AN40" i="35"/>
  <c r="AA59" i="35"/>
  <c r="AN51" i="33"/>
  <c r="AM51" i="33"/>
  <c r="AJ44" i="33"/>
  <c r="AJ36" i="33"/>
  <c r="AJ61" i="33"/>
  <c r="AJ53" i="33"/>
  <c r="AB36" i="32"/>
  <c r="AF36" i="32"/>
  <c r="AI36" i="32"/>
  <c r="AJ36" i="32"/>
  <c r="AI37" i="30"/>
  <c r="AF37" i="30"/>
  <c r="AB37" i="30"/>
  <c r="AJ37" i="30"/>
  <c r="AJ61" i="29"/>
  <c r="AF61" i="29"/>
  <c r="AI61" i="29"/>
  <c r="AB61" i="29"/>
  <c r="AI56" i="36"/>
  <c r="AJ56" i="36"/>
  <c r="AF56" i="36"/>
  <c r="AB56" i="36"/>
  <c r="AF39" i="36"/>
  <c r="AI39" i="36"/>
  <c r="AJ39" i="36"/>
  <c r="AB39" i="36"/>
  <c r="AB37" i="36"/>
  <c r="AF35" i="36"/>
  <c r="AB35" i="36"/>
  <c r="AI35" i="36"/>
  <c r="AJ35" i="36"/>
  <c r="AB47" i="36"/>
  <c r="AM55" i="35"/>
  <c r="AN55" i="35"/>
  <c r="AG53" i="34"/>
  <c r="AL46" i="34"/>
  <c r="AH46" i="34"/>
  <c r="AJ60" i="33"/>
  <c r="AA53" i="34"/>
  <c r="AJ46" i="33"/>
  <c r="AJ56" i="34"/>
  <c r="AJ51" i="33"/>
  <c r="AE66" i="33"/>
  <c r="AK66" i="33"/>
  <c r="AB35" i="32"/>
  <c r="AI35" i="32"/>
  <c r="AJ35" i="32"/>
  <c r="AF35" i="32"/>
  <c r="AM34" i="32"/>
  <c r="AN34" i="32"/>
  <c r="AI51" i="30"/>
  <c r="AF51" i="30"/>
  <c r="AB51" i="30"/>
  <c r="AJ51" i="30"/>
  <c r="AB65" i="30"/>
  <c r="AB66" i="30"/>
  <c r="AJ49" i="28"/>
  <c r="AB49" i="28"/>
  <c r="AI49" i="28"/>
  <c r="AF49" i="28"/>
  <c r="AJ64" i="28"/>
  <c r="AJ63" i="28"/>
  <c r="AJ57" i="28"/>
  <c r="AJ58" i="28"/>
  <c r="AJ43" i="28"/>
  <c r="AM44" i="29"/>
  <c r="AN44" i="29"/>
  <c r="AB56" i="28"/>
  <c r="AI37" i="29"/>
  <c r="AF37" i="29"/>
  <c r="AB37" i="29"/>
  <c r="AJ37" i="29"/>
  <c r="AN35" i="29"/>
  <c r="AM35" i="29"/>
  <c r="AB58" i="28"/>
  <c r="AF39" i="28"/>
  <c r="AI39" i="28"/>
  <c r="AB39" i="28"/>
  <c r="AJ39" i="28"/>
  <c r="AJ50" i="26"/>
  <c r="AJ40" i="28"/>
  <c r="AN37" i="27"/>
  <c r="AM37" i="27"/>
  <c r="AB56" i="26"/>
  <c r="AB66" i="26"/>
  <c r="AB41" i="26"/>
  <c r="AB53" i="26"/>
  <c r="AB65" i="26"/>
  <c r="AI38" i="25"/>
  <c r="AJ38" i="25"/>
  <c r="AB38" i="25"/>
  <c r="AF38" i="25"/>
  <c r="AF84" i="23"/>
  <c r="AJ84" i="23"/>
  <c r="AB84" i="23"/>
  <c r="AI84" i="23"/>
  <c r="AF62" i="26"/>
  <c r="AI62" i="26"/>
  <c r="AJ62" i="26"/>
  <c r="AB62" i="26"/>
  <c r="AI34" i="25"/>
  <c r="AJ34" i="25"/>
  <c r="AB34" i="25"/>
  <c r="AF34" i="25"/>
  <c r="AB73" i="26"/>
  <c r="AM77" i="23"/>
  <c r="AN77" i="23"/>
  <c r="AF66" i="23"/>
  <c r="AI66" i="23"/>
  <c r="AJ66" i="23"/>
  <c r="AB52" i="25"/>
  <c r="AF52" i="25"/>
  <c r="AI52" i="25"/>
  <c r="AJ52" i="25"/>
  <c r="AA54" i="25"/>
  <c r="AM35" i="23"/>
  <c r="AN35" i="23"/>
  <c r="AI70" i="21"/>
  <c r="AF70" i="21"/>
  <c r="AB70" i="21"/>
  <c r="AJ70" i="21"/>
  <c r="AM55" i="20"/>
  <c r="AN55" i="20"/>
  <c r="AJ63" i="22"/>
  <c r="AM73" i="21"/>
  <c r="AN73" i="21"/>
  <c r="AJ52" i="22"/>
  <c r="AM62" i="20"/>
  <c r="AN62" i="20"/>
  <c r="AJ36" i="22"/>
  <c r="AI57" i="19"/>
  <c r="AJ57" i="19"/>
  <c r="AF57" i="19"/>
  <c r="AB57" i="19"/>
  <c r="AJ56" i="22"/>
  <c r="AF50" i="21"/>
  <c r="AI50" i="21"/>
  <c r="AJ50" i="21"/>
  <c r="AM56" i="20"/>
  <c r="AN56" i="20"/>
  <c r="AM41" i="19"/>
  <c r="AN41" i="19"/>
  <c r="AI56" i="24"/>
  <c r="AL48" i="24"/>
  <c r="AM48" i="24"/>
  <c r="AM57" i="20"/>
  <c r="AN57" i="20"/>
  <c r="AL55" i="24"/>
  <c r="AM55" i="24"/>
  <c r="AN65" i="20"/>
  <c r="AM65" i="20"/>
  <c r="AJ43" i="19"/>
  <c r="AB43" i="19"/>
  <c r="AI43" i="19"/>
  <c r="AF43" i="19"/>
  <c r="AB61" i="15"/>
  <c r="AB63" i="15"/>
  <c r="AB57" i="15"/>
  <c r="AB59" i="15"/>
  <c r="AB65" i="15"/>
  <c r="AB60" i="15"/>
  <c r="AB38" i="15"/>
  <c r="AI62" i="15"/>
  <c r="AB62" i="15"/>
  <c r="AJ62" i="15"/>
  <c r="AF62" i="15"/>
  <c r="AJ72" i="15"/>
  <c r="AI57" i="24"/>
  <c r="AA54" i="70"/>
  <c r="G54" i="70" s="1"/>
  <c r="AI52" i="70"/>
  <c r="AF52" i="70"/>
  <c r="AF43" i="69"/>
  <c r="AB43" i="69"/>
  <c r="AI43" i="69"/>
  <c r="AJ43" i="69"/>
  <c r="AB64" i="15"/>
  <c r="AB98" i="68"/>
  <c r="AJ55" i="15"/>
  <c r="AB75" i="68"/>
  <c r="AA112" i="70"/>
  <c r="AJ52" i="69"/>
  <c r="AF52" i="69"/>
  <c r="AI52" i="69"/>
  <c r="AB52" i="69"/>
  <c r="AF44" i="67"/>
  <c r="AI44" i="67"/>
  <c r="AJ44" i="67"/>
  <c r="AB44" i="67"/>
  <c r="AB90" i="68"/>
  <c r="AI77" i="65"/>
  <c r="AB77" i="65"/>
  <c r="AF77" i="65"/>
  <c r="AJ77" i="65"/>
  <c r="AN47" i="67"/>
  <c r="AM47" i="67"/>
  <c r="AM97" i="65"/>
  <c r="AN97" i="65"/>
  <c r="AN39" i="67"/>
  <c r="AM39" i="67"/>
  <c r="AM35" i="67"/>
  <c r="AN35" i="67"/>
  <c r="AJ79" i="65"/>
  <c r="AM50" i="69"/>
  <c r="AN50" i="69"/>
  <c r="AM100" i="65"/>
  <c r="AN100" i="65"/>
  <c r="AJ105" i="65"/>
  <c r="AB110" i="68"/>
  <c r="AM95" i="65"/>
  <c r="AN95" i="65"/>
  <c r="AI67" i="11"/>
  <c r="AF67" i="11"/>
  <c r="AB67" i="11"/>
  <c r="AJ67" i="11"/>
  <c r="AN47" i="65"/>
  <c r="AM47" i="65"/>
  <c r="AB115" i="59"/>
  <c r="AB119" i="59"/>
  <c r="AB108" i="59"/>
  <c r="AB45" i="59"/>
  <c r="AB38" i="59"/>
  <c r="AB55" i="59"/>
  <c r="AB46" i="59"/>
  <c r="AB39" i="59"/>
  <c r="AB116" i="59"/>
  <c r="AB98" i="59"/>
  <c r="AB56" i="59"/>
  <c r="AB47" i="59"/>
  <c r="AB58" i="59"/>
  <c r="AB59" i="59"/>
  <c r="AB35" i="59"/>
  <c r="AB85" i="59"/>
  <c r="AB107" i="59"/>
  <c r="AB48" i="59"/>
  <c r="AB83" i="59"/>
  <c r="AB100" i="59"/>
  <c r="AB114" i="59"/>
  <c r="AB57" i="59"/>
  <c r="AB111" i="59"/>
  <c r="AJ76" i="11"/>
  <c r="AI76" i="11"/>
  <c r="AB76" i="11"/>
  <c r="AF76" i="11"/>
  <c r="AJ106" i="65"/>
  <c r="AM53" i="65"/>
  <c r="AN53" i="65"/>
  <c r="AM42" i="65"/>
  <c r="AN42" i="65"/>
  <c r="AJ46" i="65"/>
  <c r="AN92" i="11"/>
  <c r="AM92" i="11"/>
  <c r="AB76" i="65"/>
  <c r="AF66" i="54"/>
  <c r="AJ66" i="54"/>
  <c r="AI66" i="54"/>
  <c r="AB45" i="65"/>
  <c r="AM78" i="11"/>
  <c r="AN78" i="11"/>
  <c r="AB92" i="65"/>
  <c r="AM70" i="65"/>
  <c r="AN70" i="65"/>
  <c r="AM42" i="11"/>
  <c r="AN42" i="11"/>
  <c r="AN101" i="54"/>
  <c r="AM101" i="54"/>
  <c r="AM98" i="54"/>
  <c r="AN98" i="54"/>
  <c r="AF37" i="54"/>
  <c r="AB37" i="54"/>
  <c r="AI37" i="54"/>
  <c r="AJ37" i="54"/>
  <c r="AN87" i="53"/>
  <c r="AM87" i="53"/>
  <c r="AN48" i="53"/>
  <c r="AM48" i="53"/>
  <c r="AJ72" i="54"/>
  <c r="AF72" i="54"/>
  <c r="AI72" i="54"/>
  <c r="AA121" i="54"/>
  <c r="AB72" i="54"/>
  <c r="AJ111" i="54"/>
  <c r="AM39" i="54"/>
  <c r="AN39" i="54"/>
  <c r="AB117" i="58"/>
  <c r="AB106" i="58"/>
  <c r="AB110" i="58"/>
  <c r="AB99" i="58"/>
  <c r="AB103" i="58"/>
  <c r="AB59" i="58"/>
  <c r="AB35" i="58"/>
  <c r="AB83" i="58"/>
  <c r="AB36" i="58"/>
  <c r="AB114" i="58"/>
  <c r="AB118" i="58"/>
  <c r="AB107" i="58"/>
  <c r="AB111" i="58"/>
  <c r="AB100" i="58"/>
  <c r="AB75" i="58"/>
  <c r="AB55" i="58"/>
  <c r="AB46" i="58"/>
  <c r="AB39" i="58"/>
  <c r="AB65" i="58"/>
  <c r="AB47" i="58"/>
  <c r="AB116" i="58"/>
  <c r="AB109" i="58"/>
  <c r="AB98" i="58"/>
  <c r="AB102" i="58"/>
  <c r="AB79" i="58"/>
  <c r="AB66" i="58"/>
  <c r="AB57" i="58"/>
  <c r="AB48" i="58"/>
  <c r="AB67" i="58"/>
  <c r="AB58" i="58"/>
  <c r="AB49" i="58"/>
  <c r="AB38" i="58"/>
  <c r="AB76" i="58"/>
  <c r="AB45" i="58"/>
  <c r="AM42" i="54"/>
  <c r="AN42" i="54"/>
  <c r="AI58" i="53"/>
  <c r="AJ58" i="53"/>
  <c r="AF58" i="53"/>
  <c r="AB58" i="53"/>
  <c r="AB56" i="58"/>
  <c r="AM36" i="63"/>
  <c r="AN36" i="63"/>
  <c r="AI93" i="62"/>
  <c r="AF93" i="62"/>
  <c r="AM89" i="11"/>
  <c r="AN89" i="11"/>
  <c r="AM43" i="54"/>
  <c r="AN43" i="54"/>
  <c r="AM54" i="54"/>
  <c r="AN54" i="54"/>
  <c r="AI45" i="63"/>
  <c r="AJ45" i="63"/>
  <c r="AF45" i="63"/>
  <c r="AB45" i="63"/>
  <c r="AJ106" i="54"/>
  <c r="AJ67" i="53"/>
  <c r="AF67" i="53"/>
  <c r="AI67" i="53"/>
  <c r="AJ94" i="54"/>
  <c r="AI125" i="57"/>
  <c r="AB125" i="57"/>
  <c r="AF125" i="57"/>
  <c r="AI123" i="56"/>
  <c r="AF123" i="56"/>
  <c r="AB123" i="56"/>
  <c r="AM103" i="54"/>
  <c r="AN103" i="54"/>
  <c r="AM35" i="61"/>
  <c r="AN35" i="61"/>
  <c r="AI38" i="61"/>
  <c r="AB38" i="61"/>
  <c r="AJ38" i="61"/>
  <c r="AF38" i="61"/>
  <c r="AN38" i="52"/>
  <c r="AM38" i="52"/>
  <c r="AJ68" i="61"/>
  <c r="AN77" i="53"/>
  <c r="AM77" i="53"/>
  <c r="AM52" i="61"/>
  <c r="AN52" i="61"/>
  <c r="AM87" i="52"/>
  <c r="AN87" i="52"/>
  <c r="AB48" i="51"/>
  <c r="AB49" i="51"/>
  <c r="AI91" i="51"/>
  <c r="AJ91" i="51"/>
  <c r="AB91" i="51"/>
  <c r="AF91" i="51"/>
  <c r="AM52" i="51"/>
  <c r="AN52" i="51"/>
  <c r="AN98" i="9"/>
  <c r="AM98" i="9"/>
  <c r="AA122" i="9"/>
  <c r="AI72" i="9"/>
  <c r="AJ72" i="9"/>
  <c r="AB72" i="9"/>
  <c r="AF72" i="9"/>
  <c r="AM101" i="51"/>
  <c r="AN101" i="51"/>
  <c r="AJ62" i="51"/>
  <c r="AJ70" i="51"/>
  <c r="AJ94" i="51"/>
  <c r="AJ77" i="51"/>
  <c r="AJ102" i="51"/>
  <c r="AJ85" i="51"/>
  <c r="AJ106" i="51"/>
  <c r="AJ97" i="51"/>
  <c r="AJ82" i="51"/>
  <c r="AI79" i="51"/>
  <c r="AJ79" i="51"/>
  <c r="AF79" i="51"/>
  <c r="AB79" i="51"/>
  <c r="AN35" i="51"/>
  <c r="AM35" i="51"/>
  <c r="AA44" i="55"/>
  <c r="G43" i="55" s="1"/>
  <c r="AI42" i="55"/>
  <c r="AF42" i="55"/>
  <c r="AJ81" i="51"/>
  <c r="AJ54" i="51"/>
  <c r="AF54" i="51"/>
  <c r="AB54" i="51"/>
  <c r="AI54" i="51"/>
  <c r="AM43" i="9"/>
  <c r="AN43" i="9"/>
  <c r="AM116" i="16"/>
  <c r="AN116" i="16"/>
  <c r="AM78" i="9"/>
  <c r="AN78" i="9"/>
  <c r="AI77" i="16"/>
  <c r="AJ77" i="16"/>
  <c r="AF77" i="16"/>
  <c r="AB77" i="16"/>
  <c r="AB118" i="9"/>
  <c r="AB119" i="9"/>
  <c r="AB99" i="9"/>
  <c r="AB107" i="9"/>
  <c r="AB115" i="9"/>
  <c r="AB50" i="9"/>
  <c r="AB38" i="9"/>
  <c r="AB54" i="9"/>
  <c r="AJ87" i="9"/>
  <c r="AF145" i="17"/>
  <c r="AB145" i="17"/>
  <c r="AI145" i="17"/>
  <c r="AM107" i="16"/>
  <c r="AN107" i="16"/>
  <c r="AN119" i="16"/>
  <c r="AM119" i="16"/>
  <c r="AM50" i="16"/>
  <c r="AN50" i="16"/>
  <c r="AJ37" i="16"/>
  <c r="AI37" i="16"/>
  <c r="AB37" i="16"/>
  <c r="AF37" i="16"/>
  <c r="AM93" i="16"/>
  <c r="AN93" i="16"/>
  <c r="AM44" i="16"/>
  <c r="AN44" i="16"/>
  <c r="AF69" i="7"/>
  <c r="AI69" i="7"/>
  <c r="AM106" i="16"/>
  <c r="AN106" i="16"/>
  <c r="AJ51" i="16"/>
  <c r="AN41" i="16"/>
  <c r="AM41" i="16"/>
  <c r="AN85" i="4"/>
  <c r="AL85" i="4"/>
  <c r="AN42" i="4"/>
  <c r="AL42" i="4"/>
  <c r="AI77" i="37"/>
  <c r="AK77" i="37"/>
  <c r="S64" i="37"/>
  <c r="S74" i="37" s="1"/>
  <c r="S62" i="37"/>
  <c r="AJ112" i="16"/>
  <c r="AI65" i="4"/>
  <c r="AF65" i="4"/>
  <c r="AJ65" i="4"/>
  <c r="AB65" i="4"/>
  <c r="AM39" i="16"/>
  <c r="AN39" i="16"/>
  <c r="AB81" i="4"/>
  <c r="AF81" i="4"/>
  <c r="AI81" i="4"/>
  <c r="AJ81" i="4"/>
  <c r="AJ53" i="16"/>
  <c r="AM56" i="16"/>
  <c r="AN56" i="16"/>
  <c r="AA69" i="37"/>
  <c r="AL100" i="4"/>
  <c r="AN100" i="4"/>
  <c r="AL34" i="7"/>
  <c r="AN34" i="7"/>
  <c r="AL96" i="4"/>
  <c r="AN96" i="4"/>
  <c r="AL80" i="4"/>
  <c r="AN80" i="4"/>
  <c r="AL46" i="4"/>
  <c r="AN46" i="4"/>
  <c r="AL63" i="4"/>
  <c r="AN63" i="4"/>
  <c r="AA80" i="37"/>
  <c r="V82" i="37"/>
  <c r="V84" i="37" s="1"/>
  <c r="V85" i="37" s="1"/>
  <c r="V75" i="37"/>
  <c r="V86" i="37"/>
  <c r="V88" i="37" s="1"/>
  <c r="AN39" i="4"/>
  <c r="AL39" i="4"/>
  <c r="X86" i="37"/>
  <c r="X88" i="37" s="1"/>
  <c r="X82" i="37"/>
  <c r="X84" i="37" s="1"/>
  <c r="X85" i="37" s="1"/>
  <c r="X75" i="37"/>
  <c r="AM40" i="28"/>
  <c r="AN40" i="28"/>
  <c r="AJ59" i="23"/>
  <c r="AF59" i="23"/>
  <c r="AI59" i="23"/>
  <c r="AM41" i="23"/>
  <c r="AN41" i="23"/>
  <c r="AM38" i="20"/>
  <c r="AN38" i="20"/>
  <c r="AM83" i="23"/>
  <c r="AN83" i="23"/>
  <c r="AM80" i="23"/>
  <c r="AN80" i="23"/>
  <c r="AM68" i="22"/>
  <c r="AN68" i="22"/>
  <c r="AM36" i="22"/>
  <c r="AN36" i="22"/>
  <c r="AN64" i="20"/>
  <c r="AM64" i="20"/>
  <c r="AA58" i="24"/>
  <c r="AI58" i="24"/>
  <c r="AE58" i="24"/>
  <c r="AH58" i="24"/>
  <c r="AN39" i="15"/>
  <c r="AM39" i="15"/>
  <c r="AN60" i="20"/>
  <c r="AM60" i="20"/>
  <c r="AI37" i="18"/>
  <c r="AB37" i="18"/>
  <c r="AF37" i="18"/>
  <c r="AM45" i="24"/>
  <c r="AL45" i="24"/>
  <c r="AN56" i="15"/>
  <c r="AM56" i="15"/>
  <c r="AJ35" i="19"/>
  <c r="AB35" i="19"/>
  <c r="AI35" i="19"/>
  <c r="AF35" i="19"/>
  <c r="AM40" i="69"/>
  <c r="AN40" i="69"/>
  <c r="AI119" i="66"/>
  <c r="AF119" i="66"/>
  <c r="AB119" i="66"/>
  <c r="AL40" i="24"/>
  <c r="AM40" i="24"/>
  <c r="AF39" i="69"/>
  <c r="AJ39" i="69"/>
  <c r="AB39" i="69"/>
  <c r="AI39" i="69"/>
  <c r="AI48" i="67"/>
  <c r="AJ48" i="67"/>
  <c r="AF48" i="67"/>
  <c r="AB48" i="67"/>
  <c r="AF85" i="66"/>
  <c r="AI85" i="66"/>
  <c r="AM83" i="65"/>
  <c r="AN83" i="65"/>
  <c r="AM103" i="65"/>
  <c r="AN103" i="65"/>
  <c r="AM49" i="67"/>
  <c r="AN49" i="67"/>
  <c r="AM38" i="67"/>
  <c r="AN38" i="67"/>
  <c r="AI77" i="66"/>
  <c r="AA79" i="66"/>
  <c r="G79" i="66" s="1"/>
  <c r="AF77" i="66"/>
  <c r="AJ71" i="11"/>
  <c r="AI71" i="11"/>
  <c r="AB71" i="11"/>
  <c r="AF71" i="11"/>
  <c r="AF83" i="11"/>
  <c r="AI83" i="11"/>
  <c r="AB83" i="11"/>
  <c r="AJ83" i="11"/>
  <c r="AM37" i="65"/>
  <c r="AN37" i="65"/>
  <c r="AD127" i="59"/>
  <c r="AE126" i="59"/>
  <c r="AM54" i="65"/>
  <c r="AN54" i="65"/>
  <c r="AJ87" i="65"/>
  <c r="AJ96" i="65"/>
  <c r="AJ62" i="65"/>
  <c r="AJ69" i="65"/>
  <c r="AJ108" i="65"/>
  <c r="AN51" i="65"/>
  <c r="AM51" i="65"/>
  <c r="AJ41" i="65"/>
  <c r="AM46" i="11"/>
  <c r="AN46" i="11"/>
  <c r="AI112" i="54"/>
  <c r="AB112" i="54"/>
  <c r="AJ112" i="54"/>
  <c r="AF112" i="54"/>
  <c r="AF123" i="64"/>
  <c r="AB123" i="64"/>
  <c r="AI123" i="64"/>
  <c r="AM52" i="53"/>
  <c r="AN52" i="53"/>
  <c r="AM39" i="11"/>
  <c r="AN39" i="11"/>
  <c r="AJ113" i="54"/>
  <c r="AB113" i="54"/>
  <c r="AF113" i="54"/>
  <c r="AI113" i="54"/>
  <c r="AM40" i="63"/>
  <c r="AN40" i="63"/>
  <c r="AI49" i="63"/>
  <c r="AJ49" i="63"/>
  <c r="AF49" i="63"/>
  <c r="AB49" i="63"/>
  <c r="AM106" i="54"/>
  <c r="AN106" i="54"/>
  <c r="AN83" i="54"/>
  <c r="AM83" i="54"/>
  <c r="AI76" i="53"/>
  <c r="AJ76" i="53"/>
  <c r="AB76" i="53"/>
  <c r="AF76" i="53"/>
  <c r="AM50" i="63"/>
  <c r="AN50" i="63"/>
  <c r="AI124" i="56"/>
  <c r="AB124" i="56"/>
  <c r="AF124" i="56"/>
  <c r="AN40" i="54"/>
  <c r="AM40" i="54"/>
  <c r="AF122" i="56"/>
  <c r="AB122" i="56"/>
  <c r="AI122" i="56"/>
  <c r="AM42" i="52"/>
  <c r="AN42" i="52"/>
  <c r="AA145" i="57"/>
  <c r="AI70" i="53"/>
  <c r="AJ70" i="53"/>
  <c r="AF70" i="53"/>
  <c r="AB83" i="55"/>
  <c r="AB45" i="55"/>
  <c r="AB115" i="55"/>
  <c r="AB119" i="55"/>
  <c r="AB85" i="55"/>
  <c r="AB47" i="55"/>
  <c r="AB48" i="55"/>
  <c r="AB46" i="55"/>
  <c r="AB81" i="51"/>
  <c r="AB85" i="51"/>
  <c r="AB102" i="51"/>
  <c r="AB94" i="51"/>
  <c r="AB41" i="51"/>
  <c r="AB57" i="51"/>
  <c r="AM108" i="9"/>
  <c r="AN108" i="9"/>
  <c r="AB84" i="51"/>
  <c r="AF50" i="51"/>
  <c r="AB50" i="51"/>
  <c r="AJ50" i="51"/>
  <c r="AI50" i="51"/>
  <c r="AM35" i="52"/>
  <c r="AN35" i="52"/>
  <c r="AI83" i="51"/>
  <c r="AF83" i="51"/>
  <c r="AJ83" i="51"/>
  <c r="AB83" i="51"/>
  <c r="AM56" i="51"/>
  <c r="AN56" i="51"/>
  <c r="AM55" i="51"/>
  <c r="AN55" i="51"/>
  <c r="AB78" i="51"/>
  <c r="AB123" i="39"/>
  <c r="AF123" i="39"/>
  <c r="AI123" i="39"/>
  <c r="AN101" i="9"/>
  <c r="AM101" i="9"/>
  <c r="AM37" i="52"/>
  <c r="AN37" i="52"/>
  <c r="AF124" i="39"/>
  <c r="AB124" i="39"/>
  <c r="AI124" i="39"/>
  <c r="AI72" i="39"/>
  <c r="AF72" i="39"/>
  <c r="AA74" i="39"/>
  <c r="G73" i="39" s="1"/>
  <c r="AN76" i="9"/>
  <c r="AM76" i="9"/>
  <c r="AN104" i="9"/>
  <c r="AM104" i="9"/>
  <c r="AN90" i="9"/>
  <c r="AM90" i="9"/>
  <c r="AA148" i="17"/>
  <c r="AN49" i="9"/>
  <c r="AM49" i="9"/>
  <c r="AM80" i="9"/>
  <c r="AN80" i="9"/>
  <c r="AJ36" i="9"/>
  <c r="AF36" i="9"/>
  <c r="AB36" i="9"/>
  <c r="AI36" i="9"/>
  <c r="AM55" i="9"/>
  <c r="AN55" i="9"/>
  <c r="AF41" i="17"/>
  <c r="AI41" i="17"/>
  <c r="AA43" i="17"/>
  <c r="G42" i="17" s="1"/>
  <c r="AJ81" i="16"/>
  <c r="AF81" i="16"/>
  <c r="AB81" i="16"/>
  <c r="AI81" i="16"/>
  <c r="AF94" i="16"/>
  <c r="AI94" i="16"/>
  <c r="AB94" i="16"/>
  <c r="AJ94" i="16"/>
  <c r="AF48" i="9"/>
  <c r="AB48" i="9"/>
  <c r="AI48" i="9"/>
  <c r="AJ48" i="9"/>
  <c r="AN87" i="9"/>
  <c r="AM87" i="9"/>
  <c r="AN57" i="9"/>
  <c r="AM57" i="9"/>
  <c r="AF77" i="17"/>
  <c r="AI77" i="17"/>
  <c r="AA94" i="17"/>
  <c r="G93" i="17" s="1"/>
  <c r="AA79" i="17"/>
  <c r="G78" i="17" s="1"/>
  <c r="AM111" i="16"/>
  <c r="AN111" i="16"/>
  <c r="AN96" i="16"/>
  <c r="AM96" i="16"/>
  <c r="AM109" i="16"/>
  <c r="AN109" i="16"/>
  <c r="AL86" i="4"/>
  <c r="AN86" i="4"/>
  <c r="AL50" i="4"/>
  <c r="AN50" i="4"/>
  <c r="AI46" i="37"/>
  <c r="AK46" i="37"/>
  <c r="AJ86" i="16"/>
  <c r="AJ100" i="16"/>
  <c r="AM76" i="16"/>
  <c r="AN76" i="16"/>
  <c r="AJ52" i="16"/>
  <c r="AJ69" i="4"/>
  <c r="AF69" i="4"/>
  <c r="AB69" i="4"/>
  <c r="AI69" i="4"/>
  <c r="AF37" i="4"/>
  <c r="AI37" i="4"/>
  <c r="AB37" i="4"/>
  <c r="AJ37" i="4"/>
  <c r="AJ48" i="16"/>
  <c r="AJ39" i="16"/>
  <c r="AI139" i="6"/>
  <c r="AF139" i="6"/>
  <c r="AJ89" i="4"/>
  <c r="AF89" i="4"/>
  <c r="AB89" i="4"/>
  <c r="AI89" i="4"/>
  <c r="AJ68" i="16"/>
  <c r="AM42" i="16"/>
  <c r="AN42" i="16"/>
  <c r="AF125" i="6"/>
  <c r="AI125" i="6"/>
  <c r="AG61" i="37"/>
  <c r="AF64" i="37"/>
  <c r="AF62" i="37"/>
  <c r="AG62" i="37" s="1"/>
  <c r="AI70" i="7"/>
  <c r="AF70" i="7"/>
  <c r="AL57" i="4"/>
  <c r="AN57" i="4"/>
  <c r="AB60" i="34"/>
  <c r="AF60" i="34"/>
  <c r="AM42" i="29"/>
  <c r="AN42" i="29"/>
  <c r="AN52" i="26"/>
  <c r="AM52" i="26"/>
  <c r="AI59" i="26"/>
  <c r="AJ59" i="26"/>
  <c r="AB59" i="26"/>
  <c r="AF59" i="26"/>
  <c r="AM46" i="26"/>
  <c r="AN46" i="26"/>
  <c r="AF74" i="23"/>
  <c r="AI74" i="23"/>
  <c r="AJ74" i="23"/>
  <c r="AJ67" i="26"/>
  <c r="AI67" i="26"/>
  <c r="AF67" i="26"/>
  <c r="AB67" i="26"/>
  <c r="AJ58" i="26"/>
  <c r="AJ66" i="26"/>
  <c r="AJ73" i="26"/>
  <c r="AJ57" i="26"/>
  <c r="AJ45" i="26"/>
  <c r="AD59" i="35"/>
  <c r="AE59" i="35" s="1"/>
  <c r="AK52" i="35"/>
  <c r="AE52" i="35"/>
  <c r="AM55" i="36"/>
  <c r="AN55" i="36"/>
  <c r="AN55" i="33"/>
  <c r="AM55" i="33"/>
  <c r="AM44" i="36"/>
  <c r="AN44" i="36"/>
  <c r="AN39" i="35"/>
  <c r="AM39" i="35"/>
  <c r="AM39" i="34"/>
  <c r="AN39" i="34"/>
  <c r="AI56" i="33"/>
  <c r="AB56" i="33"/>
  <c r="AJ56" i="33"/>
  <c r="AF56" i="33"/>
  <c r="AN59" i="33"/>
  <c r="AM59" i="33"/>
  <c r="AF62" i="33"/>
  <c r="AI62" i="33"/>
  <c r="AB62" i="33"/>
  <c r="AJ62" i="33"/>
  <c r="AM49" i="34"/>
  <c r="AN49" i="34"/>
  <c r="AF62" i="30"/>
  <c r="AB62" i="30"/>
  <c r="AI62" i="30"/>
  <c r="AJ62" i="30"/>
  <c r="AM38" i="33"/>
  <c r="AN38" i="33"/>
  <c r="AI39" i="30"/>
  <c r="AF39" i="30"/>
  <c r="AB39" i="30"/>
  <c r="AJ39" i="30"/>
  <c r="AM64" i="29"/>
  <c r="AN64" i="29"/>
  <c r="AI55" i="30"/>
  <c r="AJ55" i="30"/>
  <c r="AB55" i="30"/>
  <c r="AF55" i="30"/>
  <c r="AN65" i="29"/>
  <c r="AM65" i="29"/>
  <c r="AM53" i="29"/>
  <c r="AN53" i="29"/>
  <c r="AM62" i="29"/>
  <c r="AN62" i="29"/>
  <c r="AI59" i="28"/>
  <c r="AJ59" i="28"/>
  <c r="AF59" i="28"/>
  <c r="AB59" i="28"/>
  <c r="AM64" i="28"/>
  <c r="AN64" i="28"/>
  <c r="AM59" i="29"/>
  <c r="AN59" i="29"/>
  <c r="AI47" i="28"/>
  <c r="AF47" i="28"/>
  <c r="AB47" i="28"/>
  <c r="AJ47" i="28"/>
  <c r="AB42" i="28"/>
  <c r="AI42" i="28"/>
  <c r="AJ42" i="28"/>
  <c r="AF42" i="28"/>
  <c r="AN77" i="26"/>
  <c r="AM77" i="26"/>
  <c r="AJ52" i="26"/>
  <c r="AN61" i="26"/>
  <c r="AM61" i="26"/>
  <c r="AJ68" i="26"/>
  <c r="AB68" i="26"/>
  <c r="AF68" i="26"/>
  <c r="AI68" i="26"/>
  <c r="AM45" i="25"/>
  <c r="AN45" i="25"/>
  <c r="AB79" i="23"/>
  <c r="AI79" i="23"/>
  <c r="AF79" i="23"/>
  <c r="AJ79" i="23"/>
  <c r="AM48" i="23"/>
  <c r="AN48" i="23"/>
  <c r="AN66" i="21"/>
  <c r="AM66" i="21"/>
  <c r="AN36" i="25"/>
  <c r="AM36" i="25"/>
  <c r="AM64" i="26"/>
  <c r="AN64" i="26"/>
  <c r="AM51" i="26"/>
  <c r="AN51" i="26"/>
  <c r="AM50" i="25"/>
  <c r="AN50" i="25"/>
  <c r="AN46" i="23"/>
  <c r="AM46" i="23"/>
  <c r="AF35" i="26"/>
  <c r="AB35" i="26"/>
  <c r="AJ35" i="26"/>
  <c r="AI35" i="26"/>
  <c r="AJ38" i="26"/>
  <c r="AN43" i="25"/>
  <c r="AM43" i="25"/>
  <c r="AN38" i="23"/>
  <c r="AM38" i="23"/>
  <c r="AI47" i="26"/>
  <c r="AB47" i="26"/>
  <c r="AJ47" i="26"/>
  <c r="AA79" i="26"/>
  <c r="AF47" i="26"/>
  <c r="AI65" i="21"/>
  <c r="AJ65" i="21"/>
  <c r="AF65" i="21"/>
  <c r="AB65" i="21"/>
  <c r="AM67" i="20"/>
  <c r="AN67" i="20"/>
  <c r="AI51" i="21"/>
  <c r="AJ51" i="21"/>
  <c r="AF51" i="21"/>
  <c r="AM85" i="23"/>
  <c r="AN85" i="23"/>
  <c r="AB51" i="20"/>
  <c r="AF51" i="20"/>
  <c r="AI51" i="20"/>
  <c r="AJ51" i="20"/>
  <c r="AM34" i="21"/>
  <c r="AN34" i="21"/>
  <c r="AM62" i="22"/>
  <c r="AN62" i="22"/>
  <c r="AM36" i="21"/>
  <c r="AN36" i="21"/>
  <c r="AM51" i="19"/>
  <c r="AN51" i="19"/>
  <c r="AI48" i="24"/>
  <c r="AI38" i="24"/>
  <c r="AI45" i="24"/>
  <c r="AI40" i="15"/>
  <c r="AF40" i="15"/>
  <c r="AJ40" i="15"/>
  <c r="AB40" i="15"/>
  <c r="AM67" i="19"/>
  <c r="AN67" i="19"/>
  <c r="AM46" i="24"/>
  <c r="AL46" i="24"/>
  <c r="AF51" i="15"/>
  <c r="AA76" i="15"/>
  <c r="AJ51" i="15"/>
  <c r="AI51" i="15"/>
  <c r="AB51" i="15"/>
  <c r="AJ39" i="19"/>
  <c r="AB39" i="19"/>
  <c r="AF39" i="19"/>
  <c r="AI39" i="19"/>
  <c r="AM72" i="15"/>
  <c r="AN72" i="15"/>
  <c r="AN47" i="69"/>
  <c r="AM47" i="69"/>
  <c r="AA44" i="68"/>
  <c r="G44" i="68" s="1"/>
  <c r="AI42" i="68"/>
  <c r="AF42" i="68"/>
  <c r="AN54" i="69"/>
  <c r="AM54" i="69"/>
  <c r="AI40" i="24"/>
  <c r="AI108" i="70"/>
  <c r="AF108" i="70"/>
  <c r="AB108" i="70"/>
  <c r="AJ64" i="15"/>
  <c r="AJ48" i="15"/>
  <c r="AI48" i="15"/>
  <c r="AF48" i="15"/>
  <c r="AF52" i="67"/>
  <c r="AI52" i="67"/>
  <c r="AJ52" i="67"/>
  <c r="AB52" i="67"/>
  <c r="AM51" i="67"/>
  <c r="AN51" i="67"/>
  <c r="AB91" i="68"/>
  <c r="AI94" i="66"/>
  <c r="AF94" i="66"/>
  <c r="AI62" i="66"/>
  <c r="AF62" i="66"/>
  <c r="AA64" i="66"/>
  <c r="G64" i="66" s="1"/>
  <c r="AM36" i="69"/>
  <c r="AN36" i="69"/>
  <c r="AB96" i="68"/>
  <c r="AM50" i="67"/>
  <c r="AN50" i="67"/>
  <c r="AI91" i="65"/>
  <c r="AF91" i="65"/>
  <c r="AB91" i="65"/>
  <c r="AJ91" i="65"/>
  <c r="AB111" i="68"/>
  <c r="AM41" i="67"/>
  <c r="AN41" i="67"/>
  <c r="AI36" i="65"/>
  <c r="AJ36" i="65"/>
  <c r="AB36" i="65"/>
  <c r="AF36" i="65"/>
  <c r="AI75" i="11"/>
  <c r="AB75" i="11"/>
  <c r="AF75" i="11"/>
  <c r="AJ75" i="11"/>
  <c r="AN43" i="65"/>
  <c r="AM43" i="65"/>
  <c r="AI94" i="59"/>
  <c r="AF94" i="59"/>
  <c r="AN102" i="65"/>
  <c r="AM102" i="65"/>
  <c r="AN85" i="11"/>
  <c r="AM85" i="11"/>
  <c r="AJ61" i="65"/>
  <c r="AH126" i="59"/>
  <c r="AG127" i="59"/>
  <c r="AF37" i="11"/>
  <c r="AB37" i="11"/>
  <c r="AI37" i="11"/>
  <c r="AJ37" i="11"/>
  <c r="AN80" i="54"/>
  <c r="AM80" i="54"/>
  <c r="AJ99" i="65"/>
  <c r="AJ65" i="65"/>
  <c r="AJ92" i="65"/>
  <c r="AM41" i="65"/>
  <c r="AN41" i="65"/>
  <c r="AM50" i="11"/>
  <c r="AN50" i="11"/>
  <c r="AI35" i="54"/>
  <c r="AF35" i="54"/>
  <c r="AB35" i="54"/>
  <c r="AJ35" i="54"/>
  <c r="AA126" i="64"/>
  <c r="O127" i="64"/>
  <c r="AM85" i="53"/>
  <c r="AN85" i="53"/>
  <c r="AN56" i="53"/>
  <c r="AM56" i="53"/>
  <c r="AN102" i="54"/>
  <c r="AM102" i="54"/>
  <c r="AI52" i="64"/>
  <c r="AF52" i="64"/>
  <c r="AA54" i="64"/>
  <c r="G53" i="64" s="1"/>
  <c r="AI64" i="53"/>
  <c r="AF64" i="53"/>
  <c r="AJ64" i="53"/>
  <c r="AM44" i="63"/>
  <c r="AN44" i="63"/>
  <c r="AM87" i="11"/>
  <c r="AN87" i="11"/>
  <c r="AN93" i="54"/>
  <c r="AM93" i="54"/>
  <c r="AB78" i="54"/>
  <c r="AI78" i="54"/>
  <c r="AJ78" i="54"/>
  <c r="AF78" i="54"/>
  <c r="AJ54" i="54"/>
  <c r="AI53" i="63"/>
  <c r="AJ53" i="63"/>
  <c r="AF53" i="63"/>
  <c r="AB53" i="63"/>
  <c r="AF124" i="64"/>
  <c r="AI124" i="64"/>
  <c r="AB124" i="64"/>
  <c r="AM79" i="63"/>
  <c r="AN79" i="63"/>
  <c r="AA44" i="62"/>
  <c r="G43" i="62" s="1"/>
  <c r="AF42" i="62"/>
  <c r="AI42" i="62"/>
  <c r="AA91" i="52"/>
  <c r="AB72" i="52"/>
  <c r="AF72" i="52"/>
  <c r="AI72" i="52"/>
  <c r="AJ72" i="52"/>
  <c r="AJ50" i="54"/>
  <c r="AM115" i="54"/>
  <c r="AN115" i="54"/>
  <c r="AM46" i="63"/>
  <c r="AN46" i="63"/>
  <c r="AB72" i="61"/>
  <c r="AF72" i="61"/>
  <c r="AI72" i="61"/>
  <c r="AA91" i="61"/>
  <c r="AJ72" i="61"/>
  <c r="AA84" i="57"/>
  <c r="G82" i="57" s="1"/>
  <c r="AF81" i="57"/>
  <c r="AI81" i="57"/>
  <c r="AI54" i="61"/>
  <c r="AB54" i="61"/>
  <c r="AF54" i="61"/>
  <c r="AJ54" i="61"/>
  <c r="AM83" i="52"/>
  <c r="AN83" i="52"/>
  <c r="AN46" i="52"/>
  <c r="AM46" i="52"/>
  <c r="AM99" i="54"/>
  <c r="AN99" i="54"/>
  <c r="AM48" i="61"/>
  <c r="AN48" i="61"/>
  <c r="AM47" i="61"/>
  <c r="AN47" i="61"/>
  <c r="AJ83" i="53"/>
  <c r="AJ79" i="53"/>
  <c r="AJ45" i="53"/>
  <c r="AJ48" i="53"/>
  <c r="AJ56" i="53"/>
  <c r="AJ40" i="53"/>
  <c r="AI84" i="52"/>
  <c r="AF84" i="52"/>
  <c r="AJ84" i="52"/>
  <c r="AB84" i="52"/>
  <c r="AA54" i="39"/>
  <c r="G53" i="39" s="1"/>
  <c r="AI52" i="39"/>
  <c r="AF52" i="39"/>
  <c r="AA54" i="62"/>
  <c r="G53" i="62" s="1"/>
  <c r="AI52" i="62"/>
  <c r="AF52" i="62"/>
  <c r="AM38" i="63"/>
  <c r="AN38" i="63"/>
  <c r="AM54" i="63"/>
  <c r="AN54" i="63"/>
  <c r="AJ52" i="61"/>
  <c r="AJ53" i="61"/>
  <c r="AF36" i="52"/>
  <c r="AB36" i="52"/>
  <c r="AI36" i="52"/>
  <c r="AJ36" i="52"/>
  <c r="AM49" i="52"/>
  <c r="AN49" i="52"/>
  <c r="AM113" i="9"/>
  <c r="AN113" i="9"/>
  <c r="AN106" i="9"/>
  <c r="AM106" i="9"/>
  <c r="AF92" i="17"/>
  <c r="AI92" i="17"/>
  <c r="AB80" i="51"/>
  <c r="AI52" i="55"/>
  <c r="AF52" i="55"/>
  <c r="AA54" i="55"/>
  <c r="G53" i="55" s="1"/>
  <c r="AM100" i="9"/>
  <c r="AN100" i="9"/>
  <c r="AF64" i="51"/>
  <c r="AI64" i="51"/>
  <c r="AJ64" i="51"/>
  <c r="AB122" i="55"/>
  <c r="AM94" i="9"/>
  <c r="AN94" i="9"/>
  <c r="AN84" i="9"/>
  <c r="AM84" i="9"/>
  <c r="AB144" i="17"/>
  <c r="AF144" i="17"/>
  <c r="AI144" i="17"/>
  <c r="AN93" i="9"/>
  <c r="AM93" i="9"/>
  <c r="AB79" i="9"/>
  <c r="AJ39" i="9"/>
  <c r="AI85" i="16"/>
  <c r="AJ85" i="16"/>
  <c r="AF85" i="16"/>
  <c r="AB85" i="16"/>
  <c r="AB35" i="16"/>
  <c r="AI35" i="16"/>
  <c r="AJ35" i="16"/>
  <c r="AF35" i="16"/>
  <c r="AJ68" i="9"/>
  <c r="AB142" i="17"/>
  <c r="AI142" i="17"/>
  <c r="AF142" i="17"/>
  <c r="AF102" i="16"/>
  <c r="AI102" i="16"/>
  <c r="AB102" i="16"/>
  <c r="AJ102" i="16"/>
  <c r="AJ51" i="9"/>
  <c r="AJ45" i="16"/>
  <c r="AI45" i="16"/>
  <c r="AB45" i="16"/>
  <c r="AF45" i="16"/>
  <c r="AI67" i="16"/>
  <c r="AJ67" i="16"/>
  <c r="AF67" i="16"/>
  <c r="AJ44" i="9"/>
  <c r="AF44" i="9"/>
  <c r="AB44" i="9"/>
  <c r="AI44" i="9"/>
  <c r="AM120" i="16"/>
  <c r="AN120" i="16"/>
  <c r="AM115" i="16"/>
  <c r="AN115" i="16"/>
  <c r="AJ47" i="16"/>
  <c r="AF47" i="16"/>
  <c r="AI47" i="16"/>
  <c r="AB47" i="16"/>
  <c r="AM98" i="16"/>
  <c r="AN98" i="16"/>
  <c r="AJ79" i="16"/>
  <c r="AJ87" i="16"/>
  <c r="AJ75" i="16"/>
  <c r="AJ83" i="16"/>
  <c r="AJ74" i="16"/>
  <c r="AL50" i="7"/>
  <c r="AN50" i="7"/>
  <c r="AH59" i="37"/>
  <c r="AA59" i="37"/>
  <c r="AE59" i="37"/>
  <c r="Z60" i="37"/>
  <c r="AM51" i="16"/>
  <c r="AN51" i="16"/>
  <c r="O64" i="37"/>
  <c r="O74" i="37" s="1"/>
  <c r="O62" i="37"/>
  <c r="AL58" i="4"/>
  <c r="AN58" i="4"/>
  <c r="AJ116" i="16"/>
  <c r="AN112" i="16"/>
  <c r="AM112" i="16"/>
  <c r="AI138" i="6"/>
  <c r="AF138" i="6"/>
  <c r="AI41" i="4"/>
  <c r="AJ41" i="4"/>
  <c r="AF41" i="4"/>
  <c r="AB41" i="4"/>
  <c r="AI147" i="6"/>
  <c r="AF147" i="6"/>
  <c r="AN82" i="4"/>
  <c r="AL82" i="4"/>
  <c r="AM105" i="16"/>
  <c r="AN105" i="16"/>
  <c r="AM53" i="16"/>
  <c r="AN53" i="16"/>
  <c r="AM87" i="16"/>
  <c r="AN87" i="16"/>
  <c r="AJ54" i="9"/>
  <c r="AF133" i="6"/>
  <c r="AI133" i="6"/>
  <c r="T64" i="37"/>
  <c r="T74" i="37" s="1"/>
  <c r="T62" i="37"/>
  <c r="AL38" i="4"/>
  <c r="AN38" i="4"/>
  <c r="AL40" i="7"/>
  <c r="AN40" i="7"/>
  <c r="AL55" i="4"/>
  <c r="AN55" i="4"/>
  <c r="AN47" i="4"/>
  <c r="AL47" i="4"/>
  <c r="AL67" i="4"/>
  <c r="AN67" i="4"/>
  <c r="AL43" i="4"/>
  <c r="AN43" i="4"/>
  <c r="AL35" i="4"/>
  <c r="AN35" i="4"/>
  <c r="AM63" i="11" l="1"/>
  <c r="AN44" i="23"/>
  <c r="AM44" i="23"/>
  <c r="AN46" i="9"/>
  <c r="AN39" i="7"/>
  <c r="AL39" i="7"/>
  <c r="AM37" i="23"/>
  <c r="AN37" i="23"/>
  <c r="AM47" i="23"/>
  <c r="AN47" i="23"/>
  <c r="AM40" i="23"/>
  <c r="AN40" i="23"/>
  <c r="AN34" i="22"/>
  <c r="AM34" i="22"/>
  <c r="AN36" i="26"/>
  <c r="AM36" i="26"/>
  <c r="AL41" i="4"/>
  <c r="AN41" i="4"/>
  <c r="AN54" i="61"/>
  <c r="AM54" i="61"/>
  <c r="AI126" i="64"/>
  <c r="AB126" i="64"/>
  <c r="AF126" i="64"/>
  <c r="AA127" i="64"/>
  <c r="AM37" i="11"/>
  <c r="AN37" i="11"/>
  <c r="AM40" i="15"/>
  <c r="AN40" i="15"/>
  <c r="AM55" i="30"/>
  <c r="AN55" i="30"/>
  <c r="AL89" i="4"/>
  <c r="AN89" i="4"/>
  <c r="AN48" i="9"/>
  <c r="AM48" i="9"/>
  <c r="AM36" i="9"/>
  <c r="AN36" i="9"/>
  <c r="AM83" i="51"/>
  <c r="AN83" i="51"/>
  <c r="AN50" i="51"/>
  <c r="AM50" i="51"/>
  <c r="AM102" i="51"/>
  <c r="AN102" i="51"/>
  <c r="AM38" i="9"/>
  <c r="AN38" i="9"/>
  <c r="AM48" i="51"/>
  <c r="AN48" i="51"/>
  <c r="AM77" i="65"/>
  <c r="AN77" i="65"/>
  <c r="AM59" i="15"/>
  <c r="AN59" i="15"/>
  <c r="AM52" i="25"/>
  <c r="AN52" i="25"/>
  <c r="AM34" i="25"/>
  <c r="AN34" i="25"/>
  <c r="AM84" i="23"/>
  <c r="AN84" i="23"/>
  <c r="AM53" i="26"/>
  <c r="AN53" i="26"/>
  <c r="AM37" i="29"/>
  <c r="AN37" i="29"/>
  <c r="AN65" i="30"/>
  <c r="AM65" i="30"/>
  <c r="AB53" i="34"/>
  <c r="AI53" i="34"/>
  <c r="AJ53" i="34"/>
  <c r="AF53" i="34"/>
  <c r="AM36" i="32"/>
  <c r="AN36" i="32"/>
  <c r="AH89" i="37"/>
  <c r="AM87" i="51"/>
  <c r="AN87" i="51"/>
  <c r="AB126" i="56"/>
  <c r="AF126" i="56"/>
  <c r="AI126" i="56"/>
  <c r="AA127" i="56"/>
  <c r="AM50" i="61"/>
  <c r="AN50" i="61"/>
  <c r="AA127" i="57"/>
  <c r="AF126" i="57"/>
  <c r="AI126" i="57"/>
  <c r="AB126" i="57"/>
  <c r="AN94" i="65"/>
  <c r="AM94" i="65"/>
  <c r="AN72" i="11"/>
  <c r="AM72" i="11"/>
  <c r="AN101" i="65"/>
  <c r="AM101" i="65"/>
  <c r="Q86" i="37"/>
  <c r="Q88" i="37" s="1"/>
  <c r="Q82" i="37"/>
  <c r="Q84" i="37" s="1"/>
  <c r="Q85" i="37" s="1"/>
  <c r="Q75" i="37"/>
  <c r="AM89" i="9"/>
  <c r="AN89" i="9"/>
  <c r="AM96" i="54"/>
  <c r="AN96" i="54"/>
  <c r="AM44" i="69"/>
  <c r="AN44" i="69"/>
  <c r="AM41" i="69"/>
  <c r="AN41" i="69"/>
  <c r="AN90" i="23"/>
  <c r="AM90" i="23"/>
  <c r="AM85" i="9"/>
  <c r="AN85" i="9"/>
  <c r="AI126" i="62"/>
  <c r="AB126" i="62"/>
  <c r="AF126" i="62"/>
  <c r="AA127" i="62"/>
  <c r="AM58" i="15"/>
  <c r="AN58" i="15"/>
  <c r="AM36" i="34"/>
  <c r="AN36" i="34"/>
  <c r="AN56" i="9"/>
  <c r="AM56" i="9"/>
  <c r="AN72" i="51"/>
  <c r="AM72" i="51"/>
  <c r="AN46" i="61"/>
  <c r="AM46" i="61"/>
  <c r="W75" i="37"/>
  <c r="W86" i="37"/>
  <c r="W88" i="37" s="1"/>
  <c r="W82" i="37"/>
  <c r="W84" i="37" s="1"/>
  <c r="W85" i="37" s="1"/>
  <c r="AM89" i="16"/>
  <c r="AN89" i="16"/>
  <c r="AN97" i="54"/>
  <c r="AM97" i="54"/>
  <c r="AI126" i="59"/>
  <c r="AB126" i="59"/>
  <c r="AF126" i="59"/>
  <c r="AA127" i="59"/>
  <c r="AM35" i="28"/>
  <c r="AN35" i="28"/>
  <c r="AA60" i="37"/>
  <c r="L60" i="37" s="1"/>
  <c r="M60" i="37" s="1"/>
  <c r="AM36" i="52"/>
  <c r="AN36" i="52"/>
  <c r="AM53" i="63"/>
  <c r="AN53" i="63"/>
  <c r="AM78" i="54"/>
  <c r="AN78" i="54"/>
  <c r="AN47" i="26"/>
  <c r="AM47" i="26"/>
  <c r="AM56" i="33"/>
  <c r="AN56" i="33"/>
  <c r="AN85" i="51"/>
  <c r="AM85" i="51"/>
  <c r="AN83" i="11"/>
  <c r="AM83" i="11"/>
  <c r="AM50" i="9"/>
  <c r="AN50" i="9"/>
  <c r="AM57" i="15"/>
  <c r="AN57" i="15"/>
  <c r="AN57" i="19"/>
  <c r="AM57" i="19"/>
  <c r="AM41" i="26"/>
  <c r="AN41" i="26"/>
  <c r="AM39" i="28"/>
  <c r="AN39" i="28"/>
  <c r="AM56" i="36"/>
  <c r="AN56" i="36"/>
  <c r="AM36" i="36"/>
  <c r="AN36" i="36"/>
  <c r="AL73" i="4"/>
  <c r="AN73" i="4"/>
  <c r="Y86" i="37"/>
  <c r="Y88" i="37" s="1"/>
  <c r="Y82" i="37"/>
  <c r="Y84" i="37" s="1"/>
  <c r="Y85" i="37" s="1"/>
  <c r="Y75" i="37"/>
  <c r="AM82" i="51"/>
  <c r="AN82" i="51"/>
  <c r="AN72" i="53"/>
  <c r="AM72" i="53"/>
  <c r="AN53" i="54"/>
  <c r="AM53" i="54"/>
  <c r="AM84" i="65"/>
  <c r="AN84" i="65"/>
  <c r="AM53" i="28"/>
  <c r="AN53" i="28"/>
  <c r="AM46" i="30"/>
  <c r="AN46" i="30"/>
  <c r="AM63" i="30"/>
  <c r="AN63" i="30"/>
  <c r="AN47" i="53"/>
  <c r="AM47" i="53"/>
  <c r="AN105" i="54"/>
  <c r="AM105" i="54"/>
  <c r="AN45" i="54"/>
  <c r="AM45" i="54"/>
  <c r="AM41" i="30"/>
  <c r="AN41" i="30"/>
  <c r="AM40" i="27"/>
  <c r="AN40" i="27"/>
  <c r="AM48" i="33"/>
  <c r="AN48" i="33"/>
  <c r="AC74" i="37"/>
  <c r="AD64" i="37"/>
  <c r="AL84" i="4"/>
  <c r="AN84" i="4"/>
  <c r="AM47" i="51"/>
  <c r="AN47" i="51"/>
  <c r="AN69" i="15"/>
  <c r="AM69" i="15"/>
  <c r="AN39" i="26"/>
  <c r="AM39" i="26"/>
  <c r="AL76" i="4"/>
  <c r="AN76" i="4"/>
  <c r="AM80" i="53"/>
  <c r="AN80" i="53"/>
  <c r="AM49" i="25"/>
  <c r="AN49" i="25"/>
  <c r="AM50" i="30"/>
  <c r="AN50" i="30"/>
  <c r="AF126" i="55"/>
  <c r="AI126" i="55"/>
  <c r="AB126" i="55"/>
  <c r="AA127" i="55"/>
  <c r="AM38" i="53"/>
  <c r="AN38" i="53"/>
  <c r="AM57" i="36"/>
  <c r="AN57" i="36"/>
  <c r="AM92" i="23"/>
  <c r="AN92" i="23"/>
  <c r="AM46" i="27"/>
  <c r="AN46" i="27"/>
  <c r="AM51" i="20"/>
  <c r="AN51" i="20"/>
  <c r="AM65" i="21"/>
  <c r="AN65" i="21"/>
  <c r="AM35" i="26"/>
  <c r="AN35" i="26"/>
  <c r="AM68" i="26"/>
  <c r="AN68" i="26"/>
  <c r="AM62" i="33"/>
  <c r="AN62" i="33"/>
  <c r="AN84" i="51"/>
  <c r="AM84" i="51"/>
  <c r="AM81" i="51"/>
  <c r="AN81" i="51"/>
  <c r="AM39" i="69"/>
  <c r="AN39" i="69"/>
  <c r="AI80" i="37"/>
  <c r="AK80" i="37"/>
  <c r="AN65" i="4"/>
  <c r="AL65" i="4"/>
  <c r="AM37" i="16"/>
  <c r="AN37" i="16"/>
  <c r="AM115" i="9"/>
  <c r="AN115" i="9"/>
  <c r="AN54" i="51"/>
  <c r="AM54" i="51"/>
  <c r="AN37" i="54"/>
  <c r="AM37" i="54"/>
  <c r="AN67" i="11"/>
  <c r="AM67" i="11"/>
  <c r="AN43" i="69"/>
  <c r="AM43" i="69"/>
  <c r="AM63" i="15"/>
  <c r="AN63" i="15"/>
  <c r="AN66" i="26"/>
  <c r="AM66" i="26"/>
  <c r="AM51" i="30"/>
  <c r="AN51" i="30"/>
  <c r="AN35" i="32"/>
  <c r="AM35" i="32"/>
  <c r="AM35" i="36"/>
  <c r="AN35" i="36"/>
  <c r="AM37" i="30"/>
  <c r="AN37" i="30"/>
  <c r="AM52" i="36"/>
  <c r="AN52" i="36"/>
  <c r="AI70" i="37"/>
  <c r="AK70" i="37"/>
  <c r="AB126" i="58"/>
  <c r="AF126" i="58"/>
  <c r="AI126" i="58"/>
  <c r="AA127" i="58"/>
  <c r="AN108" i="65"/>
  <c r="AM108" i="65"/>
  <c r="AM45" i="69"/>
  <c r="AN45" i="69"/>
  <c r="AM42" i="30"/>
  <c r="AN42" i="30"/>
  <c r="AM46" i="35"/>
  <c r="AN46" i="35"/>
  <c r="AL45" i="7"/>
  <c r="AN45" i="7"/>
  <c r="AN40" i="9"/>
  <c r="AM40" i="9"/>
  <c r="AM82" i="11"/>
  <c r="AN82" i="11"/>
  <c r="AL60" i="24"/>
  <c r="AM60" i="24"/>
  <c r="AI96" i="23"/>
  <c r="AJ96" i="23"/>
  <c r="AB96" i="23"/>
  <c r="AA100" i="23"/>
  <c r="AF96" i="23"/>
  <c r="AM58" i="61"/>
  <c r="AN58" i="61"/>
  <c r="AN72" i="63"/>
  <c r="AM72" i="63"/>
  <c r="AN41" i="29"/>
  <c r="AM41" i="29"/>
  <c r="AN43" i="33"/>
  <c r="AM43" i="33"/>
  <c r="AM35" i="30"/>
  <c r="AN35" i="30"/>
  <c r="AN42" i="51"/>
  <c r="AM42" i="51"/>
  <c r="AM106" i="51"/>
  <c r="AN106" i="51"/>
  <c r="AM45" i="11"/>
  <c r="AN45" i="11"/>
  <c r="AN41" i="15"/>
  <c r="AM41" i="15"/>
  <c r="Z52" i="37"/>
  <c r="AH51" i="37"/>
  <c r="AA51" i="37"/>
  <c r="AE51" i="37"/>
  <c r="AN88" i="51"/>
  <c r="AM88" i="51"/>
  <c r="AI126" i="39"/>
  <c r="AF126" i="39"/>
  <c r="AB126" i="39"/>
  <c r="AA127" i="39"/>
  <c r="AM40" i="52"/>
  <c r="AN40" i="52"/>
  <c r="AM51" i="54"/>
  <c r="AN51" i="54"/>
  <c r="AM90" i="54"/>
  <c r="AN90" i="54"/>
  <c r="AM41" i="11"/>
  <c r="AN41" i="11"/>
  <c r="AM86" i="65"/>
  <c r="AN86" i="65"/>
  <c r="AM54" i="30"/>
  <c r="AN54" i="30"/>
  <c r="AN63" i="36"/>
  <c r="AM63" i="36"/>
  <c r="AM48" i="35"/>
  <c r="AN48" i="35"/>
  <c r="AK59" i="37"/>
  <c r="AI59" i="37"/>
  <c r="AN79" i="9"/>
  <c r="AM79" i="9"/>
  <c r="AM94" i="16"/>
  <c r="AN94" i="16"/>
  <c r="AM78" i="51"/>
  <c r="AN78" i="51"/>
  <c r="AM49" i="63"/>
  <c r="AN49" i="63"/>
  <c r="AN113" i="54"/>
  <c r="AM113" i="54"/>
  <c r="AL81" i="4"/>
  <c r="AN81" i="4"/>
  <c r="AM107" i="9"/>
  <c r="AN107" i="9"/>
  <c r="AM79" i="51"/>
  <c r="AN79" i="51"/>
  <c r="AM72" i="9"/>
  <c r="AN72" i="9"/>
  <c r="AM76" i="65"/>
  <c r="AN76" i="65"/>
  <c r="AM44" i="67"/>
  <c r="AN44" i="67"/>
  <c r="AB112" i="70"/>
  <c r="AI112" i="70"/>
  <c r="AF112" i="70"/>
  <c r="AA113" i="70"/>
  <c r="AN62" i="15"/>
  <c r="AM62" i="15"/>
  <c r="AM61" i="15"/>
  <c r="AN61" i="15"/>
  <c r="AM62" i="26"/>
  <c r="AN62" i="26"/>
  <c r="AN56" i="26"/>
  <c r="AM56" i="26"/>
  <c r="AN56" i="28"/>
  <c r="AM56" i="28"/>
  <c r="AM54" i="26"/>
  <c r="AN54" i="26"/>
  <c r="AI68" i="37"/>
  <c r="AK68" i="37"/>
  <c r="AK57" i="37"/>
  <c r="AI57" i="37"/>
  <c r="AM111" i="9"/>
  <c r="AN111" i="9"/>
  <c r="AN88" i="65"/>
  <c r="AM88" i="65"/>
  <c r="AM40" i="67"/>
  <c r="AN40" i="67"/>
  <c r="AM43" i="28"/>
  <c r="AN43" i="28"/>
  <c r="AM38" i="30"/>
  <c r="AN38" i="30"/>
  <c r="AM45" i="36"/>
  <c r="AN45" i="36"/>
  <c r="AM71" i="30"/>
  <c r="AN71" i="30"/>
  <c r="AM46" i="34"/>
  <c r="AN46" i="34"/>
  <c r="AI66" i="7"/>
  <c r="AF66" i="7"/>
  <c r="AL92" i="4"/>
  <c r="AN92" i="4"/>
  <c r="AM58" i="9"/>
  <c r="AN58" i="9"/>
  <c r="AM40" i="51"/>
  <c r="AN40" i="51"/>
  <c r="AN43" i="51"/>
  <c r="AM43" i="51"/>
  <c r="AN51" i="69"/>
  <c r="AM51" i="69"/>
  <c r="AM39" i="22"/>
  <c r="AN39" i="22"/>
  <c r="AN58" i="29"/>
  <c r="AM58" i="29"/>
  <c r="AF52" i="35"/>
  <c r="AJ52" i="35"/>
  <c r="AB52" i="35"/>
  <c r="AI52" i="35"/>
  <c r="AM44" i="20"/>
  <c r="AN44" i="20"/>
  <c r="AM35" i="22"/>
  <c r="AN35" i="22"/>
  <c r="AN92" i="51"/>
  <c r="AM92" i="51"/>
  <c r="AM44" i="52"/>
  <c r="AN44" i="52"/>
  <c r="AM57" i="54"/>
  <c r="AN57" i="54"/>
  <c r="AM44" i="65"/>
  <c r="AN44" i="65"/>
  <c r="AN93" i="65"/>
  <c r="AM93" i="65"/>
  <c r="AM87" i="23"/>
  <c r="AN87" i="23"/>
  <c r="AN66" i="29"/>
  <c r="AM66" i="29"/>
  <c r="AM58" i="36"/>
  <c r="AN58" i="36"/>
  <c r="AN36" i="23"/>
  <c r="AM36" i="23"/>
  <c r="AI72" i="37"/>
  <c r="AK72" i="37"/>
  <c r="AN75" i="11"/>
  <c r="AM75" i="11"/>
  <c r="AN42" i="28"/>
  <c r="AM42" i="28"/>
  <c r="AL69" i="4"/>
  <c r="AN69" i="4"/>
  <c r="AM76" i="53"/>
  <c r="AN76" i="53"/>
  <c r="AM99" i="9"/>
  <c r="AN99" i="9"/>
  <c r="AM91" i="51"/>
  <c r="AN91" i="51"/>
  <c r="AN38" i="61"/>
  <c r="AM38" i="61"/>
  <c r="AM58" i="53"/>
  <c r="AN58" i="53"/>
  <c r="AM92" i="65"/>
  <c r="AN92" i="65"/>
  <c r="AM38" i="25"/>
  <c r="AN38" i="25"/>
  <c r="AM58" i="28"/>
  <c r="AN58" i="28"/>
  <c r="AG60" i="34"/>
  <c r="AL53" i="34"/>
  <c r="AH53" i="34"/>
  <c r="AM37" i="36"/>
  <c r="AN37" i="36"/>
  <c r="AM55" i="69"/>
  <c r="AN55" i="69"/>
  <c r="AL34" i="24"/>
  <c r="AM34" i="24"/>
  <c r="AN57" i="28"/>
  <c r="AM57" i="28"/>
  <c r="AN60" i="30"/>
  <c r="AM60" i="30"/>
  <c r="AL35" i="7"/>
  <c r="AN35" i="7"/>
  <c r="AL47" i="7"/>
  <c r="AN47" i="7"/>
  <c r="AE61" i="37"/>
  <c r="AH61" i="37"/>
  <c r="AG89" i="37" s="1"/>
  <c r="AA61" i="37"/>
  <c r="Z62" i="37"/>
  <c r="AA62" i="37" s="1"/>
  <c r="AM103" i="9"/>
  <c r="AN103" i="9"/>
  <c r="AM41" i="53"/>
  <c r="AN41" i="53"/>
  <c r="AM105" i="51"/>
  <c r="AN105" i="51"/>
  <c r="AN39" i="53"/>
  <c r="AM39" i="53"/>
  <c r="AM82" i="54"/>
  <c r="AN82" i="54"/>
  <c r="AM52" i="65"/>
  <c r="AN52" i="65"/>
  <c r="AM44" i="27"/>
  <c r="AN44" i="27"/>
  <c r="AM42" i="9"/>
  <c r="AN42" i="9"/>
  <c r="AM95" i="9"/>
  <c r="AN95" i="9"/>
  <c r="AM103" i="51"/>
  <c r="AN103" i="51"/>
  <c r="AM48" i="52"/>
  <c r="AN48" i="52"/>
  <c r="AN35" i="53"/>
  <c r="AM35" i="53"/>
  <c r="AM46" i="53"/>
  <c r="AN46" i="53"/>
  <c r="AN43" i="21"/>
  <c r="AM43" i="21"/>
  <c r="AM35" i="31"/>
  <c r="AN35" i="31"/>
  <c r="AL49" i="4"/>
  <c r="AN49" i="4"/>
  <c r="AM102" i="9"/>
  <c r="AN102" i="9"/>
  <c r="AN35" i="21"/>
  <c r="AM35" i="21"/>
  <c r="AM110" i="16"/>
  <c r="AN110" i="16"/>
  <c r="AM42" i="61"/>
  <c r="AN42" i="61"/>
  <c r="AN39" i="21"/>
  <c r="AM39" i="21"/>
  <c r="AN50" i="29"/>
  <c r="AM50" i="29"/>
  <c r="AN54" i="36"/>
  <c r="AM54" i="36"/>
  <c r="AM51" i="34"/>
  <c r="AN51" i="34"/>
  <c r="AM102" i="16"/>
  <c r="AN102" i="16"/>
  <c r="AN39" i="19"/>
  <c r="AM39" i="19"/>
  <c r="AM67" i="26"/>
  <c r="AN67" i="26"/>
  <c r="AM57" i="51"/>
  <c r="AN57" i="51"/>
  <c r="AM48" i="67"/>
  <c r="AN48" i="67"/>
  <c r="AM119" i="9"/>
  <c r="AN119" i="9"/>
  <c r="AM45" i="63"/>
  <c r="AN45" i="63"/>
  <c r="AM76" i="11"/>
  <c r="AN76" i="11"/>
  <c r="AM38" i="15"/>
  <c r="AN38" i="15"/>
  <c r="AN49" i="28"/>
  <c r="AM49" i="28"/>
  <c r="AM39" i="36"/>
  <c r="AN39" i="36"/>
  <c r="AM61" i="29"/>
  <c r="AN61" i="29"/>
  <c r="AI58" i="37"/>
  <c r="AK58" i="37"/>
  <c r="AE89" i="37"/>
  <c r="AD89" i="37"/>
  <c r="AL61" i="4"/>
  <c r="AN61" i="4"/>
  <c r="AM41" i="54"/>
  <c r="AN41" i="54"/>
  <c r="AM54" i="53"/>
  <c r="AN54" i="53"/>
  <c r="AM50" i="65"/>
  <c r="AN50" i="65"/>
  <c r="AM35" i="69"/>
  <c r="AN35" i="69"/>
  <c r="AN34" i="20"/>
  <c r="AM34" i="20"/>
  <c r="AM70" i="26"/>
  <c r="AN70" i="26"/>
  <c r="AM59" i="30"/>
  <c r="AN59" i="30"/>
  <c r="Z64" i="37"/>
  <c r="N74" i="37"/>
  <c r="AM43" i="26"/>
  <c r="AN43" i="26"/>
  <c r="AM45" i="29"/>
  <c r="AN45" i="29"/>
  <c r="AM58" i="30"/>
  <c r="AN58" i="30"/>
  <c r="AM59" i="36"/>
  <c r="AN59" i="36"/>
  <c r="AM40" i="33"/>
  <c r="AN40" i="33"/>
  <c r="AK71" i="37"/>
  <c r="AI71" i="37"/>
  <c r="AM86" i="51"/>
  <c r="AN86" i="51"/>
  <c r="AM49" i="11"/>
  <c r="AN49" i="11"/>
  <c r="AM36" i="15"/>
  <c r="AN36" i="15"/>
  <c r="AM68" i="15"/>
  <c r="AN68" i="15"/>
  <c r="AM34" i="31"/>
  <c r="AN34" i="31"/>
  <c r="AM99" i="51"/>
  <c r="AN99" i="51"/>
  <c r="AM42" i="53"/>
  <c r="AN42" i="53"/>
  <c r="AM55" i="54"/>
  <c r="AN55" i="54"/>
  <c r="AM53" i="24"/>
  <c r="AL53" i="24"/>
  <c r="AM77" i="9"/>
  <c r="AN77" i="9"/>
  <c r="AM57" i="63"/>
  <c r="AN57" i="63"/>
  <c r="AM78" i="63"/>
  <c r="AN78" i="63"/>
  <c r="AM42" i="25"/>
  <c r="AN42" i="25"/>
  <c r="AN58" i="34"/>
  <c r="AM58" i="34"/>
  <c r="T75" i="37"/>
  <c r="T86" i="37"/>
  <c r="T88" i="37" s="1"/>
  <c r="T82" i="37"/>
  <c r="T84" i="37" s="1"/>
  <c r="T85" i="37" s="1"/>
  <c r="AM35" i="16"/>
  <c r="AN35" i="16"/>
  <c r="AM79" i="23"/>
  <c r="AN79" i="23"/>
  <c r="AM59" i="28"/>
  <c r="AN59" i="28"/>
  <c r="AM62" i="30"/>
  <c r="AN62" i="30"/>
  <c r="AL37" i="4"/>
  <c r="AN37" i="4"/>
  <c r="AM71" i="11"/>
  <c r="AN71" i="11"/>
  <c r="O75" i="37"/>
  <c r="O86" i="37"/>
  <c r="O88" i="37" s="1"/>
  <c r="O82" i="37"/>
  <c r="O84" i="37" s="1"/>
  <c r="O85" i="37" s="1"/>
  <c r="AM47" i="16"/>
  <c r="AN47" i="16"/>
  <c r="AM45" i="16"/>
  <c r="AN45" i="16"/>
  <c r="AN85" i="16"/>
  <c r="AM85" i="16"/>
  <c r="AN80" i="51"/>
  <c r="AM80" i="51"/>
  <c r="AM72" i="61"/>
  <c r="AN72" i="61"/>
  <c r="AM91" i="65"/>
  <c r="AN91" i="65"/>
  <c r="AM52" i="67"/>
  <c r="AN52" i="67"/>
  <c r="AM47" i="28"/>
  <c r="AN47" i="28"/>
  <c r="AM39" i="30"/>
  <c r="AN39" i="30"/>
  <c r="AG64" i="37"/>
  <c r="AF74" i="37"/>
  <c r="AM41" i="51"/>
  <c r="AN41" i="51"/>
  <c r="AM112" i="54"/>
  <c r="AN112" i="54"/>
  <c r="AM35" i="19"/>
  <c r="AN35" i="19"/>
  <c r="AL58" i="24"/>
  <c r="AM58" i="24"/>
  <c r="AM118" i="9"/>
  <c r="AN118" i="9"/>
  <c r="AN60" i="15"/>
  <c r="AM60" i="15"/>
  <c r="AN43" i="19"/>
  <c r="AM43" i="19"/>
  <c r="AM73" i="26"/>
  <c r="AN73" i="26"/>
  <c r="AM49" i="36"/>
  <c r="AN49" i="36"/>
  <c r="AM50" i="35"/>
  <c r="AN50" i="35"/>
  <c r="AM36" i="27"/>
  <c r="AN36" i="27"/>
  <c r="AI56" i="37"/>
  <c r="AK56" i="37"/>
  <c r="AM56" i="52"/>
  <c r="AN56" i="52"/>
  <c r="AN87" i="65"/>
  <c r="AM87" i="65"/>
  <c r="AM84" i="11"/>
  <c r="AN84" i="11"/>
  <c r="AN58" i="21"/>
  <c r="AM58" i="21"/>
  <c r="AM56" i="30"/>
  <c r="AN56" i="30"/>
  <c r="AM60" i="36"/>
  <c r="AN60" i="36"/>
  <c r="R86" i="37"/>
  <c r="R88" i="37" s="1"/>
  <c r="R82" i="37"/>
  <c r="R84" i="37" s="1"/>
  <c r="R85" i="37" s="1"/>
  <c r="R75" i="37"/>
  <c r="AM74" i="30"/>
  <c r="AN74" i="30"/>
  <c r="AF66" i="33"/>
  <c r="AB66" i="33"/>
  <c r="AI66" i="33"/>
  <c r="AJ66" i="33"/>
  <c r="AN96" i="51"/>
  <c r="AM96" i="51"/>
  <c r="AN43" i="53"/>
  <c r="AM43" i="53"/>
  <c r="AL52" i="24"/>
  <c r="AM52" i="24"/>
  <c r="AM46" i="25"/>
  <c r="AN46" i="25"/>
  <c r="AN79" i="61"/>
  <c r="AM79" i="61"/>
  <c r="AM86" i="54"/>
  <c r="AN86" i="54"/>
  <c r="AM47" i="54"/>
  <c r="AN47" i="54"/>
  <c r="AN73" i="11"/>
  <c r="AM73" i="11"/>
  <c r="AM40" i="65"/>
  <c r="AN40" i="65"/>
  <c r="AM43" i="30"/>
  <c r="AN43" i="30"/>
  <c r="AN44" i="28"/>
  <c r="AM44" i="28"/>
  <c r="L44" i="37"/>
  <c r="M44" i="37" s="1"/>
  <c r="AM44" i="9"/>
  <c r="AN44" i="9"/>
  <c r="AM84" i="52"/>
  <c r="AN84" i="52"/>
  <c r="AM72" i="52"/>
  <c r="AN72" i="52"/>
  <c r="AM35" i="54"/>
  <c r="AN35" i="54"/>
  <c r="AM36" i="65"/>
  <c r="AN36" i="65"/>
  <c r="AN51" i="15"/>
  <c r="AM51" i="15"/>
  <c r="AM59" i="26"/>
  <c r="AN59" i="26"/>
  <c r="AM81" i="16"/>
  <c r="AN81" i="16"/>
  <c r="AF148" i="17"/>
  <c r="AB148" i="17"/>
  <c r="AI148" i="17"/>
  <c r="AM94" i="51"/>
  <c r="AN94" i="51"/>
  <c r="AI69" i="37"/>
  <c r="AK69" i="37"/>
  <c r="S86" i="37"/>
  <c r="S88" i="37" s="1"/>
  <c r="S82" i="37"/>
  <c r="S84" i="37" s="1"/>
  <c r="S85" i="37" s="1"/>
  <c r="S75" i="37"/>
  <c r="AM54" i="9"/>
  <c r="AN54" i="9"/>
  <c r="AN77" i="16"/>
  <c r="AM77" i="16"/>
  <c r="AM49" i="51"/>
  <c r="AN49" i="51"/>
  <c r="AN72" i="54"/>
  <c r="AM72" i="54"/>
  <c r="AM45" i="65"/>
  <c r="AN45" i="65"/>
  <c r="AM52" i="69"/>
  <c r="AN52" i="69"/>
  <c r="AN64" i="15"/>
  <c r="AM64" i="15"/>
  <c r="AM65" i="15"/>
  <c r="AN65" i="15"/>
  <c r="AM70" i="21"/>
  <c r="AN70" i="21"/>
  <c r="AM65" i="26"/>
  <c r="AN65" i="26"/>
  <c r="AM66" i="30"/>
  <c r="AN66" i="30"/>
  <c r="AN47" i="36"/>
  <c r="AM47" i="36"/>
  <c r="AI59" i="35"/>
  <c r="AF59" i="35"/>
  <c r="AB59" i="35"/>
  <c r="AM37" i="31"/>
  <c r="AN37" i="31"/>
  <c r="AK78" i="37"/>
  <c r="AI78" i="37"/>
  <c r="AL43" i="7"/>
  <c r="AN43" i="7"/>
  <c r="AM52" i="9"/>
  <c r="AN52" i="9"/>
  <c r="AM41" i="63"/>
  <c r="AN41" i="63"/>
  <c r="AM81" i="65"/>
  <c r="AN81" i="65"/>
  <c r="AM68" i="11"/>
  <c r="AN68" i="11"/>
  <c r="AM56" i="65"/>
  <c r="AN56" i="65"/>
  <c r="AM54" i="24"/>
  <c r="AL54" i="24"/>
  <c r="AM35" i="20"/>
  <c r="AN35" i="20"/>
  <c r="AM43" i="22"/>
  <c r="AN43" i="22"/>
  <c r="AI65" i="33"/>
  <c r="AJ65" i="33"/>
  <c r="AF65" i="33"/>
  <c r="AB65" i="33"/>
  <c r="AM44" i="34"/>
  <c r="AN44" i="34"/>
  <c r="AN38" i="51"/>
  <c r="AM38" i="51"/>
  <c r="AN58" i="51"/>
  <c r="AM58" i="51"/>
  <c r="AM52" i="52"/>
  <c r="AN52" i="52"/>
  <c r="AM37" i="63"/>
  <c r="AN37" i="63"/>
  <c r="AM50" i="53"/>
  <c r="AN50" i="53"/>
  <c r="AM36" i="67"/>
  <c r="AN36" i="67"/>
  <c r="AM51" i="28"/>
  <c r="AN51" i="28"/>
  <c r="AN64" i="33"/>
  <c r="AM64" i="33"/>
  <c r="AM48" i="65"/>
  <c r="AN48" i="65"/>
  <c r="AN82" i="23"/>
  <c r="AM82" i="23"/>
  <c r="AM81" i="9"/>
  <c r="AN81" i="9"/>
  <c r="AM69" i="21"/>
  <c r="AN69" i="21"/>
  <c r="AL45" i="4"/>
  <c r="AN45" i="4"/>
  <c r="AN46" i="51"/>
  <c r="AM46" i="51"/>
  <c r="AM104" i="54"/>
  <c r="AN104" i="54"/>
  <c r="AM49" i="54"/>
  <c r="AN49" i="54"/>
  <c r="AM56" i="67"/>
  <c r="AN56" i="67"/>
  <c r="AM70" i="30"/>
  <c r="AN70" i="30"/>
  <c r="AN42" i="26"/>
  <c r="AM42" i="26"/>
  <c r="AC75" i="37" l="1"/>
  <c r="AD75" i="37" s="1"/>
  <c r="AC82" i="37"/>
  <c r="AC86" i="37"/>
  <c r="AD74" i="37"/>
  <c r="AM53" i="34"/>
  <c r="AN53" i="34"/>
  <c r="AI61" i="37"/>
  <c r="AK61" i="37"/>
  <c r="AM96" i="23"/>
  <c r="AN96" i="23"/>
  <c r="Z74" i="37"/>
  <c r="N75" i="37"/>
  <c r="N86" i="37"/>
  <c r="N82" i="37"/>
  <c r="AI51" i="37"/>
  <c r="AK51" i="37"/>
  <c r="AM65" i="33"/>
  <c r="AN65" i="33"/>
  <c r="AH64" i="37"/>
  <c r="AA64" i="37"/>
  <c r="AE64" i="37"/>
  <c r="AM66" i="33"/>
  <c r="AN66" i="33"/>
  <c r="L62" i="37"/>
  <c r="M62" i="37" s="1"/>
  <c r="AF86" i="37"/>
  <c r="AG74" i="37"/>
  <c r="AF82" i="37"/>
  <c r="AF75" i="37"/>
  <c r="AG75" i="37" s="1"/>
  <c r="AH60" i="34"/>
  <c r="AI60" i="34"/>
  <c r="AN52" i="35"/>
  <c r="AM52" i="35"/>
  <c r="AA52" i="37"/>
  <c r="L52" i="37"/>
  <c r="M52" i="37" s="1"/>
  <c r="AI64" i="37" l="1"/>
  <c r="AK64" i="37"/>
  <c r="AF84" i="37"/>
  <c r="AG82" i="37"/>
  <c r="AH74" i="37"/>
  <c r="AA74" i="37"/>
  <c r="AE74" i="37"/>
  <c r="Z75" i="37"/>
  <c r="AA75" i="37" s="1"/>
  <c r="AC88" i="37"/>
  <c r="AD88" i="37" s="1"/>
  <c r="AD86" i="37"/>
  <c r="AC84" i="37"/>
  <c r="AD82" i="37"/>
  <c r="N84" i="37"/>
  <c r="Z82" i="37"/>
  <c r="Z86" i="37"/>
  <c r="N88" i="37"/>
  <c r="Z88" i="37" s="1"/>
  <c r="AF88" i="37"/>
  <c r="AG88" i="37" s="1"/>
  <c r="AG86" i="37"/>
  <c r="AE82" i="37" l="1"/>
  <c r="AA82" i="37"/>
  <c r="AH82" i="37"/>
  <c r="AH86" i="37"/>
  <c r="AA86" i="37"/>
  <c r="AE86" i="37"/>
  <c r="N85" i="37"/>
  <c r="Z84" i="37"/>
  <c r="AI74" i="37"/>
  <c r="AK74" i="37"/>
  <c r="AC85" i="37"/>
  <c r="AD85" i="37" s="1"/>
  <c r="AD84" i="37"/>
  <c r="L75" i="37"/>
  <c r="M75" i="37" s="1"/>
  <c r="AF85" i="37"/>
  <c r="AG85" i="37" s="1"/>
  <c r="AG84" i="37"/>
  <c r="AA88" i="37"/>
  <c r="AH88" i="37"/>
  <c r="AE88" i="37"/>
  <c r="AE84" i="37" l="1"/>
  <c r="Z85" i="37"/>
  <c r="AA85" i="37" s="1"/>
  <c r="AH84" i="37"/>
  <c r="AA84" i="37"/>
  <c r="AI82" i="37"/>
  <c r="AK82" i="37"/>
  <c r="L85" i="37"/>
  <c r="M85" i="37" s="1"/>
  <c r="AI84" i="37" l="1"/>
  <c r="AK84"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0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1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100-000002000000}">
      <text>
        <r>
          <rPr>
            <sz val="9"/>
            <color indexed="81"/>
            <rFont val="Tahoma"/>
            <family val="2"/>
          </rPr>
          <t>Right-click to build filter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2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200-000002000000}">
      <text>
        <r>
          <rPr>
            <sz val="9"/>
            <color indexed="81"/>
            <rFont val="Tahoma"/>
            <family val="2"/>
          </rPr>
          <t>Right-click to build filter</t>
        </r>
      </text>
    </comment>
    <comment ref="K32" authorId="1" shapeId="0" xr:uid="{00000000-0006-0000-02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200-000004000000}">
      <text>
        <r>
          <rPr>
            <sz val="9"/>
            <color indexed="81"/>
            <rFont val="Tahoma"/>
            <family val="2"/>
          </rPr>
          <t>Right-click to build filter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300-000001000000}">
      <text>
        <r>
          <rPr>
            <b/>
            <sz val="9"/>
            <color indexed="81"/>
            <rFont val="Tahoma"/>
            <family val="2"/>
          </rPr>
          <t>Kaitlyn Pressley:</t>
        </r>
        <r>
          <rPr>
            <sz val="9"/>
            <color indexed="81"/>
            <rFont val="Tahoma"/>
            <family val="2"/>
          </rPr>
          <t xml:space="preserve">
For ALT scenario use only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4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400-000002000000}">
      <text>
        <r>
          <rPr>
            <sz val="9"/>
            <color indexed="81"/>
            <rFont val="Tahoma"/>
            <family val="2"/>
          </rPr>
          <t>Right-click to build filter</t>
        </r>
      </text>
    </comment>
    <comment ref="K32" authorId="1" shapeId="0" xr:uid="{00000000-0006-0000-04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400-000004000000}">
      <text>
        <r>
          <rPr>
            <sz val="9"/>
            <color indexed="81"/>
            <rFont val="Tahoma"/>
            <family val="2"/>
          </rPr>
          <t>Right-click to build filter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5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500-000002000000}">
      <text>
        <r>
          <rPr>
            <sz val="9"/>
            <color indexed="81"/>
            <rFont val="Tahoma"/>
            <family val="2"/>
          </rPr>
          <t>Right-click to build filter</t>
        </r>
      </text>
    </comment>
    <comment ref="C29" authorId="1" shapeId="0" xr:uid="{00000000-0006-0000-0500-000003000000}">
      <text>
        <r>
          <rPr>
            <sz val="9"/>
            <color indexed="81"/>
            <rFont val="Tahoma"/>
            <family val="2"/>
          </rPr>
          <t>Right-click to build filter</t>
        </r>
      </text>
    </comment>
    <comment ref="K32" authorId="1" shapeId="0" xr:uid="{00000000-0006-0000-0500-000004000000}">
      <text>
        <r>
          <rPr>
            <b/>
            <sz val="9"/>
            <color indexed="81"/>
            <rFont val="Tahoma"/>
            <family val="2"/>
          </rPr>
          <t>ekrolik:</t>
        </r>
        <r>
          <rPr>
            <sz val="9"/>
            <color indexed="81"/>
            <rFont val="Tahoma"/>
            <family val="2"/>
          </rPr>
          <t xml:space="preserve">
Drill Down Indicator.  Double Click to drill into additional detail.</t>
        </r>
      </text>
    </comment>
    <comment ref="B51" authorId="1" shapeId="0" xr:uid="{00000000-0006-0000-0500-000005000000}">
      <text>
        <r>
          <rPr>
            <sz val="9"/>
            <color indexed="81"/>
            <rFont val="Tahoma"/>
            <family val="2"/>
          </rPr>
          <t>Right-click to build filter</t>
        </r>
      </text>
    </comment>
    <comment ref="B84" authorId="1" shapeId="0" xr:uid="{00000000-0006-0000-0500-000006000000}">
      <text>
        <r>
          <rPr>
            <sz val="9"/>
            <color indexed="81"/>
            <rFont val="Tahoma"/>
            <family val="2"/>
          </rPr>
          <t>Right-click to build filter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6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600-000002000000}">
      <text>
        <r>
          <rPr>
            <sz val="9"/>
            <color indexed="81"/>
            <rFont val="Tahoma"/>
            <family val="2"/>
          </rPr>
          <t>Right-click to build filter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7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700-000002000000}">
      <text>
        <r>
          <rPr>
            <sz val="9"/>
            <color indexed="81"/>
            <rFont val="Tahoma"/>
            <family val="2"/>
          </rPr>
          <t>Right-click to build filter</t>
        </r>
      </text>
    </comment>
    <comment ref="K32" authorId="1" shapeId="0" xr:uid="{00000000-0006-0000-0700-000003000000}">
      <text>
        <r>
          <rPr>
            <b/>
            <sz val="9"/>
            <color indexed="81"/>
            <rFont val="Tahoma"/>
            <family val="2"/>
          </rPr>
          <t>ekrolik:</t>
        </r>
        <r>
          <rPr>
            <sz val="9"/>
            <color indexed="81"/>
            <rFont val="Tahoma"/>
            <family val="2"/>
          </rPr>
          <t xml:space="preserve">
Drill Down Indicator.  Double Click to drill into additional detail.</t>
        </r>
      </text>
    </comment>
    <comment ref="B62" authorId="1" shapeId="0" xr:uid="{00000000-0006-0000-0700-000004000000}">
      <text>
        <r>
          <rPr>
            <sz val="9"/>
            <color indexed="81"/>
            <rFont val="Tahoma"/>
            <family val="2"/>
          </rPr>
          <t>Right-click to build filter</t>
        </r>
      </text>
    </comment>
    <comment ref="B95" authorId="1" shapeId="0" xr:uid="{00000000-0006-0000-0700-000005000000}">
      <text>
        <r>
          <rPr>
            <sz val="9"/>
            <color indexed="81"/>
            <rFont val="Tahoma"/>
            <family val="2"/>
          </rPr>
          <t>Right-click to build filter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800-000001000000}">
      <text>
        <r>
          <rPr>
            <sz val="9"/>
            <color indexed="81"/>
            <rFont val="Tahoma"/>
            <family val="2"/>
          </rPr>
          <t>Right-click to build filter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900-000001000000}">
      <text>
        <r>
          <rPr>
            <sz val="9"/>
            <color indexed="81"/>
            <rFont val="Tahoma"/>
            <family val="2"/>
          </rPr>
          <t>Right-click to build filter</t>
        </r>
      </text>
    </comment>
    <comment ref="K32" authorId="0" shapeId="0" xr:uid="{00000000-0006-0000-09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900-000003000000}">
      <text>
        <r>
          <rPr>
            <sz val="9"/>
            <color indexed="81"/>
            <rFont val="Tahoma"/>
            <family val="2"/>
          </rPr>
          <t>Right-click to build filter</t>
        </r>
      </text>
    </comment>
    <comment ref="B95" authorId="0" shapeId="0" xr:uid="{00000000-0006-0000-0900-000004000000}">
      <text>
        <r>
          <rPr>
            <sz val="9"/>
            <color indexed="81"/>
            <rFont val="Tahoma"/>
            <family val="2"/>
          </rPr>
          <t>Right-click to build filter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A00-000001000000}">
      <text>
        <r>
          <rPr>
            <sz val="9"/>
            <color indexed="81"/>
            <rFont val="Tahoma"/>
            <family val="2"/>
          </rPr>
          <t>Right-click to build filter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B00-000001000000}">
      <text>
        <r>
          <rPr>
            <sz val="9"/>
            <color indexed="81"/>
            <rFont val="Tahoma"/>
            <family val="2"/>
          </rPr>
          <t>Right-click to build filter</t>
        </r>
      </text>
    </comment>
    <comment ref="K32" authorId="0" shapeId="0" xr:uid="{00000000-0006-0000-0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B00-000003000000}">
      <text>
        <r>
          <rPr>
            <sz val="9"/>
            <color indexed="81"/>
            <rFont val="Tahoma"/>
            <family val="2"/>
          </rPr>
          <t>Right-click to build filter</t>
        </r>
      </text>
    </comment>
    <comment ref="B95" authorId="0" shapeId="0" xr:uid="{00000000-0006-0000-0B00-000004000000}">
      <text>
        <r>
          <rPr>
            <sz val="9"/>
            <color indexed="81"/>
            <rFont val="Tahoma"/>
            <family val="2"/>
          </rPr>
          <t>Right-click to build filter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C00-000001000000}">
      <text>
        <r>
          <rPr>
            <sz val="9"/>
            <color indexed="81"/>
            <rFont val="Tahoma"/>
            <family val="2"/>
          </rPr>
          <t>Right-click to build filter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D00-000001000000}">
      <text>
        <r>
          <rPr>
            <sz val="9"/>
            <color indexed="81"/>
            <rFont val="Tahoma"/>
            <family val="2"/>
          </rPr>
          <t>Right-click to build filter</t>
        </r>
      </text>
    </comment>
    <comment ref="K32" authorId="0" shapeId="0" xr:uid="{00000000-0006-0000-0D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D00-000003000000}">
      <text>
        <r>
          <rPr>
            <sz val="9"/>
            <color indexed="81"/>
            <rFont val="Tahoma"/>
            <family val="2"/>
          </rPr>
          <t>Right-click to build filter</t>
        </r>
      </text>
    </comment>
    <comment ref="B95" authorId="0" shapeId="0" xr:uid="{00000000-0006-0000-0D00-000004000000}">
      <text>
        <r>
          <rPr>
            <sz val="9"/>
            <color indexed="81"/>
            <rFont val="Tahoma"/>
            <family val="2"/>
          </rPr>
          <t>Right-click to build filter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E00-000001000000}">
      <text>
        <r>
          <rPr>
            <sz val="9"/>
            <color indexed="81"/>
            <rFont val="Tahoma"/>
            <family val="2"/>
          </rPr>
          <t>Right-click to build filter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F00-000001000000}">
      <text>
        <r>
          <rPr>
            <sz val="9"/>
            <color indexed="81"/>
            <rFont val="Tahoma"/>
            <family val="2"/>
          </rPr>
          <t>Right-click to build filter</t>
        </r>
      </text>
    </comment>
    <comment ref="K32" authorId="0" shapeId="0" xr:uid="{00000000-0006-0000-0F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F00-000003000000}">
      <text>
        <r>
          <rPr>
            <sz val="9"/>
            <color indexed="81"/>
            <rFont val="Tahoma"/>
            <family val="2"/>
          </rPr>
          <t>Right-click to build filter</t>
        </r>
      </text>
    </comment>
    <comment ref="B95" authorId="0" shapeId="0" xr:uid="{00000000-0006-0000-0F00-000004000000}">
      <text>
        <r>
          <rPr>
            <sz val="9"/>
            <color indexed="81"/>
            <rFont val="Tahoma"/>
            <family val="2"/>
          </rPr>
          <t>Right-click to build filter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000-000001000000}">
      <text>
        <r>
          <rPr>
            <sz val="9"/>
            <color indexed="81"/>
            <rFont val="Tahoma"/>
            <family val="2"/>
          </rPr>
          <t>Right-click to build filter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100-000001000000}">
      <text>
        <r>
          <rPr>
            <sz val="9"/>
            <color indexed="81"/>
            <rFont val="Tahoma"/>
            <family val="2"/>
          </rPr>
          <t>Right-click to build filter</t>
        </r>
      </text>
    </comment>
    <comment ref="K32" authorId="0" shapeId="0" xr:uid="{00000000-0006-0000-11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100-000003000000}">
      <text>
        <r>
          <rPr>
            <sz val="9"/>
            <color indexed="81"/>
            <rFont val="Tahoma"/>
            <family val="2"/>
          </rPr>
          <t>Right-click to build filter</t>
        </r>
      </text>
    </comment>
    <comment ref="B95" authorId="0" shapeId="0" xr:uid="{00000000-0006-0000-1100-000004000000}">
      <text>
        <r>
          <rPr>
            <sz val="9"/>
            <color indexed="81"/>
            <rFont val="Tahoma"/>
            <family val="2"/>
          </rPr>
          <t>Right-click to build filter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200-000001000000}">
      <text>
        <r>
          <rPr>
            <sz val="9"/>
            <color indexed="81"/>
            <rFont val="Tahoma"/>
            <family val="2"/>
          </rPr>
          <t>Right-click to build filter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300-000001000000}">
      <text>
        <r>
          <rPr>
            <sz val="9"/>
            <color indexed="81"/>
            <rFont val="Tahoma"/>
            <family val="2"/>
          </rPr>
          <t>Right-click to build filter</t>
        </r>
      </text>
    </comment>
    <comment ref="K32" authorId="0" shapeId="0" xr:uid="{00000000-0006-0000-13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300-000003000000}">
      <text>
        <r>
          <rPr>
            <sz val="9"/>
            <color indexed="81"/>
            <rFont val="Tahoma"/>
            <family val="2"/>
          </rPr>
          <t>Right-click to build filter</t>
        </r>
      </text>
    </comment>
    <comment ref="B95" authorId="0" shapeId="0" xr:uid="{00000000-0006-0000-1300-000004000000}">
      <text>
        <r>
          <rPr>
            <sz val="9"/>
            <color indexed="81"/>
            <rFont val="Tahoma"/>
            <family val="2"/>
          </rPr>
          <t>Right-click to build filter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400-000001000000}">
      <text>
        <r>
          <rPr>
            <sz val="9"/>
            <color indexed="81"/>
            <rFont val="Tahoma"/>
            <family val="2"/>
          </rPr>
          <t>Right-click to build filter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500-000001000000}">
      <text>
        <r>
          <rPr>
            <sz val="9"/>
            <color indexed="81"/>
            <rFont val="Tahoma"/>
            <family val="2"/>
          </rPr>
          <t>Right-click to build filter</t>
        </r>
      </text>
    </comment>
    <comment ref="K32" authorId="0" shapeId="0" xr:uid="{00000000-0006-0000-15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500-000003000000}">
      <text>
        <r>
          <rPr>
            <sz val="9"/>
            <color indexed="81"/>
            <rFont val="Tahoma"/>
            <family val="2"/>
          </rPr>
          <t>Right-click to build filter</t>
        </r>
      </text>
    </comment>
    <comment ref="B95" authorId="0" shapeId="0" xr:uid="{00000000-0006-0000-1500-000004000000}">
      <text>
        <r>
          <rPr>
            <sz val="9"/>
            <color indexed="81"/>
            <rFont val="Tahoma"/>
            <family val="2"/>
          </rPr>
          <t>Right-click to build filter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600-000001000000}">
      <text>
        <r>
          <rPr>
            <sz val="9"/>
            <color indexed="81"/>
            <rFont val="Tahoma"/>
            <family val="2"/>
          </rPr>
          <t>Right-click to build filter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700-000001000000}">
      <text>
        <r>
          <rPr>
            <sz val="9"/>
            <color indexed="81"/>
            <rFont val="Tahoma"/>
            <family val="2"/>
          </rPr>
          <t>Right-click to build filter</t>
        </r>
      </text>
    </comment>
    <comment ref="K32" authorId="0" shapeId="0" xr:uid="{00000000-0006-0000-17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700-000003000000}">
      <text>
        <r>
          <rPr>
            <sz val="9"/>
            <color indexed="81"/>
            <rFont val="Tahoma"/>
            <family val="2"/>
          </rPr>
          <t>Right-click to build filter</t>
        </r>
      </text>
    </comment>
    <comment ref="B95" authorId="0" shapeId="0" xr:uid="{00000000-0006-0000-1700-000004000000}">
      <text>
        <r>
          <rPr>
            <sz val="9"/>
            <color indexed="81"/>
            <rFont val="Tahoma"/>
            <family val="2"/>
          </rPr>
          <t>Right-click to build filter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800-000001000000}">
      <text>
        <r>
          <rPr>
            <sz val="9"/>
            <color indexed="81"/>
            <rFont val="Tahoma"/>
            <family val="2"/>
          </rPr>
          <t>Right-click to build filter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900-000001000000}">
      <text>
        <r>
          <rPr>
            <sz val="9"/>
            <color indexed="81"/>
            <rFont val="Tahoma"/>
            <family val="2"/>
          </rPr>
          <t>Right-click to build filter</t>
        </r>
      </text>
    </comment>
    <comment ref="K32" authorId="0" shapeId="0" xr:uid="{00000000-0006-0000-19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900-000003000000}">
      <text>
        <r>
          <rPr>
            <sz val="9"/>
            <color indexed="81"/>
            <rFont val="Tahoma"/>
            <family val="2"/>
          </rPr>
          <t>Right-click to build filter</t>
        </r>
      </text>
    </comment>
    <comment ref="B95" authorId="0" shapeId="0" xr:uid="{00000000-0006-0000-1900-000004000000}">
      <text>
        <r>
          <rPr>
            <sz val="9"/>
            <color indexed="81"/>
            <rFont val="Tahoma"/>
            <family val="2"/>
          </rPr>
          <t>Right-click to build filter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A00-000001000000}">
      <text>
        <r>
          <rPr>
            <sz val="9"/>
            <color indexed="81"/>
            <rFont val="Tahoma"/>
            <family val="2"/>
          </rPr>
          <t>Right-click to build filter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B00-000001000000}">
      <text>
        <r>
          <rPr>
            <sz val="9"/>
            <color indexed="81"/>
            <rFont val="Tahoma"/>
            <family val="2"/>
          </rPr>
          <t>Right-click to build filter</t>
        </r>
      </text>
    </comment>
    <comment ref="K32" authorId="0" shapeId="0" xr:uid="{00000000-0006-0000-1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B00-000003000000}">
      <text>
        <r>
          <rPr>
            <sz val="9"/>
            <color indexed="81"/>
            <rFont val="Tahoma"/>
            <family val="2"/>
          </rPr>
          <t>Right-click to build filter</t>
        </r>
      </text>
    </comment>
    <comment ref="B95" authorId="0" shapeId="0" xr:uid="{00000000-0006-0000-1B00-000004000000}">
      <text>
        <r>
          <rPr>
            <sz val="9"/>
            <color indexed="81"/>
            <rFont val="Tahoma"/>
            <family val="2"/>
          </rPr>
          <t>Right-click to build filter</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C00-000001000000}">
      <text>
        <r>
          <rPr>
            <sz val="9"/>
            <color indexed="81"/>
            <rFont val="Tahoma"/>
            <family val="2"/>
          </rPr>
          <t>Right-click to build filter</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D00-000001000000}">
      <text>
        <r>
          <rPr>
            <sz val="9"/>
            <color indexed="81"/>
            <rFont val="Tahoma"/>
            <family val="2"/>
          </rPr>
          <t>Right-click to build filter</t>
        </r>
      </text>
    </comment>
    <comment ref="K32" authorId="0" shapeId="0" xr:uid="{00000000-0006-0000-1D00-000002000000}">
      <text>
        <r>
          <rPr>
            <b/>
            <sz val="9"/>
            <color indexed="81"/>
            <rFont val="Tahoma"/>
            <family val="2"/>
          </rPr>
          <t>ekrolik:</t>
        </r>
        <r>
          <rPr>
            <sz val="9"/>
            <color indexed="81"/>
            <rFont val="Tahoma"/>
            <family val="2"/>
          </rPr>
          <t xml:space="preserve">
Drill Down Indicator.  Double Click to drill into additional detail.</t>
        </r>
      </text>
    </comment>
    <comment ref="B61" authorId="0" shapeId="0" xr:uid="{00000000-0006-0000-1D00-000003000000}">
      <text>
        <r>
          <rPr>
            <sz val="9"/>
            <color indexed="81"/>
            <rFont val="Tahoma"/>
            <family val="2"/>
          </rPr>
          <t>Right-click to build filter</t>
        </r>
      </text>
    </comment>
    <comment ref="B93" authorId="0" shapeId="0" xr:uid="{00000000-0006-0000-1D00-000004000000}">
      <text>
        <r>
          <rPr>
            <sz val="9"/>
            <color indexed="81"/>
            <rFont val="Tahoma"/>
            <family val="2"/>
          </rPr>
          <t>Right-click to build filter</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E00-000001000000}">
      <text>
        <r>
          <rPr>
            <sz val="9"/>
            <color indexed="81"/>
            <rFont val="Tahoma"/>
            <family val="2"/>
          </rPr>
          <t>Right-click to build filter</t>
        </r>
      </text>
    </comment>
    <comment ref="C29" authorId="0" shapeId="0" xr:uid="{00000000-0006-0000-1E00-000002000000}">
      <text>
        <r>
          <rPr>
            <sz val="9"/>
            <color indexed="81"/>
            <rFont val="Tahoma"/>
            <family val="2"/>
          </rPr>
          <t>Right-click to build filter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F00-000001000000}">
      <text>
        <r>
          <rPr>
            <sz val="9"/>
            <color indexed="81"/>
            <rFont val="Tahoma"/>
            <family val="2"/>
          </rPr>
          <t>Right-click to build filter</t>
        </r>
      </text>
    </comment>
    <comment ref="K32" authorId="0" shapeId="0" xr:uid="{00000000-0006-0000-1F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1F00-000003000000}">
      <text>
        <r>
          <rPr>
            <sz val="9"/>
            <color indexed="81"/>
            <rFont val="Tahoma"/>
            <family val="2"/>
          </rPr>
          <t>Right-click to build filter</t>
        </r>
      </text>
    </comment>
    <comment ref="B87" authorId="0" shapeId="0" xr:uid="{00000000-0006-0000-1F00-000004000000}">
      <text>
        <r>
          <rPr>
            <sz val="9"/>
            <color indexed="81"/>
            <rFont val="Tahoma"/>
            <family val="2"/>
          </rPr>
          <t>Right-click to build filter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000-000001000000}">
      <text>
        <r>
          <rPr>
            <sz val="9"/>
            <color indexed="81"/>
            <rFont val="Tahoma"/>
            <family val="2"/>
          </rPr>
          <t>Right-click to build filter</t>
        </r>
      </text>
    </comment>
    <comment ref="K32" authorId="0" shapeId="0" xr:uid="{00000000-0006-0000-20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000-000003000000}">
      <text>
        <r>
          <rPr>
            <sz val="9"/>
            <color indexed="81"/>
            <rFont val="Tahoma"/>
            <family val="2"/>
          </rPr>
          <t>Right-click to build filter</t>
        </r>
      </text>
    </comment>
    <comment ref="B86" authorId="0" shapeId="0" xr:uid="{00000000-0006-0000-2000-000004000000}">
      <text>
        <r>
          <rPr>
            <sz val="9"/>
            <color indexed="81"/>
            <rFont val="Tahoma"/>
            <family val="2"/>
          </rPr>
          <t>Right-click to build filter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100-000001000000}">
      <text>
        <r>
          <rPr>
            <sz val="9"/>
            <color indexed="81"/>
            <rFont val="Tahoma"/>
            <family val="2"/>
          </rPr>
          <t>Right-click to build filter</t>
        </r>
      </text>
    </comment>
    <comment ref="K32" authorId="0" shapeId="0" xr:uid="{00000000-0006-0000-21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100-000003000000}">
      <text>
        <r>
          <rPr>
            <sz val="9"/>
            <color indexed="81"/>
            <rFont val="Tahoma"/>
            <family val="2"/>
          </rPr>
          <t>Right-click to build filter</t>
        </r>
      </text>
    </comment>
    <comment ref="B86" authorId="0" shapeId="0" xr:uid="{00000000-0006-0000-2100-000004000000}">
      <text>
        <r>
          <rPr>
            <sz val="9"/>
            <color indexed="81"/>
            <rFont val="Tahoma"/>
            <family val="2"/>
          </rPr>
          <t>Right-click to build filter</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200-000001000000}">
      <text>
        <r>
          <rPr>
            <sz val="9"/>
            <color indexed="81"/>
            <rFont val="Tahoma"/>
            <family val="2"/>
          </rPr>
          <t>Right-click to build filter</t>
        </r>
      </text>
    </comment>
    <comment ref="K32" authorId="0" shapeId="0" xr:uid="{00000000-0006-0000-22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2200-000003000000}">
      <text>
        <r>
          <rPr>
            <sz val="9"/>
            <color indexed="81"/>
            <rFont val="Tahoma"/>
            <family val="2"/>
          </rPr>
          <t>Right-click to build filter</t>
        </r>
      </text>
    </comment>
    <comment ref="B85" authorId="0" shapeId="0" xr:uid="{00000000-0006-0000-2200-000004000000}">
      <text>
        <r>
          <rPr>
            <sz val="9"/>
            <color indexed="81"/>
            <rFont val="Tahoma"/>
            <family val="2"/>
          </rPr>
          <t>Right-click to build filter</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300-000001000000}">
      <text>
        <r>
          <rPr>
            <sz val="9"/>
            <color indexed="81"/>
            <rFont val="Tahoma"/>
            <family val="2"/>
          </rPr>
          <t>Right-click to build filter</t>
        </r>
      </text>
    </comment>
    <comment ref="K32" authorId="0" shapeId="0" xr:uid="{00000000-0006-0000-23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300-000003000000}">
      <text>
        <r>
          <rPr>
            <sz val="9"/>
            <color indexed="81"/>
            <rFont val="Tahoma"/>
            <family val="2"/>
          </rPr>
          <t>Right-click to build filter</t>
        </r>
      </text>
    </comment>
    <comment ref="B86" authorId="0" shapeId="0" xr:uid="{00000000-0006-0000-2300-000004000000}">
      <text>
        <r>
          <rPr>
            <sz val="9"/>
            <color indexed="81"/>
            <rFont val="Tahoma"/>
            <family val="2"/>
          </rPr>
          <t>Right-click to build filter</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400-000001000000}">
      <text>
        <r>
          <rPr>
            <sz val="9"/>
            <color indexed="81"/>
            <rFont val="Tahoma"/>
            <family val="2"/>
          </rPr>
          <t>Right-click to build filter</t>
        </r>
      </text>
    </comment>
    <comment ref="K32" authorId="0" shapeId="0" xr:uid="{00000000-0006-0000-24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2400-000003000000}">
      <text>
        <r>
          <rPr>
            <sz val="9"/>
            <color indexed="81"/>
            <rFont val="Tahoma"/>
            <family val="2"/>
          </rPr>
          <t>Right-click to build filter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500-000001000000}">
      <text>
        <r>
          <rPr>
            <sz val="9"/>
            <color indexed="81"/>
            <rFont val="Tahoma"/>
            <family val="2"/>
          </rPr>
          <t>Right-click to build filter</t>
        </r>
      </text>
    </comment>
    <comment ref="K32" authorId="0" shapeId="0" xr:uid="{00000000-0006-0000-25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600-000001000000}">
      <text>
        <r>
          <rPr>
            <sz val="9"/>
            <color indexed="81"/>
            <rFont val="Tahoma"/>
            <family val="2"/>
          </rPr>
          <t>Right-click to build filter</t>
        </r>
      </text>
    </comment>
    <comment ref="C29" authorId="0" shapeId="0" xr:uid="{00000000-0006-0000-2600-000002000000}">
      <text>
        <r>
          <rPr>
            <sz val="9"/>
            <color indexed="81"/>
            <rFont val="Tahoma"/>
            <family val="2"/>
          </rPr>
          <t>Right-click to build filter</t>
        </r>
      </text>
    </comment>
    <comment ref="K32" authorId="0" shapeId="0" xr:uid="{00000000-0006-0000-2600-000003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700-000001000000}">
      <text>
        <r>
          <rPr>
            <sz val="9"/>
            <color indexed="81"/>
            <rFont val="Tahoma"/>
            <family val="2"/>
          </rPr>
          <t>Right-click to build filter</t>
        </r>
      </text>
    </comment>
    <comment ref="K32" authorId="0" shapeId="0" xr:uid="{00000000-0006-0000-27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800-000001000000}">
      <text>
        <r>
          <rPr>
            <sz val="9"/>
            <color indexed="81"/>
            <rFont val="Tahoma"/>
            <family val="2"/>
          </rPr>
          <t>Right-click to build filter</t>
        </r>
      </text>
    </comment>
    <comment ref="K32" authorId="0" shapeId="0" xr:uid="{00000000-0006-0000-28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2800-000003000000}">
      <text>
        <r>
          <rPr>
            <sz val="9"/>
            <color indexed="81"/>
            <rFont val="Tahoma"/>
            <family val="2"/>
          </rPr>
          <t>Right-click to build filter</t>
        </r>
      </text>
    </comment>
    <comment ref="B83" authorId="0" shapeId="0" xr:uid="{00000000-0006-0000-2800-000004000000}">
      <text>
        <r>
          <rPr>
            <sz val="9"/>
            <color indexed="81"/>
            <rFont val="Tahoma"/>
            <family val="2"/>
          </rPr>
          <t>Right-click to build filter</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900-000001000000}">
      <text>
        <r>
          <rPr>
            <sz val="9"/>
            <color indexed="81"/>
            <rFont val="Tahoma"/>
            <family val="2"/>
          </rPr>
          <t>Right-click to build filter</t>
        </r>
      </text>
    </comment>
    <comment ref="K32" authorId="0" shapeId="0" xr:uid="{00000000-0006-0000-29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A00-000001000000}">
      <text>
        <r>
          <rPr>
            <sz val="9"/>
            <color indexed="81"/>
            <rFont val="Tahoma"/>
            <family val="2"/>
          </rPr>
          <t>Right-click to build filter</t>
        </r>
      </text>
    </comment>
    <comment ref="K32" authorId="0" shapeId="0" xr:uid="{00000000-0006-0000-2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B00-000001000000}">
      <text>
        <r>
          <rPr>
            <sz val="9"/>
            <color indexed="81"/>
            <rFont val="Tahoma"/>
            <family val="2"/>
          </rPr>
          <t>Right-click to build filter</t>
        </r>
      </text>
    </comment>
    <comment ref="K32" authorId="0" shapeId="0" xr:uid="{00000000-0006-0000-2B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C00-000001000000}">
      <text>
        <r>
          <rPr>
            <sz val="9"/>
            <color indexed="81"/>
            <rFont val="Tahoma"/>
            <family val="2"/>
          </rPr>
          <t>Right-click to build filter</t>
        </r>
      </text>
    </comment>
    <comment ref="K32" authorId="0" shapeId="0" xr:uid="{00000000-0006-0000-2C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D00-000001000000}">
      <text>
        <r>
          <rPr>
            <sz val="9"/>
            <color indexed="81"/>
            <rFont val="Tahoma"/>
            <family val="2"/>
          </rPr>
          <t>Right-click to build filter</t>
        </r>
      </text>
    </comment>
    <comment ref="K32" authorId="0" shapeId="0" xr:uid="{00000000-0006-0000-2D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E00-000001000000}">
      <text>
        <r>
          <rPr>
            <sz val="9"/>
            <color indexed="81"/>
            <rFont val="Tahoma"/>
            <family val="2"/>
          </rPr>
          <t>Right-click to build filter</t>
        </r>
      </text>
    </comment>
    <comment ref="K32" authorId="0" shapeId="0" xr:uid="{00000000-0006-0000-2E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2E00-000003000000}">
      <text>
        <r>
          <rPr>
            <sz val="9"/>
            <color indexed="81"/>
            <rFont val="Tahoma"/>
            <family val="2"/>
          </rPr>
          <t>Right-click to build filter</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F00-000001000000}">
      <text>
        <r>
          <rPr>
            <sz val="9"/>
            <color indexed="81"/>
            <rFont val="Tahoma"/>
            <family val="2"/>
          </rPr>
          <t>Right-click to build filter</t>
        </r>
      </text>
    </comment>
    <comment ref="K32" authorId="0" shapeId="0" xr:uid="{00000000-0006-0000-2F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2F00-000003000000}">
      <text>
        <r>
          <rPr>
            <sz val="9"/>
            <color indexed="81"/>
            <rFont val="Tahoma"/>
            <family val="2"/>
          </rPr>
          <t>Right-click to build filter</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000-000001000000}">
      <text>
        <r>
          <rPr>
            <sz val="9"/>
            <color indexed="81"/>
            <rFont val="Tahoma"/>
            <family val="2"/>
          </rPr>
          <t>Right-click to build filter</t>
        </r>
      </text>
    </comment>
    <comment ref="K32" authorId="0" shapeId="0" xr:uid="{00000000-0006-0000-30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sharedStrings.xml><?xml version="1.0" encoding="utf-8"?>
<sst xmlns="http://schemas.openxmlformats.org/spreadsheetml/2006/main" count="12712" uniqueCount="955">
  <si>
    <t>RANGE</t>
  </si>
  <si>
    <t>VALUE</t>
  </si>
  <si>
    <t>PageKeyRange</t>
  </si>
  <si>
    <t>ColKeyRange</t>
  </si>
  <si>
    <t>RowKeyRange</t>
  </si>
  <si>
    <t>CellKeyRange</t>
  </si>
  <si>
    <t>GetOnlyRange</t>
  </si>
  <si>
    <t>FormatRange</t>
  </si>
  <si>
    <t>SortRange</t>
  </si>
  <si>
    <t>PARAMETER</t>
  </si>
  <si>
    <t>EXPANSION 1</t>
  </si>
  <si>
    <t>ExpandIn</t>
  </si>
  <si>
    <t>Dimension</t>
  </si>
  <si>
    <t>MemberSet</t>
  </si>
  <si>
    <t>BeforeRange</t>
  </si>
  <si>
    <t>AfterRange</t>
  </si>
  <si>
    <t>Suppress</t>
  </si>
  <si>
    <t>Insert</t>
  </si>
  <si>
    <t>TIME</t>
  </si>
  <si>
    <t>CATEGORY</t>
  </si>
  <si>
    <t>MEASURES</t>
  </si>
  <si>
    <t>ROW</t>
  </si>
  <si>
    <t>ACCOUNT</t>
  </si>
  <si>
    <t>Option</t>
  </si>
  <si>
    <t>Value</t>
  </si>
  <si>
    <t>AutoFitCol</t>
  </si>
  <si>
    <t>Bottom</t>
  </si>
  <si>
    <t>DumpDataCache</t>
  </si>
  <si>
    <t>ExpandOnly</t>
  </si>
  <si>
    <t>GroupExpansion</t>
  </si>
  <si>
    <t>HideColKeys</t>
  </si>
  <si>
    <t>HideRowKeys</t>
  </si>
  <si>
    <t>NoRefresh</t>
  </si>
  <si>
    <t>NoSend</t>
  </si>
  <si>
    <t>PctInput</t>
  </si>
  <si>
    <t>QueryEngine</t>
  </si>
  <si>
    <t>QueryType</t>
  </si>
  <si>
    <t>QueryViewName</t>
  </si>
  <si>
    <t>ShowComments</t>
  </si>
  <si>
    <t>ShowNullAsZero</t>
  </si>
  <si>
    <t>SortCol</t>
  </si>
  <si>
    <t>SqlOnly</t>
  </si>
  <si>
    <t>SumParent</t>
  </si>
  <si>
    <t>SuppressDataCol</t>
  </si>
  <si>
    <t>SuppressDataRow</t>
  </si>
  <si>
    <t>SuppressNoData</t>
  </si>
  <si>
    <t>Top</t>
  </si>
  <si>
    <t>OptionRange</t>
  </si>
  <si>
    <t>App</t>
  </si>
  <si>
    <t>FINANCE</t>
  </si>
  <si>
    <t>BUSINESSUNIT</t>
  </si>
  <si>
    <t>DATASRC</t>
  </si>
  <si>
    <t>DEPARTMENT</t>
  </si>
  <si>
    <t>INTCO</t>
  </si>
  <si>
    <t>RPTCURRENCY</t>
  </si>
  <si>
    <t>PERIODIC</t>
  </si>
  <si>
    <t>GOI</t>
  </si>
  <si>
    <t>$</t>
  </si>
  <si>
    <t>%</t>
  </si>
  <si>
    <t>TOTALADJ</t>
  </si>
  <si>
    <t>D_ROOMS_CON</t>
  </si>
  <si>
    <t>All_InterCo</t>
  </si>
  <si>
    <t>LC</t>
  </si>
  <si>
    <t>YTD</t>
  </si>
  <si>
    <t>401000</t>
  </si>
  <si>
    <t>402200</t>
  </si>
  <si>
    <t>402000</t>
  </si>
  <si>
    <t>403000</t>
  </si>
  <si>
    <t>401200</t>
  </si>
  <si>
    <t>REV</t>
  </si>
  <si>
    <t>TRANSRR</t>
  </si>
  <si>
    <t>GROUPRR</t>
  </si>
  <si>
    <t>ROOMS_TOT</t>
  </si>
  <si>
    <t>LABORRL</t>
  </si>
  <si>
    <t>SALWAG</t>
  </si>
  <si>
    <t>NONMGMT</t>
  </si>
  <si>
    <t>600000</t>
  </si>
  <si>
    <t>710000</t>
  </si>
  <si>
    <t>Y</t>
  </si>
  <si>
    <t>700000</t>
  </si>
  <si>
    <t>TOTDEPTEXP</t>
  </si>
  <si>
    <t>TOTDEPTPL</t>
  </si>
  <si>
    <t>OTHR_EXP</t>
  </si>
  <si>
    <t>R_RETAIL</t>
  </si>
  <si>
    <t>R_DISCNT</t>
  </si>
  <si>
    <t>R_NEGOT</t>
  </si>
  <si>
    <t>R_QUALF</t>
  </si>
  <si>
    <t>R_CORP</t>
  </si>
  <si>
    <t>R_ASSCN</t>
  </si>
  <si>
    <t>401800</t>
  </si>
  <si>
    <t>R_TOURW</t>
  </si>
  <si>
    <t>403990</t>
  </si>
  <si>
    <t>CRITERIA</t>
  </si>
  <si>
    <t>EVALUATE IN</t>
  </si>
  <si>
    <t>FORMAT</t>
  </si>
  <si>
    <t>USE</t>
  </si>
  <si>
    <t>PARAMETERS</t>
  </si>
  <si>
    <t>APPLY TO</t>
  </si>
  <si>
    <t>HEADING</t>
  </si>
  <si>
    <t>DATA</t>
  </si>
  <si>
    <t>ACCOUNT.STYLE=B1</t>
  </si>
  <si>
    <t>abc</t>
  </si>
  <si>
    <t>ACCOUNT.STYLE=T4</t>
  </si>
  <si>
    <t>INDENTLEVEL</t>
  </si>
  <si>
    <t>ACCOUNT.STYLE=T5</t>
  </si>
  <si>
    <t>ACCOUNT.STYLE=N</t>
  </si>
  <si>
    <t>FONTBOLD,INDENTLEVEL</t>
  </si>
  <si>
    <t>FONTBOLD,FRAME</t>
  </si>
  <si>
    <t>ACCOUNT.STYLE=T3</t>
  </si>
  <si>
    <t>ACCOUNT.STYLE=T2</t>
  </si>
  <si>
    <t>ACCOUNT.STYLE=T1</t>
  </si>
  <si>
    <t>DEP(700000)</t>
  </si>
  <si>
    <t>&lt;=== Select Category</t>
  </si>
  <si>
    <t>Double-click shaded cells to make selection</t>
  </si>
  <si>
    <t>&lt;=== Do not Delete</t>
  </si>
  <si>
    <t>Current Year</t>
  </si>
  <si>
    <t>TOTAL</t>
  </si>
  <si>
    <t>&gt;</t>
  </si>
  <si>
    <t>DEP(402000),402000,GROUPRR,DEP(401000),401000,R_CONTRACT,403000,403990,ROOMS_TOT</t>
  </si>
  <si>
    <t>R_CONTRACT</t>
  </si>
  <si>
    <t>(Drill Down Indicator - Double Click)</t>
  </si>
  <si>
    <t>402100</t>
  </si>
  <si>
    <t>402130</t>
  </si>
  <si>
    <t>402530</t>
  </si>
  <si>
    <t>402500</t>
  </si>
  <si>
    <t>402540</t>
  </si>
  <si>
    <t>402550</t>
  </si>
  <si>
    <t>402560</t>
  </si>
  <si>
    <t>402600</t>
  </si>
  <si>
    <t>402300</t>
  </si>
  <si>
    <t>402350</t>
  </si>
  <si>
    <t>402400</t>
  </si>
  <si>
    <t>402700</t>
  </si>
  <si>
    <t>402730</t>
  </si>
  <si>
    <t>401100</t>
  </si>
  <si>
    <t>401500</t>
  </si>
  <si>
    <t>401400</t>
  </si>
  <si>
    <t>401600</t>
  </si>
  <si>
    <t>401300</t>
  </si>
  <si>
    <t>401330</t>
  </si>
  <si>
    <t>401700</t>
  </si>
  <si>
    <t>902000</t>
  </si>
  <si>
    <t>S_RETAIL</t>
  </si>
  <si>
    <t>902100</t>
  </si>
  <si>
    <t>902130</t>
  </si>
  <si>
    <t>S_DISCNT</t>
  </si>
  <si>
    <t>902530</t>
  </si>
  <si>
    <t>902500</t>
  </si>
  <si>
    <t>902540</t>
  </si>
  <si>
    <t>902550</t>
  </si>
  <si>
    <t>902560</t>
  </si>
  <si>
    <t>902600</t>
  </si>
  <si>
    <t>S_NEGOT</t>
  </si>
  <si>
    <t>902300</t>
  </si>
  <si>
    <t>902350</t>
  </si>
  <si>
    <t>902200</t>
  </si>
  <si>
    <t>S_QUALF</t>
  </si>
  <si>
    <t>902700</t>
  </si>
  <si>
    <t>902730</t>
  </si>
  <si>
    <t>902400</t>
  </si>
  <si>
    <t>901000</t>
  </si>
  <si>
    <t>S_CORP</t>
  </si>
  <si>
    <t>901100</t>
  </si>
  <si>
    <t>901500</t>
  </si>
  <si>
    <t>S_ASSCN</t>
  </si>
  <si>
    <t>901200</t>
  </si>
  <si>
    <t>901600</t>
  </si>
  <si>
    <t>901800</t>
  </si>
  <si>
    <t>S_TOURW</t>
  </si>
  <si>
    <t>901300</t>
  </si>
  <si>
    <t>901330</t>
  </si>
  <si>
    <t>901400</t>
  </si>
  <si>
    <t>901700</t>
  </si>
  <si>
    <t>R_STAT</t>
  </si>
  <si>
    <t>900200</t>
  </si>
  <si>
    <t>BLANKROW</t>
  </si>
  <si>
    <t>903100</t>
  </si>
  <si>
    <t>ADR_INDT</t>
  </si>
  <si>
    <t>ADR_GROP</t>
  </si>
  <si>
    <t>ADR_CORPT</t>
  </si>
  <si>
    <t>ADR_CORP</t>
  </si>
  <si>
    <t>ADR_ENTR</t>
  </si>
  <si>
    <t>ADR_ASSCN</t>
  </si>
  <si>
    <t>ADR_ASSC</t>
  </si>
  <si>
    <t>ADR_CONV</t>
  </si>
  <si>
    <t>ADR_GGOV</t>
  </si>
  <si>
    <t>ADR_TOURW</t>
  </si>
  <si>
    <t>ADR_WHTT</t>
  </si>
  <si>
    <t>ADR_MICE</t>
  </si>
  <si>
    <t>ADR_SMERF</t>
  </si>
  <si>
    <t>ADR_RETAIL</t>
  </si>
  <si>
    <t>ADR_ROOM</t>
  </si>
  <si>
    <t>ADR_RWEB</t>
  </si>
  <si>
    <t>ADR_DISCNT</t>
  </si>
  <si>
    <t>ADR_PACK</t>
  </si>
  <si>
    <t>ADR_OTA</t>
  </si>
  <si>
    <t>ADR_BMPRO</t>
  </si>
  <si>
    <t>ADR_ADVPR</t>
  </si>
  <si>
    <t>ADR_LDISCNT</t>
  </si>
  <si>
    <t>ADR_PAPR</t>
  </si>
  <si>
    <t>ADR_NEGOT</t>
  </si>
  <si>
    <t>ADR_CONS</t>
  </si>
  <si>
    <t>ADR_NNEG</t>
  </si>
  <si>
    <t>ADR_LNEG</t>
  </si>
  <si>
    <t>ADR_QUALF</t>
  </si>
  <si>
    <t>ADR_QUDI</t>
  </si>
  <si>
    <t>ADR_TGOV</t>
  </si>
  <si>
    <t>ADR_WHOL</t>
  </si>
  <si>
    <t>KPI_ADR</t>
  </si>
  <si>
    <t>DEFAULT</t>
  </si>
  <si>
    <t>ADR_CONT</t>
  </si>
  <si>
    <t>904100</t>
  </si>
  <si>
    <t>905100</t>
  </si>
  <si>
    <t>905200</t>
  </si>
  <si>
    <t>905300</t>
  </si>
  <si>
    <t>906100</t>
  </si>
  <si>
    <t>907100</t>
  </si>
  <si>
    <t>907200</t>
  </si>
  <si>
    <t>907300</t>
  </si>
  <si>
    <t>Market Mix Analysis</t>
  </si>
  <si>
    <t>710150</t>
  </si>
  <si>
    <t>710140</t>
  </si>
  <si>
    <t>710145</t>
  </si>
  <si>
    <t>710160</t>
  </si>
  <si>
    <t>710170</t>
  </si>
  <si>
    <t>710180</t>
  </si>
  <si>
    <t>710190</t>
  </si>
  <si>
    <t>TLFEE</t>
  </si>
  <si>
    <t>TLCST</t>
  </si>
  <si>
    <t>TLOTHR</t>
  </si>
  <si>
    <t>910200</t>
  </si>
  <si>
    <t>RESATHOTEL</t>
  </si>
  <si>
    <t>910220</t>
  </si>
  <si>
    <t>910230</t>
  </si>
  <si>
    <t>910240</t>
  </si>
  <si>
    <t>910250</t>
  </si>
  <si>
    <t>TLNETRES</t>
  </si>
  <si>
    <t>D_RESV_CON</t>
  </si>
  <si>
    <t>910200,BLANKROW,DEP(TLNETRES),TLNETRES</t>
  </si>
  <si>
    <t>RESVEXP</t>
  </si>
  <si>
    <t>RESVSTAT</t>
  </si>
  <si>
    <t>OTHRESV</t>
  </si>
  <si>
    <t>Reservations Operating Expenses</t>
  </si>
  <si>
    <t>Total Reservations Expense</t>
  </si>
  <si>
    <t>ACCOUNT.ID=710000</t>
  </si>
  <si>
    <t>CRS Fee Per Call</t>
  </si>
  <si>
    <t>Net Booking Fee Per Reservation</t>
  </si>
  <si>
    <t>Kimpton Fee Per Available Room</t>
  </si>
  <si>
    <t>GDS Cost Per Reservation</t>
  </si>
  <si>
    <t>Hotel Website Fee Per Reservation</t>
  </si>
  <si>
    <t>E-Channel Fee Per Reservation</t>
  </si>
  <si>
    <t>Total Res. Exp. Per Reservation</t>
  </si>
  <si>
    <t>Payroll Cost Per Total Net Reservation</t>
  </si>
  <si>
    <t>Total Cost Per Net Reservation</t>
  </si>
  <si>
    <t>D1120</t>
  </si>
  <si>
    <t>CURRENT</t>
  </si>
  <si>
    <t>DEP(TLFEE),TLFEE,DEP(TLOTHR),TLOTHR,710000</t>
  </si>
  <si>
    <t>S_TRMSLD</t>
  </si>
  <si>
    <t>D_REST_OUTLET</t>
  </si>
  <si>
    <t>FOOD</t>
  </si>
  <si>
    <t>461100</t>
  </si>
  <si>
    <t>462100</t>
  </si>
  <si>
    <t>463100</t>
  </si>
  <si>
    <t>464100</t>
  </si>
  <si>
    <t>465100</t>
  </si>
  <si>
    <t>REV_F</t>
  </si>
  <si>
    <t>BEV</t>
  </si>
  <si>
    <t>BEV_B</t>
  </si>
  <si>
    <t>BEV_L</t>
  </si>
  <si>
    <t>BEV_D</t>
  </si>
  <si>
    <t>BEV_BAR</t>
  </si>
  <si>
    <t>BEV_PD</t>
  </si>
  <si>
    <t>REV_BEV</t>
  </si>
  <si>
    <t>REV_FB</t>
  </si>
  <si>
    <t>468300</t>
  </si>
  <si>
    <t>468350</t>
  </si>
  <si>
    <t>468550</t>
  </si>
  <si>
    <t>REV_OTHR</t>
  </si>
  <si>
    <t>Filter</t>
  </si>
  <si>
    <t>OTHR_REV</t>
  </si>
  <si>
    <t>400000</t>
  </si>
  <si>
    <t>COS</t>
  </si>
  <si>
    <t>REV_SVCCHG</t>
  </si>
  <si>
    <t>REV_MISC_OTHR</t>
  </si>
  <si>
    <t>COSFB</t>
  </si>
  <si>
    <t>561100</t>
  </si>
  <si>
    <t>COS_FB</t>
  </si>
  <si>
    <t>COSOTH</t>
  </si>
  <si>
    <t>COS_OTHR</t>
  </si>
  <si>
    <t>500001</t>
  </si>
  <si>
    <t>RETAIN(NONMGMT)</t>
  </si>
  <si>
    <t>SALY_MGMT,NONMGMT,DEP(HRLY_NONMGMT),600001,DEP(PAY_OTHER),PAYSUB1,PAYRLTD,DEP(PAY_RELATED),PAY_RELATED,600000</t>
  </si>
  <si>
    <t>KPI_GP</t>
  </si>
  <si>
    <t>NOEXPAND</t>
  </si>
  <si>
    <t>461200</t>
  </si>
  <si>
    <t>461300</t>
  </si>
  <si>
    <t>461400</t>
  </si>
  <si>
    <t>946100</t>
  </si>
  <si>
    <t>946200</t>
  </si>
  <si>
    <t>946300</t>
  </si>
  <si>
    <t>946400</t>
  </si>
  <si>
    <t>462200</t>
  </si>
  <si>
    <t>463200</t>
  </si>
  <si>
    <t>462400</t>
  </si>
  <si>
    <t>463400</t>
  </si>
  <si>
    <t>462300</t>
  </si>
  <si>
    <t>463300</t>
  </si>
  <si>
    <t>Bar</t>
  </si>
  <si>
    <t>464200</t>
  </si>
  <si>
    <t>464400</t>
  </si>
  <si>
    <t>464300</t>
  </si>
  <si>
    <t>KPI_AC</t>
  </si>
  <si>
    <t>Breakfast</t>
  </si>
  <si>
    <t>KPI_BAC</t>
  </si>
  <si>
    <t>Lunch</t>
  </si>
  <si>
    <t>KPI_LAC</t>
  </si>
  <si>
    <t>Dinner</t>
  </si>
  <si>
    <t>KPI_DAC</t>
  </si>
  <si>
    <t>KPI_B</t>
  </si>
  <si>
    <t>KPI_L</t>
  </si>
  <si>
    <t>KPI_D</t>
  </si>
  <si>
    <t>465200</t>
  </si>
  <si>
    <t>465400</t>
  </si>
  <si>
    <t>465300</t>
  </si>
  <si>
    <t>Private Dining</t>
  </si>
  <si>
    <t>KPI_PDAC</t>
  </si>
  <si>
    <t>946500</t>
  </si>
  <si>
    <t>KPI_BAR</t>
  </si>
  <si>
    <t>KPI_BARAC</t>
  </si>
  <si>
    <t>REV_PD</t>
  </si>
  <si>
    <t>Revenue Mix, Average Check, Covers</t>
  </si>
  <si>
    <t>946000</t>
  </si>
  <si>
    <t>HWHRLY_FBKIT</t>
  </si>
  <si>
    <t>HWHRLY_FBVEN</t>
  </si>
  <si>
    <t>Covers/ Labor Hour</t>
  </si>
  <si>
    <t>F&amp;B Kitchen</t>
  </si>
  <si>
    <t>F&amp;B Venues</t>
  </si>
  <si>
    <t>Liquor</t>
  </si>
  <si>
    <t>Wine</t>
  </si>
  <si>
    <t>Beer</t>
  </si>
  <si>
    <t>KPI_CL</t>
  </si>
  <si>
    <t>KPI_CW</t>
  </si>
  <si>
    <t>KPI_CB</t>
  </si>
  <si>
    <t>Beverage Revenue Mix</t>
  </si>
  <si>
    <t>(Revenue mix expressed as % of F&amp;B Revenue)</t>
  </si>
  <si>
    <t>Average Check - Verify</t>
  </si>
  <si>
    <t>D_RS_CON</t>
  </si>
  <si>
    <t>D_BCC_CON</t>
  </si>
  <si>
    <t>Totals</t>
  </si>
  <si>
    <t>D1149</t>
  </si>
  <si>
    <t>467100</t>
  </si>
  <si>
    <t>467200</t>
  </si>
  <si>
    <t>467300</t>
  </si>
  <si>
    <t>567100</t>
  </si>
  <si>
    <t>567200</t>
  </si>
  <si>
    <t>567300</t>
  </si>
  <si>
    <t>Food &amp; Beverage</t>
  </si>
  <si>
    <t>EXPANSION 2</t>
  </si>
  <si>
    <t>D_REST_CON</t>
  </si>
  <si>
    <t>D_REST_OUTLET,D_RS_CON,D_BCC_CON,D1149,D_REST_CON</t>
  </si>
  <si>
    <t>REV_F,|REV_BEV</t>
  </si>
  <si>
    <t>Static</t>
  </si>
  <si>
    <t>Mini Bar</t>
  </si>
  <si>
    <t>REV_MBFB</t>
  </si>
  <si>
    <t>GL</t>
  </si>
  <si>
    <t>D_TELCOM</t>
  </si>
  <si>
    <t>D1132</t>
  </si>
  <si>
    <t>420300</t>
  </si>
  <si>
    <t>REV_SKIN</t>
  </si>
  <si>
    <t>REV_HAIR</t>
  </si>
  <si>
    <t>REV_NAIL</t>
  </si>
  <si>
    <t>REV_FITNES</t>
  </si>
  <si>
    <t>420350</t>
  </si>
  <si>
    <t>REV_MEMBR</t>
  </si>
  <si>
    <t>REV_SPARET</t>
  </si>
  <si>
    <t>420700</t>
  </si>
  <si>
    <t>420990</t>
  </si>
  <si>
    <t>520600</t>
  </si>
  <si>
    <t>520650</t>
  </si>
  <si>
    <t>COS_SPARET</t>
  </si>
  <si>
    <t>D1133</t>
  </si>
  <si>
    <t>430100</t>
  </si>
  <si>
    <t>REV_VALPRK</t>
  </si>
  <si>
    <t>430300</t>
  </si>
  <si>
    <t>430990</t>
  </si>
  <si>
    <t>530100</t>
  </si>
  <si>
    <t>D1136</t>
  </si>
  <si>
    <t>440100</t>
  </si>
  <si>
    <t>440200</t>
  </si>
  <si>
    <t>440300</t>
  </si>
  <si>
    <t>440400</t>
  </si>
  <si>
    <t>440500</t>
  </si>
  <si>
    <t>440600</t>
  </si>
  <si>
    <t>440700</t>
  </si>
  <si>
    <t>440800</t>
  </si>
  <si>
    <t>440900</t>
  </si>
  <si>
    <t>440990</t>
  </si>
  <si>
    <t>540100</t>
  </si>
  <si>
    <t>540200</t>
  </si>
  <si>
    <t>540300</t>
  </si>
  <si>
    <t>540400</t>
  </si>
  <si>
    <t>540500</t>
  </si>
  <si>
    <t>540600</t>
  </si>
  <si>
    <t>540700</t>
  </si>
  <si>
    <t>540800</t>
  </si>
  <si>
    <t>540900</t>
  </si>
  <si>
    <t>D2149</t>
  </si>
  <si>
    <t>469100</t>
  </si>
  <si>
    <t>469200</t>
  </si>
  <si>
    <t>469300</t>
  </si>
  <si>
    <t>469400</t>
  </si>
  <si>
    <t>469500</t>
  </si>
  <si>
    <t>469600</t>
  </si>
  <si>
    <t>469700</t>
  </si>
  <si>
    <t>469800</t>
  </si>
  <si>
    <t>569100</t>
  </si>
  <si>
    <t>569200</t>
  </si>
  <si>
    <t>569300</t>
  </si>
  <si>
    <t>569400</t>
  </si>
  <si>
    <t>569500</t>
  </si>
  <si>
    <t>569600</t>
  </si>
  <si>
    <t>569700</t>
  </si>
  <si>
    <t>569800</t>
  </si>
  <si>
    <t>D1138</t>
  </si>
  <si>
    <t>410000</t>
  </si>
  <si>
    <t>450100</t>
  </si>
  <si>
    <t>450150</t>
  </si>
  <si>
    <t>450200</t>
  </si>
  <si>
    <t>450250</t>
  </si>
  <si>
    <t>450300</t>
  </si>
  <si>
    <t>450350</t>
  </si>
  <si>
    <t>450400</t>
  </si>
  <si>
    <t>450450</t>
  </si>
  <si>
    <t>450500</t>
  </si>
  <si>
    <t>450550</t>
  </si>
  <si>
    <t>450600</t>
  </si>
  <si>
    <t>450650</t>
  </si>
  <si>
    <t>510000</t>
  </si>
  <si>
    <t>550100</t>
  </si>
  <si>
    <t>550150</t>
  </si>
  <si>
    <t>550200</t>
  </si>
  <si>
    <t>550250</t>
  </si>
  <si>
    <t>550300</t>
  </si>
  <si>
    <t>550350</t>
  </si>
  <si>
    <t>550400</t>
  </si>
  <si>
    <t>550450</t>
  </si>
  <si>
    <t>550500</t>
  </si>
  <si>
    <t>550550</t>
  </si>
  <si>
    <t>550600</t>
  </si>
  <si>
    <t>550650</t>
  </si>
  <si>
    <t>Guest Communication</t>
  </si>
  <si>
    <t>Movie</t>
  </si>
  <si>
    <t>Guest Laundry</t>
  </si>
  <si>
    <t>In Room Fax</t>
  </si>
  <si>
    <t>In Room Items</t>
  </si>
  <si>
    <t>Massage</t>
  </si>
  <si>
    <t>Other 1</t>
  </si>
  <si>
    <t>Other 2</t>
  </si>
  <si>
    <t>Other 3</t>
  </si>
  <si>
    <t>Other 4</t>
  </si>
  <si>
    <t>Other 5</t>
  </si>
  <si>
    <t>Other 6</t>
  </si>
  <si>
    <t>Total Department Profit (Loss)</t>
  </si>
  <si>
    <t>D_OTHER_CON</t>
  </si>
  <si>
    <t>DIRECTEXP</t>
  </si>
  <si>
    <t>DEPARTMENT.HLEVEL&lt;&gt;3</t>
  </si>
  <si>
    <t>DEPARTMENT.HLEVEL=3</t>
  </si>
  <si>
    <t>400000|DIRECTEXP|TOTDEPTPL</t>
  </si>
  <si>
    <t>D_TELCOM,D1132,D1133,D1136,D2149,D1138</t>
  </si>
  <si>
    <t>Total Departmental Expenses</t>
  </si>
  <si>
    <t>Total Departmental Revenues</t>
  </si>
  <si>
    <t>Total Departmental Profit</t>
  </si>
  <si>
    <t>D_ROI_CON</t>
  </si>
  <si>
    <t>468990</t>
  </si>
  <si>
    <t>469990</t>
  </si>
  <si>
    <t>450375</t>
  </si>
  <si>
    <t>450380</t>
  </si>
  <si>
    <t>450385</t>
  </si>
  <si>
    <t>450390</t>
  </si>
  <si>
    <t>450395</t>
  </si>
  <si>
    <t>ALLOW_MOP</t>
  </si>
  <si>
    <t>550375</t>
  </si>
  <si>
    <t>550380</t>
  </si>
  <si>
    <t>550385</t>
  </si>
  <si>
    <t>550390</t>
  </si>
  <si>
    <t>550395</t>
  </si>
  <si>
    <t>ALLOW_FB</t>
  </si>
  <si>
    <t>Gym Pass</t>
  </si>
  <si>
    <t>Shared Facilities &amp; Services</t>
  </si>
  <si>
    <t>Retail Kiosk</t>
  </si>
  <si>
    <t>Vending Machines</t>
  </si>
  <si>
    <t>Laundry Machines</t>
  </si>
  <si>
    <t>Occasional F&amp;B</t>
  </si>
  <si>
    <t>EXP</t>
  </si>
  <si>
    <t>ADROCC</t>
  </si>
  <si>
    <t>KPI_OCCUPC</t>
  </si>
  <si>
    <t>Total ADR/ OCC%</t>
  </si>
  <si>
    <t>D_AG_CON</t>
  </si>
  <si>
    <t>D_AGHR</t>
  </si>
  <si>
    <t>D_CON</t>
  </si>
  <si>
    <t>D_IT_CON</t>
  </si>
  <si>
    <t>SYSEXP</t>
  </si>
  <si>
    <t>ITSYS_EXP</t>
  </si>
  <si>
    <t>DEP(ITSYS_EXP)|DEP(700000) AND ID &lt;&gt; ITSYS_EXP AND ID &lt;&gt; 707900</t>
  </si>
  <si>
    <t>COSSRVC</t>
  </si>
  <si>
    <t>DEP(707900)</t>
  </si>
  <si>
    <t>707901</t>
  </si>
  <si>
    <t>707902</t>
  </si>
  <si>
    <t>707903</t>
  </si>
  <si>
    <t>707904</t>
  </si>
  <si>
    <t>707905</t>
  </si>
  <si>
    <t>707900</t>
  </si>
  <si>
    <t>D_SM_CON</t>
  </si>
  <si>
    <t>D_PM_CON</t>
  </si>
  <si>
    <t>D_EC_CON</t>
  </si>
  <si>
    <t>DEP(717000),702600</t>
  </si>
  <si>
    <t>D_MGMT_CON</t>
  </si>
  <si>
    <t>DEP(731000)</t>
  </si>
  <si>
    <t>MGTFEES</t>
  </si>
  <si>
    <t>D_FIXED</t>
  </si>
  <si>
    <t>TOTAL_RENT</t>
  </si>
  <si>
    <t>TOTAL_TAX</t>
  </si>
  <si>
    <t>804100</t>
  </si>
  <si>
    <t>804110</t>
  </si>
  <si>
    <t>804120</t>
  </si>
  <si>
    <t>804000</t>
  </si>
  <si>
    <t>RENT_LB</t>
  </si>
  <si>
    <t>RENT_OTH</t>
  </si>
  <si>
    <t>752100</t>
  </si>
  <si>
    <t>752200</t>
  </si>
  <si>
    <t>752300</t>
  </si>
  <si>
    <t>752400</t>
  </si>
  <si>
    <t>751100</t>
  </si>
  <si>
    <t>751200</t>
  </si>
  <si>
    <t>751300</t>
  </si>
  <si>
    <t>751400</t>
  </si>
  <si>
    <t>751500</t>
  </si>
  <si>
    <t>751000</t>
  </si>
  <si>
    <t>801290</t>
  </si>
  <si>
    <t>801300</t>
  </si>
  <si>
    <t>801360</t>
  </si>
  <si>
    <t>MISC_NONOP</t>
  </si>
  <si>
    <t>801000</t>
  </si>
  <si>
    <t>OTHEXP</t>
  </si>
  <si>
    <t>INCOME</t>
  </si>
  <si>
    <t>OTHR_DESC</t>
  </si>
  <si>
    <t>PROP_OTAX</t>
  </si>
  <si>
    <t>RENT_DESC</t>
  </si>
  <si>
    <t>UTIL</t>
  </si>
  <si>
    <t>DEP(804000),804000,RENT_DESC,DEP(TOTAL_RENT),TOTAL_RENT,PROP_OTAX,DEP(TOTAL_TAX),TOTAL_TAX,INSRC,DEP(751000),751000,OTHR_DESC,DEP(801000),801000</t>
  </si>
  <si>
    <t>INSRC</t>
  </si>
  <si>
    <t>FONT,INDENTLEVEL</t>
  </si>
  <si>
    <t>D1228</t>
  </si>
  <si>
    <t>PAYRLTD</t>
  </si>
  <si>
    <t>799999</t>
  </si>
  <si>
    <t>Total Allocations</t>
  </si>
  <si>
    <t>Cost of House Laundry</t>
  </si>
  <si>
    <t>Total Credits</t>
  </si>
  <si>
    <t>Net Recovery</t>
  </si>
  <si>
    <t>D2259</t>
  </si>
  <si>
    <t>Supplemental Pay</t>
  </si>
  <si>
    <t>Payroll Taxes</t>
  </si>
  <si>
    <t>Employee Benefits</t>
  </si>
  <si>
    <t>D_ALLOC_CON</t>
  </si>
  <si>
    <t>DEPEXP</t>
  </si>
  <si>
    <t>UNDEXP</t>
  </si>
  <si>
    <t>D_UNALLOC_CON</t>
  </si>
  <si>
    <t>KPI_GOP</t>
  </si>
  <si>
    <t>D_PROP</t>
  </si>
  <si>
    <t xml:space="preserve">  </t>
  </si>
  <si>
    <t>EBITDA</t>
  </si>
  <si>
    <t>801100</t>
  </si>
  <si>
    <t>801400</t>
  </si>
  <si>
    <t>801900</t>
  </si>
  <si>
    <t>INCBEFNON</t>
  </si>
  <si>
    <t>NONOPP</t>
  </si>
  <si>
    <t>INTDEPAMT</t>
  </si>
  <si>
    <t>INCBEFTAX</t>
  </si>
  <si>
    <t>803000</t>
  </si>
  <si>
    <t>NETINCOME</t>
  </si>
  <si>
    <t>992200</t>
  </si>
  <si>
    <t>EBITDA: Less Replacement Reserve</t>
  </si>
  <si>
    <t>KPI_REVPAR</t>
  </si>
  <si>
    <t>D_Const_and_Reno</t>
  </si>
  <si>
    <t>NetIncome</t>
  </si>
  <si>
    <t>Total Other - Reported</t>
  </si>
  <si>
    <t>Other</t>
  </si>
  <si>
    <t>("Other" manual recalculation due to Construction and Reno departments impact.  Kimpton rolls the net affect into "Pre-Opening Expense", under Other.</t>
  </si>
  <si>
    <t>Total Other - recalcualted</t>
  </si>
  <si>
    <t>("Other" manual recalculation due to Construction and Reno departments impact)</t>
  </si>
  <si>
    <t>FRAME</t>
  </si>
  <si>
    <t>dept profit</t>
  </si>
  <si>
    <t>789110</t>
  </si>
  <si>
    <t>789115</t>
  </si>
  <si>
    <t>DEP(ALLOC_OUT)</t>
  </si>
  <si>
    <t>Allocations</t>
  </si>
  <si>
    <t>Credits</t>
  </si>
  <si>
    <t>ActualFlag</t>
  </si>
  <si>
    <t>TIMEID</t>
  </si>
  <si>
    <t>MONTH</t>
  </si>
  <si>
    <t>PERIOD</t>
  </si>
  <si>
    <t>MEASURE</t>
  </si>
  <si>
    <t>ForecastYear</t>
  </si>
  <si>
    <t>JAN</t>
  </si>
  <si>
    <t>FEB</t>
  </si>
  <si>
    <t>MAR</t>
  </si>
  <si>
    <t>APR</t>
  </si>
  <si>
    <t>MAY</t>
  </si>
  <si>
    <t>JUN</t>
  </si>
  <si>
    <t>JUL</t>
  </si>
  <si>
    <t>AUG</t>
  </si>
  <si>
    <t>SEP</t>
  </si>
  <si>
    <t>OCT</t>
  </si>
  <si>
    <t>NOV</t>
  </si>
  <si>
    <t>DEC</t>
  </si>
  <si>
    <t>P01</t>
  </si>
  <si>
    <t>P02</t>
  </si>
  <si>
    <t>P03</t>
  </si>
  <si>
    <t>P04</t>
  </si>
  <si>
    <t>P05</t>
  </si>
  <si>
    <t>P06</t>
  </si>
  <si>
    <t>P07</t>
  </si>
  <si>
    <t>P08</t>
  </si>
  <si>
    <t>P09</t>
  </si>
  <si>
    <t>P10</t>
  </si>
  <si>
    <t>P11</t>
  </si>
  <si>
    <t>P12</t>
  </si>
  <si>
    <t>Monthly Data Columns</t>
  </si>
  <si>
    <t>&lt;=== Select Time (Year)</t>
  </si>
  <si>
    <t>Comparison 1 Column</t>
  </si>
  <si>
    <t>Comparison 2 Column</t>
  </si>
  <si>
    <t>VARIANCE</t>
  </si>
  <si>
    <t>Trailing 12 Option</t>
  </si>
  <si>
    <t>1.  Check the box</t>
  </si>
  <si>
    <t>3.  Expand All</t>
  </si>
  <si>
    <t>2.  Select ending month of the trailing 12 period</t>
  </si>
  <si>
    <t>COS_BEV</t>
  </si>
  <si>
    <t>568300</t>
  </si>
  <si>
    <t>568350</t>
  </si>
  <si>
    <t>COS_MISC</t>
  </si>
  <si>
    <t>455100</t>
  </si>
  <si>
    <t>455200</t>
  </si>
  <si>
    <t>455250</t>
  </si>
  <si>
    <t>455300</t>
  </si>
  <si>
    <t>455400</t>
  </si>
  <si>
    <t>455500</t>
  </si>
  <si>
    <t>455510</t>
  </si>
  <si>
    <t>455550</t>
  </si>
  <si>
    <t>455560</t>
  </si>
  <si>
    <t>455565</t>
  </si>
  <si>
    <t>455570</t>
  </si>
  <si>
    <t>455575</t>
  </si>
  <si>
    <t>455580</t>
  </si>
  <si>
    <t>455600</t>
  </si>
  <si>
    <t>455610</t>
  </si>
  <si>
    <t>455650</t>
  </si>
  <si>
    <t>410100</t>
  </si>
  <si>
    <t>410200</t>
  </si>
  <si>
    <t>410300</t>
  </si>
  <si>
    <t>410400</t>
  </si>
  <si>
    <t>410500</t>
  </si>
  <si>
    <t>510100</t>
  </si>
  <si>
    <t>510200</t>
  </si>
  <si>
    <t>510300</t>
  </si>
  <si>
    <t>510400</t>
  </si>
  <si>
    <t>Cost of Staff Dining</t>
  </si>
  <si>
    <t>Net Recovery - Check</t>
  </si>
  <si>
    <t/>
  </si>
  <si>
    <t>1.  Select Business Unit from Current View Action Pane</t>
  </si>
  <si>
    <t>Instructions:</t>
  </si>
  <si>
    <t>Category Glossary</t>
  </si>
  <si>
    <t>Print to PDF Instructions:</t>
  </si>
  <si>
    <t>2.  Select Save As &gt; "PDF or XPS"</t>
  </si>
  <si>
    <t>4.  Set options as shown in screen shot. (recommended options)</t>
  </si>
  <si>
    <t>5.  Select Options button.   You can change options to suit your needs.</t>
  </si>
  <si>
    <t>a.  Page Range:  All</t>
  </si>
  <si>
    <t>b.  Publish what:  Entire workbook (to publish all tabs)</t>
  </si>
  <si>
    <t>c.  Leave remaining default selections</t>
  </si>
  <si>
    <t>3.  Select local disk and folder where you want file saved.  Ensure Save As Type is "PDF"</t>
  </si>
  <si>
    <t>6.  Click "OK"</t>
  </si>
  <si>
    <t>7.  Click "Publish".  PDF will be created in the location you specified</t>
  </si>
  <si>
    <t>&gt;  No longer do we use BPC's ePublish tool for this report</t>
  </si>
  <si>
    <t>ACTUAL_CON</t>
  </si>
  <si>
    <t>ACTUAL</t>
  </si>
  <si>
    <t>HISTORY</t>
  </si>
  <si>
    <t>BUDGET</t>
  </si>
  <si>
    <t>BUD_PROOF</t>
  </si>
  <si>
    <t>JANFORECAST</t>
  </si>
  <si>
    <t>FEBFORECAST</t>
  </si>
  <si>
    <t>MARFORECAST</t>
  </si>
  <si>
    <t>APRFORECAST</t>
  </si>
  <si>
    <t>MAYFORECAST</t>
  </si>
  <si>
    <t>JUNFORECAST</t>
  </si>
  <si>
    <t>JULFORECAST</t>
  </si>
  <si>
    <t>AUGFORECAST</t>
  </si>
  <si>
    <t>SEPFORECAST</t>
  </si>
  <si>
    <t>OCTFORECAST</t>
  </si>
  <si>
    <t>NOVFORECAST</t>
  </si>
  <si>
    <t>DECFORECAST</t>
  </si>
  <si>
    <t>BUDSNAP</t>
  </si>
  <si>
    <t>Rollup of ACTUAL+HISTORY</t>
  </si>
  <si>
    <t>Actual from JDE</t>
  </si>
  <si>
    <t>Pre Kimpton History from JDE</t>
  </si>
  <si>
    <t>Final Budgets (Read only)</t>
  </si>
  <si>
    <t>Forecast (user input)</t>
  </si>
  <si>
    <t>Working Budgets (user input)</t>
  </si>
  <si>
    <t>Forecast Snap (Mar - Dec Forecast + Actual through Feb)</t>
  </si>
  <si>
    <t>Forecast Snap (Apr - Dec Forecast + Actual through Mar)</t>
  </si>
  <si>
    <t>Forecast Snap (May - Dec Forecast + Actual through Apr)</t>
  </si>
  <si>
    <t>Forecast Snap (Jun - Dec Forecast + Actual through May)</t>
  </si>
  <si>
    <t>Forecast Snap (Jul - Dec Forecast + Actual through Jun)</t>
  </si>
  <si>
    <t>Forecast Snap (Aug - Dec Forecast + Actual through Jul)</t>
  </si>
  <si>
    <t>Forecast Snap (Sep - Dec Forecast + Actual through Aug)</t>
  </si>
  <si>
    <t>Forecast Snap (Oct - Dec Forecast + Actual through Sep)</t>
  </si>
  <si>
    <t>Forecast Snap (Feb - Dec Forecast + Jan Actual)</t>
  </si>
  <si>
    <t>1.  Click Excel Office Button, upper left corner</t>
  </si>
  <si>
    <t>Forecast Snap (Nov - Dec Forecast + Actual through Oct)</t>
  </si>
  <si>
    <t>Forecast Snap (Dec Forecast + Actual through Nov)</t>
  </si>
  <si>
    <t>Forecast Snap captured for budget comparisons</t>
  </si>
  <si>
    <t>OR Active Sheets (to publish sheets you have selected)</t>
  </si>
  <si>
    <t>a.  The category and time for each set of data columns are independent and driven by user selection</t>
  </si>
  <si>
    <t>c.  Double-click the blue shaded cells to see the various data choices and comparisons</t>
  </si>
  <si>
    <t>e.  See Category Glossary for additional information</t>
  </si>
  <si>
    <t>b.  To expand/update a single tab, right mouse click, select EVDRE: Expand &amp; Refresh &gt; Active Sheet</t>
  </si>
  <si>
    <t>Forecast Snap (Jan - Dec Forecast, no Actual)</t>
  </si>
  <si>
    <t>D2140</t>
  </si>
  <si>
    <t>D2141</t>
  </si>
  <si>
    <t>XXXX.INP</t>
  </si>
  <si>
    <t>A_NONE</t>
  </si>
  <si>
    <t>Non_InterCo</t>
  </si>
  <si>
    <t>INPUT</t>
  </si>
  <si>
    <t>&lt;=== Venue Name (unique comment)</t>
  </si>
  <si>
    <t>D2142</t>
  </si>
  <si>
    <t>D2145</t>
  </si>
  <si>
    <t>D2146</t>
  </si>
  <si>
    <t>SALY_MGMT|DEP(HRLY_NONMGMT),600001,DEP(PAY_OTHER),PAYSUB1,PAYRLTD,DEP(PAY_RELATED),PAY_RELATED,600000|DEP(700000)</t>
  </si>
  <si>
    <t>use EVGTS here?</t>
  </si>
  <si>
    <t>DEP(SALY_MGMT)|DEP(HRLY_NONMGMT) ,600001,DEP(PAY_OTHER),PAYSUB1,PAYRLTD,DEP(PAY_RELATED),PAY_RELATED,600000|DEP(700000)</t>
  </si>
  <si>
    <t>D_AG_CON|D_AG_CON|D_AGHotRest</t>
  </si>
  <si>
    <t>use EVFTS here?</t>
  </si>
  <si>
    <t>use EVGTS?</t>
  </si>
  <si>
    <t>DEP(PAY_TAXES),PAY_TAXES|DEP(SUP_PAY),SUP_PAY|DEP(EMP_BEN),EMP_BEN|PAY_RELATED</t>
  </si>
  <si>
    <t>% expressed as % of Occupied Rooms</t>
  </si>
  <si>
    <t>ADR</t>
  </si>
  <si>
    <t>OCC%</t>
  </si>
  <si>
    <t>561100|SALY_MGMT|DEP(HRLY_NONMGMT) AND D2259=Y,600001,DEP(PAY_OTHER) AND D2259=Y,PAYSUB1,PAYRLTD,DEP(PAY_RELATED),PAY_RELATED,600000|DEP(700000) AND D2259 = Y</t>
  </si>
  <si>
    <t>SALY_MGMT|DEP(HRLY_NONMGMT) AND D1228=Y,600001,DEP(PAY_OTHER) AND D1228=Y,PAYSUB1,PAYRLTD,DEP(PAY_RELATED),PAY_RELATED,600000|DEP(700000) AND D1228 = Y AND ID &lt;&gt; LNDY_CR</t>
  </si>
  <si>
    <t>Variance</t>
  </si>
  <si>
    <t>Rev / Cost POR</t>
  </si>
  <si>
    <t>D_ROOMS</t>
  </si>
  <si>
    <t>Points</t>
  </si>
  <si>
    <t>Rev / Cost per Customer</t>
  </si>
  <si>
    <t xml:space="preserve"> Cost PAR</t>
  </si>
  <si>
    <t>(% chg)</t>
  </si>
  <si>
    <t>Flow Through</t>
  </si>
  <si>
    <t>561300</t>
  </si>
  <si>
    <t>FDCOS_PCT</t>
  </si>
  <si>
    <t>BEVCOS_PCT</t>
  </si>
  <si>
    <t>LCOS_PCT</t>
  </si>
  <si>
    <t>BCOS_PCT</t>
  </si>
  <si>
    <t>WCOS_PCT</t>
  </si>
  <si>
    <t>Mini Bar Cost %</t>
  </si>
  <si>
    <t>Total F&amp;B Cost %</t>
  </si>
  <si>
    <t>947100</t>
  </si>
  <si>
    <t>947200</t>
  </si>
  <si>
    <t>947300</t>
  </si>
  <si>
    <t>947400</t>
  </si>
  <si>
    <t>947500</t>
  </si>
  <si>
    <t>Total Cost of Sales - Check</t>
  </si>
  <si>
    <t>OWNER_EXP</t>
  </si>
  <si>
    <t>FCOS_NOMB</t>
  </si>
  <si>
    <t>FCOS_NOMB_PCT</t>
  </si>
  <si>
    <t>MBFCOS_PCT</t>
  </si>
  <si>
    <t>b.  The default selection will always be CURRENT, (current year), BUDGET (current year) and ACTUAL (prior year)</t>
  </si>
  <si>
    <t>HWHRLY_FBBQT</t>
  </si>
  <si>
    <t>Banquet &amp; Conf/Catering</t>
  </si>
  <si>
    <t>2. Select Currency from Current View Action Pane: LC for Local Currency, or USD to convert foreign currency BU's to USD</t>
  </si>
  <si>
    <t>3.  Select Category and Time from selection grid above</t>
  </si>
  <si>
    <t>4.  After making data selections you must "Expand All" to pull in data</t>
  </si>
  <si>
    <t>5.  You may delete Tabs that are not needed for your property, but be sure no data exists before deleting tabs</t>
  </si>
  <si>
    <t>All Data Columns</t>
  </si>
  <si>
    <t>&lt;=== Select Report Currency</t>
  </si>
  <si>
    <t>PSFT GL</t>
  </si>
  <si>
    <t>6.  Click the "+" button above Column N to reveal GL Account numbers</t>
  </si>
  <si>
    <t>&lt;&lt; Double Click</t>
  </si>
  <si>
    <t>a.  You may double click the 'Expand All' cell or use (click) 'Expand All' from the Excel Planning &amp; Consolidation tab</t>
  </si>
  <si>
    <t>801310</t>
  </si>
  <si>
    <t>D2143</t>
  </si>
  <si>
    <t>D2144</t>
  </si>
  <si>
    <t>470110</t>
  </si>
  <si>
    <t>471110</t>
  </si>
  <si>
    <t>BEV_RC</t>
  </si>
  <si>
    <t>Use ALT as BUD or FCST</t>
  </si>
  <si>
    <t>&lt;=== Select ALT Use</t>
  </si>
  <si>
    <t>i. When choosing an ALT scenario, it must be defined as BUD or FCST purposes in cell D8</t>
  </si>
  <si>
    <t>Alternate Scenario for budget/forecast</t>
  </si>
  <si>
    <t>ALT1</t>
  </si>
  <si>
    <t>ALT2</t>
  </si>
  <si>
    <t>ALT3</t>
  </si>
  <si>
    <t>ALT4</t>
  </si>
  <si>
    <t>Alt Scenario Cat</t>
  </si>
  <si>
    <t>801315</t>
  </si>
  <si>
    <t>Group vs Local Revenue Ratios [Expand for all Revenue accounts]</t>
  </si>
  <si>
    <t>Group BCC %</t>
  </si>
  <si>
    <t>Local BCC %</t>
  </si>
  <si>
    <t>D2248</t>
  </si>
  <si>
    <t>D2348</t>
  </si>
  <si>
    <t>Reception</t>
  </si>
  <si>
    <t>471210</t>
  </si>
  <si>
    <t>471310</t>
  </si>
  <si>
    <t>471410</t>
  </si>
  <si>
    <t>REV_RC</t>
  </si>
  <si>
    <t>946700</t>
  </si>
  <si>
    <t>KPI_RCAC</t>
  </si>
  <si>
    <t>Break</t>
  </si>
  <si>
    <t>REV_CB</t>
  </si>
  <si>
    <t>946600</t>
  </si>
  <si>
    <t>KPI_CBAC</t>
  </si>
  <si>
    <t>947600</t>
  </si>
  <si>
    <t>KPI_REVSQFT</t>
  </si>
  <si>
    <t>Food &amp; Beverage Revenue per Occupied Group Rooms</t>
  </si>
  <si>
    <t>Removed COS Section</t>
  </si>
  <si>
    <t>Removed Labor Section</t>
  </si>
  <si>
    <t>Removed Op and Oth Exp Section</t>
  </si>
  <si>
    <r>
      <rPr>
        <b/>
        <sz val="10"/>
        <color rgb="FFFF0000"/>
        <rFont val="Calibri"/>
        <family val="2"/>
        <scheme val="minor"/>
      </rPr>
      <t>COVID-19 DISCLAIMER</t>
    </r>
    <r>
      <rPr>
        <b/>
        <sz val="10"/>
        <rFont val="Calibri"/>
        <family val="2"/>
        <scheme val="minor"/>
      </rPr>
      <t xml:space="preserve">: </t>
    </r>
    <r>
      <rPr>
        <sz val="10"/>
        <rFont val="Calibri"/>
        <family val="2"/>
        <scheme val="minor"/>
      </rPr>
      <t xml:space="preserve"> This outlook and all information contained in it was prepared by Kimpton Hotel &amp; Restaurant Group, LLC ("KHRG”) at Owner’s request in light of the COVID-19 pandemic and nationally declared emergency.  The current COVID-19 market conditions have dramatically changed the business outlook for the hotel as demand for hotel rooms has dropped to historic lows.  The outlook is based on an uncertain vision of when travel and hotel bookings will begin to commence again and at what rate.  Typically, within normal operating circumstances, operator reviews group demand data, transient segmentation demand tools, along with market specific intelligence such as CBRE and other reporting while utilizing this information to build forecasting models. Under the current COVID-19 induced market conditions, these sources of information are either not available or are unreliable because of increased volatility due to the pandemic and/or differing municipality guidance. In these conditions, KHRG does not have dependable economic data on which to rely and KHRG is not engaged as an economist for Owner.  Accordingly, Owner acknowledges that the financial projections and conclusions contained in this document are based in whole or in part on estimates and/or assumptions that are inherently uncertain and unreliable – things are going to change in ways that we cannot predict.  No warranty or guaranty, either express or implied, is made as to the accuracy, completeness, reliability or reasonableness of any of the information contained herein, or as to any conclusions which may be made based thereon.  Neither KHRG nor any company, director, officer or employee of KHRG or its affiliates shall have any liability for any loss or damage connected in any way with the use of or reliance on the information provided, including without limitation, under the hotel operating / management agreement between KHRG and Owner.  No reference to the information provided may be published in any document or communicated to third parties, without KHRG’s prior written consent.  In the event Owner provides this information to its lender, investors, partners, shareholders, etc., we require that at all times the disclaimer included on the attached remains fully intact.</t>
    </r>
  </si>
  <si>
    <t>FCST</t>
  </si>
  <si>
    <t>701100</t>
  </si>
  <si>
    <t>D_AGHotRest</t>
  </si>
  <si>
    <t>701200</t>
  </si>
  <si>
    <t>701400</t>
  </si>
  <si>
    <t>701500</t>
  </si>
  <si>
    <t>702300</t>
  </si>
  <si>
    <t>702600</t>
  </si>
  <si>
    <t>TRVL_OTHR</t>
  </si>
  <si>
    <t>702900</t>
  </si>
  <si>
    <t>703000</t>
  </si>
  <si>
    <t>703100</t>
  </si>
  <si>
    <t>703200</t>
  </si>
  <si>
    <t>703300</t>
  </si>
  <si>
    <t>704600</t>
  </si>
  <si>
    <t>704700</t>
  </si>
  <si>
    <t>704800</t>
  </si>
  <si>
    <t>705000</t>
  </si>
  <si>
    <t>705100</t>
  </si>
  <si>
    <t>705200</t>
  </si>
  <si>
    <t>705500</t>
  </si>
  <si>
    <t>705800</t>
  </si>
  <si>
    <t>706000</t>
  </si>
  <si>
    <t>706100</t>
  </si>
  <si>
    <t>706500</t>
  </si>
  <si>
    <t>HRLY_ACCOT</t>
  </si>
  <si>
    <t>HRLY_HUMRE</t>
  </si>
  <si>
    <t>600001</t>
  </si>
  <si>
    <t>ADD_COMP</t>
  </si>
  <si>
    <t>PAYSUB1</t>
  </si>
  <si>
    <t>PAY_TAXES</t>
  </si>
  <si>
    <t>SUP_PAY</t>
  </si>
  <si>
    <t>EMP_BEN</t>
  </si>
  <si>
    <t>PAY_RELATED</t>
  </si>
  <si>
    <t>SALY_MGMT</t>
  </si>
  <si>
    <t>701300</t>
  </si>
  <si>
    <t>701600</t>
  </si>
  <si>
    <t>701700</t>
  </si>
  <si>
    <t>702000</t>
  </si>
  <si>
    <t>703400</t>
  </si>
  <si>
    <t>703500</t>
  </si>
  <si>
    <t>703510</t>
  </si>
  <si>
    <t>703520</t>
  </si>
  <si>
    <t>703800</t>
  </si>
  <si>
    <t>706110</t>
  </si>
  <si>
    <t>HRLY_FBBQT</t>
  </si>
  <si>
    <t>HRLY_FBKIT</t>
  </si>
  <si>
    <t>HRLY_FBVEN</t>
  </si>
  <si>
    <t>SVC_DIST</t>
  </si>
  <si>
    <t>CON_LABOR</t>
  </si>
  <si>
    <t>717100</t>
  </si>
  <si>
    <t>717200</t>
  </si>
  <si>
    <t>WS_EXP</t>
  </si>
  <si>
    <t>702580</t>
  </si>
  <si>
    <t>703700</t>
  </si>
  <si>
    <t>704100</t>
  </si>
  <si>
    <t>SALY_FBSVC</t>
  </si>
  <si>
    <t>SALY_FBKIT</t>
  </si>
  <si>
    <t>706700</t>
  </si>
  <si>
    <t>706800</t>
  </si>
  <si>
    <t>706900</t>
  </si>
  <si>
    <t>707010</t>
  </si>
  <si>
    <t>707150</t>
  </si>
  <si>
    <t>707310</t>
  </si>
  <si>
    <t>707450</t>
  </si>
  <si>
    <t>707610</t>
  </si>
  <si>
    <t>707650</t>
  </si>
  <si>
    <t>731010</t>
  </si>
  <si>
    <t>706300</t>
  </si>
  <si>
    <t>HRLY_VPARK</t>
  </si>
  <si>
    <t>715100</t>
  </si>
  <si>
    <t>715200</t>
  </si>
  <si>
    <t>715300</t>
  </si>
  <si>
    <t>POM_FE</t>
  </si>
  <si>
    <t>715600</t>
  </si>
  <si>
    <t>715700</t>
  </si>
  <si>
    <t>715800</t>
  </si>
  <si>
    <t>715900</t>
  </si>
  <si>
    <t>716000</t>
  </si>
  <si>
    <t>716100</t>
  </si>
  <si>
    <t>716200</t>
  </si>
  <si>
    <t>716300</t>
  </si>
  <si>
    <t>716400</t>
  </si>
  <si>
    <t>716500</t>
  </si>
  <si>
    <t>HRLY_POM</t>
  </si>
  <si>
    <t>693040</t>
  </si>
  <si>
    <t>CONTSP</t>
  </si>
  <si>
    <t>693160</t>
  </si>
  <si>
    <t>693200</t>
  </si>
  <si>
    <t>693280</t>
  </si>
  <si>
    <t>HEAINS</t>
  </si>
  <si>
    <t>MEALS</t>
  </si>
  <si>
    <t>693480</t>
  </si>
  <si>
    <t>WC_EXP</t>
  </si>
  <si>
    <t>692100</t>
  </si>
  <si>
    <t>692200</t>
  </si>
  <si>
    <t>692300</t>
  </si>
  <si>
    <t>WELL_PAY</t>
  </si>
  <si>
    <t>692500</t>
  </si>
  <si>
    <t>VAC_PAY</t>
  </si>
  <si>
    <t>NATLMED</t>
  </si>
  <si>
    <t>NATLRET</t>
  </si>
  <si>
    <t>NATLUNE</t>
  </si>
  <si>
    <t>STATUNE</t>
  </si>
  <si>
    <t>OTHLTAX</t>
  </si>
  <si>
    <t>701800</t>
  </si>
  <si>
    <t>702500</t>
  </si>
  <si>
    <t>703010</t>
  </si>
  <si>
    <t>704000</t>
  </si>
  <si>
    <t>704200</t>
  </si>
  <si>
    <t>704300</t>
  </si>
  <si>
    <t>704400</t>
  </si>
  <si>
    <t>704500</t>
  </si>
  <si>
    <t>HRLY_FRTOF</t>
  </si>
  <si>
    <t>HRLY_GUSVC</t>
  </si>
  <si>
    <t>HRLY_HOUSK</t>
  </si>
  <si>
    <t>HRLY_RESVS</t>
  </si>
  <si>
    <t>711100</t>
  </si>
  <si>
    <t>711200</t>
  </si>
  <si>
    <t>711300</t>
  </si>
  <si>
    <t>711400</t>
  </si>
  <si>
    <t>712100</t>
  </si>
  <si>
    <t>712200</t>
  </si>
  <si>
    <t>712400</t>
  </si>
  <si>
    <t>712600</t>
  </si>
  <si>
    <t>712800</t>
  </si>
  <si>
    <t>712900</t>
  </si>
  <si>
    <t>713000</t>
  </si>
  <si>
    <t>713100</t>
  </si>
  <si>
    <t>HRLY_SALES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</si>
</sst>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
    <numFmt numFmtId="165" formatCode="_(* #,##0_);_(* \(#,##0\);_(* &quot;-&quot;??_);_(@_)"/>
    <numFmt numFmtId="166" formatCode="#,##0.0000_);\(#,##0.0000\)"/>
  </numFmts>
  <fonts count="30"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1"/>
      <color theme="1"/>
      <name val="Verdana"/>
      <family val="2"/>
    </font>
    <font>
      <b/>
      <sz val="11"/>
      <name val="Calibri"/>
      <family val="2"/>
      <scheme val="minor"/>
    </font>
    <font>
      <sz val="10"/>
      <name val="Arial"/>
      <family val="2"/>
    </font>
    <font>
      <sz val="11"/>
      <name val="Calibri"/>
      <family val="2"/>
      <scheme val="minor"/>
    </font>
    <font>
      <b/>
      <sz val="11"/>
      <color rgb="FFFF0000"/>
      <name val="Calibri"/>
      <family val="2"/>
      <scheme val="minor"/>
    </font>
    <font>
      <sz val="11"/>
      <color rgb="FFFF0000"/>
      <name val="Calibri"/>
      <family val="2"/>
      <scheme val="minor"/>
    </font>
    <font>
      <b/>
      <sz val="9"/>
      <color indexed="81"/>
      <name val="Tahoma"/>
      <family val="2"/>
    </font>
    <font>
      <b/>
      <sz val="11"/>
      <color theme="0"/>
      <name val="Calibri"/>
      <family val="2"/>
      <scheme val="minor"/>
    </font>
    <font>
      <b/>
      <sz val="10"/>
      <name val="Arial"/>
      <family val="2"/>
    </font>
    <font>
      <b/>
      <sz val="11"/>
      <color rgb="FF5F554D"/>
      <name val="Calibri"/>
      <family val="2"/>
      <scheme val="minor"/>
    </font>
    <font>
      <b/>
      <sz val="18"/>
      <color rgb="FF00AEC7"/>
      <name val="Verdana"/>
      <family val="2"/>
    </font>
    <font>
      <sz val="11"/>
      <color rgb="FFC63527"/>
      <name val="Calibri"/>
      <family val="2"/>
      <scheme val="minor"/>
    </font>
    <font>
      <b/>
      <sz val="11"/>
      <color rgb="FFC63527"/>
      <name val="Calibri"/>
      <family val="2"/>
      <scheme val="minor"/>
    </font>
    <font>
      <b/>
      <sz val="14"/>
      <color rgb="FF6E6259"/>
      <name val="Verdana"/>
      <family val="2"/>
    </font>
    <font>
      <b/>
      <sz val="12"/>
      <color rgb="FF6E6259"/>
      <name val="Verdana"/>
      <family val="2"/>
    </font>
    <font>
      <sz val="11"/>
      <color theme="0"/>
      <name val="Calibri"/>
      <family val="2"/>
      <scheme val="minor"/>
    </font>
    <font>
      <b/>
      <sz val="12"/>
      <color theme="1"/>
      <name val="Calibri"/>
      <family val="2"/>
      <scheme val="minor"/>
    </font>
    <font>
      <b/>
      <sz val="11"/>
      <color rgb="FF000000"/>
      <name val="Verdana"/>
      <family val="2"/>
    </font>
    <font>
      <sz val="12"/>
      <color theme="1"/>
      <name val="Calibri"/>
      <family val="2"/>
      <scheme val="minor"/>
    </font>
    <font>
      <b/>
      <u/>
      <sz val="12"/>
      <color theme="1"/>
      <name val="Calibri"/>
      <family val="2"/>
      <scheme val="minor"/>
    </font>
    <font>
      <b/>
      <sz val="16"/>
      <color rgb="FF762A28"/>
      <name val="Calibri"/>
      <family val="2"/>
      <scheme val="minor"/>
    </font>
    <font>
      <b/>
      <sz val="14"/>
      <color theme="1"/>
      <name val="Calibri"/>
      <family val="2"/>
      <scheme val="minor"/>
    </font>
    <font>
      <sz val="8"/>
      <color rgb="FF000000"/>
      <name val="Tahoma"/>
      <family val="2"/>
    </font>
    <font>
      <b/>
      <sz val="10"/>
      <name val="Calibri"/>
      <family val="2"/>
      <scheme val="minor"/>
    </font>
    <font>
      <b/>
      <sz val="10"/>
      <color rgb="FFFF0000"/>
      <name val="Calibri"/>
      <family val="2"/>
      <scheme val="minor"/>
    </font>
    <font>
      <sz val="10"/>
      <name val="Calibri"/>
      <family val="2"/>
      <scheme val="minor"/>
    </font>
  </fonts>
  <fills count="23">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mediumGray">
        <fgColor theme="2" tint="-9.9948118533890809E-2"/>
        <bgColor indexed="65"/>
      </patternFill>
    </fill>
    <fill>
      <patternFill patternType="solid">
        <fgColor rgb="FF00AEC7"/>
        <bgColor indexed="64"/>
      </patternFill>
    </fill>
    <fill>
      <patternFill patternType="solid">
        <fgColor rgb="FFE1FBFF"/>
        <bgColor indexed="64"/>
      </patternFill>
    </fill>
    <fill>
      <patternFill patternType="mediumGray">
        <fgColor rgb="FFDDD9C3"/>
        <bgColor rgb="FFFFFFFF"/>
      </patternFill>
    </fill>
    <fill>
      <patternFill patternType="solid">
        <fgColor rgb="FFFFFFFF"/>
        <bgColor rgb="FF000000"/>
      </patternFill>
    </fill>
    <fill>
      <patternFill patternType="mediumGray">
        <fgColor rgb="FFDBD6D3"/>
        <bgColor indexed="9"/>
      </patternFill>
    </fill>
    <fill>
      <patternFill patternType="mediumGray">
        <fgColor rgb="FFDBD6D3"/>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s>
  <borders count="96">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59996337778862885"/>
      </left>
      <right style="thin">
        <color theme="4" tint="0.59996337778862885"/>
      </right>
      <top style="thin">
        <color theme="4" tint="0.59996337778862885"/>
      </top>
      <bottom/>
      <diagonal/>
    </border>
    <border>
      <left/>
      <right/>
      <top style="thin">
        <color rgb="FF000000"/>
      </top>
      <bottom/>
      <diagonal/>
    </border>
    <border>
      <left style="thin">
        <color theme="4" tint="0.59996337778862885"/>
      </left>
      <right style="thin">
        <color theme="4" tint="0.59996337778862885"/>
      </right>
      <top style="thin">
        <color rgb="FF000000"/>
      </top>
      <bottom style="thin">
        <color theme="4" tint="0.59996337778862885"/>
      </bottom>
      <diagonal/>
    </border>
    <border>
      <left style="thin">
        <color theme="4" tint="0.59996337778862885"/>
      </left>
      <right style="thin">
        <color theme="4" tint="0.59996337778862885"/>
      </right>
      <top style="thin">
        <color rgb="FF000000"/>
      </top>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bottom/>
      <diagonal/>
    </border>
    <border>
      <left style="thin">
        <color theme="4" tint="0.59996337778862885"/>
      </left>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right/>
      <top style="thin">
        <color theme="4" tint="0.59996337778862885"/>
      </top>
      <bottom/>
      <diagonal/>
    </border>
    <border>
      <left/>
      <right/>
      <top/>
      <bottom style="thin">
        <color theme="4" tint="0.59996337778862885"/>
      </bottom>
      <diagonal/>
    </border>
    <border>
      <left style="thin">
        <color theme="4" tint="0.59996337778862885"/>
      </left>
      <right/>
      <top/>
      <bottom/>
      <diagonal/>
    </border>
    <border>
      <left/>
      <right style="thin">
        <color theme="4" tint="0.59996337778862885"/>
      </right>
      <top/>
      <bottom/>
      <diagonal/>
    </border>
    <border>
      <left style="thin">
        <color theme="4" tint="0.59996337778862885"/>
      </left>
      <right style="thin">
        <color theme="4" tint="0.59996337778862885"/>
      </right>
      <top style="thin">
        <color indexed="64"/>
      </top>
      <bottom style="double">
        <color indexed="64"/>
      </bottom>
      <diagonal/>
    </border>
    <border>
      <left style="thin">
        <color theme="4" tint="0.59996337778862885"/>
      </left>
      <right style="thin">
        <color theme="4" tint="0.59996337778862885"/>
      </right>
      <top style="thin">
        <color auto="1"/>
      </top>
      <bottom/>
      <diagonal/>
    </border>
    <border>
      <left style="thin">
        <color rgb="FFB8CCE4"/>
      </left>
      <right style="thin">
        <color theme="4" tint="0.59996337778862885"/>
      </right>
      <top style="thin">
        <color rgb="FFB8CCE4"/>
      </top>
      <bottom style="thin">
        <color theme="4" tint="0.59996337778862885"/>
      </bottom>
      <diagonal/>
    </border>
    <border>
      <left style="thin">
        <color theme="4" tint="0.59996337778862885"/>
      </left>
      <right style="thin">
        <color theme="4" tint="0.59996337778862885"/>
      </right>
      <top style="thin">
        <color rgb="FFB8CCE4"/>
      </top>
      <bottom style="thin">
        <color theme="4" tint="0.59996337778862885"/>
      </bottom>
      <diagonal/>
    </border>
    <border>
      <left style="thin">
        <color rgb="FFB8CCE4"/>
      </left>
      <right style="thin">
        <color theme="4" tint="0.59996337778862885"/>
      </right>
      <top style="thin">
        <color rgb="FFB8CCE4"/>
      </top>
      <bottom/>
      <diagonal/>
    </border>
    <border>
      <left style="thin">
        <color theme="4" tint="0.59996337778862885"/>
      </left>
      <right style="thin">
        <color theme="4" tint="0.59996337778862885"/>
      </right>
      <top style="thin">
        <color rgb="FFB8CCE4"/>
      </top>
      <bottom/>
      <diagonal/>
    </border>
    <border>
      <left style="thin">
        <color rgb="FFB8CCE4"/>
      </left>
      <right style="thin">
        <color theme="4" tint="0.59996337778862885"/>
      </right>
      <top/>
      <bottom style="thin">
        <color theme="4" tint="0.59996337778862885"/>
      </bottom>
      <diagonal/>
    </border>
    <border>
      <left style="thin">
        <color rgb="FFB8CCE4"/>
      </left>
      <right style="thin">
        <color theme="4" tint="0.59996337778862885"/>
      </right>
      <top/>
      <bottom/>
      <diagonal/>
    </border>
    <border>
      <left style="thin">
        <color rgb="FFB8CCE4"/>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indexed="64"/>
      </top>
      <bottom style="thin">
        <color theme="4" tint="0.59996337778862885"/>
      </bottom>
      <diagonal/>
    </border>
    <border>
      <left style="thin">
        <color theme="4" tint="0.59996337778862885"/>
      </left>
      <right style="thin">
        <color theme="4" tint="0.59996337778862885"/>
      </right>
      <top style="thin">
        <color rgb="FF000000"/>
      </top>
      <bottom style="thin">
        <color rgb="FF000000"/>
      </bottom>
      <diagonal/>
    </border>
    <border>
      <left/>
      <right/>
      <top style="thin">
        <color rgb="FF000000"/>
      </top>
      <bottom style="thin">
        <color rgb="FF000000"/>
      </bottom>
      <diagonal/>
    </border>
    <border>
      <left style="thin">
        <color theme="4" tint="0.59996337778862885"/>
      </left>
      <right style="thin">
        <color theme="4" tint="0.59996337778862885"/>
      </right>
      <top style="thin">
        <color rgb="FF000000"/>
      </top>
      <bottom style="thin">
        <color indexed="64"/>
      </bottom>
      <diagonal/>
    </border>
    <border>
      <left style="thin">
        <color theme="4" tint="0.59996337778862885"/>
      </left>
      <right style="thin">
        <color theme="4" tint="0.59996337778862885"/>
      </right>
      <top style="thin">
        <color indexed="64"/>
      </top>
      <bottom style="thin">
        <color indexed="64"/>
      </bottom>
      <diagonal/>
    </border>
    <border>
      <left style="thin">
        <color rgb="FFB8CCE4"/>
      </left>
      <right style="thin">
        <color theme="4" tint="0.59996337778862885"/>
      </right>
      <top style="thin">
        <color rgb="FF000000"/>
      </top>
      <bottom style="thin">
        <color rgb="FF000000"/>
      </bottom>
      <diagonal/>
    </border>
    <border>
      <left style="thin">
        <color theme="4" tint="0.59996337778862885"/>
      </left>
      <right style="thin">
        <color theme="4" tint="0.59996337778862885"/>
      </right>
      <top/>
      <bottom style="thin">
        <color rgb="FF000000"/>
      </bottom>
      <diagonal/>
    </border>
    <border>
      <left style="thin">
        <color rgb="FFB8CCE4"/>
      </left>
      <right style="thin">
        <color theme="4" tint="0.59996337778862885"/>
      </right>
      <top/>
      <bottom style="thin">
        <color rgb="FF000000"/>
      </bottom>
      <diagonal/>
    </border>
    <border>
      <left style="thin">
        <color rgb="FFB8CCE4"/>
      </left>
      <right style="thin">
        <color theme="4" tint="0.59996337778862885"/>
      </right>
      <top/>
      <bottom style="thin">
        <color rgb="FFB8CCE4"/>
      </bottom>
      <diagonal/>
    </border>
    <border>
      <left style="thin">
        <color theme="4" tint="0.59996337778862885"/>
      </left>
      <right style="thin">
        <color theme="4" tint="0.59996337778862885"/>
      </right>
      <top/>
      <bottom style="thin">
        <color rgb="FFB8CCE4"/>
      </bottom>
      <diagonal/>
    </border>
    <border>
      <left style="thin">
        <color rgb="FFB8CCE4"/>
      </left>
      <right style="thin">
        <color theme="4" tint="0.59996337778862885"/>
      </right>
      <top style="thin">
        <color rgb="FF000000"/>
      </top>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4" tint="0.59996337778862885"/>
      </right>
      <top style="thin">
        <color rgb="FFB8CCE4"/>
      </top>
      <bottom style="thin">
        <color theme="4" tint="0.59996337778862885"/>
      </bottom>
      <diagonal/>
    </border>
    <border>
      <left/>
      <right style="thin">
        <color theme="4" tint="0.59996337778862885"/>
      </right>
      <top style="thin">
        <color rgb="FFB8CCE4"/>
      </top>
      <bottom/>
      <diagonal/>
    </border>
    <border>
      <left/>
      <right style="thin">
        <color theme="4" tint="0.59996337778862885"/>
      </right>
      <top style="thin">
        <color rgb="FF000000"/>
      </top>
      <bottom style="thin">
        <color rgb="FF000000"/>
      </bottom>
      <diagonal/>
    </border>
    <border>
      <left/>
      <right style="thin">
        <color theme="4" tint="0.59996337778862885"/>
      </right>
      <top style="thin">
        <color rgb="FFB8CCE4"/>
      </top>
      <bottom style="thin">
        <color rgb="FFB8CCE4"/>
      </bottom>
      <diagonal/>
    </border>
    <border>
      <left/>
      <right style="thin">
        <color theme="4" tint="0.59996337778862885"/>
      </right>
      <top/>
      <bottom style="thin">
        <color rgb="FFB8CCE4"/>
      </bottom>
      <diagonal/>
    </border>
    <border>
      <left/>
      <right/>
      <top/>
      <bottom style="thin">
        <color rgb="FFB8CCE4"/>
      </bottom>
      <diagonal/>
    </border>
    <border>
      <left style="thin">
        <color theme="4" tint="0.59996337778862885"/>
      </left>
      <right style="thin">
        <color rgb="FFB8CCE4"/>
      </right>
      <top style="thin">
        <color rgb="FFB8CCE4"/>
      </top>
      <bottom style="thin">
        <color rgb="FFB8CCE4"/>
      </bottom>
      <diagonal/>
    </border>
    <border>
      <left/>
      <right/>
      <top style="thin">
        <color rgb="FFB8CCE4"/>
      </top>
      <bottom/>
      <diagonal/>
    </border>
    <border>
      <left style="thin">
        <color theme="4" tint="0.59996337778862885"/>
      </left>
      <right style="thin">
        <color rgb="FFB8CCE4"/>
      </right>
      <top/>
      <bottom style="thin">
        <color rgb="FFB8CCE4"/>
      </bottom>
      <diagonal/>
    </border>
    <border>
      <left style="thin">
        <color theme="4" tint="0.59996337778862885"/>
      </left>
      <right style="thin">
        <color rgb="FFB8CCE4"/>
      </right>
      <top style="thin">
        <color rgb="FFB8CCE4"/>
      </top>
      <bottom/>
      <diagonal/>
    </border>
    <border>
      <left style="thin">
        <color theme="4" tint="0.59996337778862885"/>
      </left>
      <right style="thin">
        <color rgb="FFB8CCE4"/>
      </right>
      <top/>
      <bottom/>
      <diagonal/>
    </border>
    <border>
      <left style="thin">
        <color theme="4" tint="0.59996337778862885"/>
      </left>
      <right style="thin">
        <color rgb="FFB8CCE4"/>
      </right>
      <top style="thin">
        <color rgb="FF000000"/>
      </top>
      <bottom style="thin">
        <color rgb="FF000000"/>
      </bottom>
      <diagonal/>
    </border>
    <border>
      <left style="thin">
        <color theme="4" tint="0.59996337778862885"/>
      </left>
      <right style="thin">
        <color rgb="FFB8CCE4"/>
      </right>
      <top style="thin">
        <color rgb="FF000000"/>
      </top>
      <bottom/>
      <diagonal/>
    </border>
    <border>
      <left style="thin">
        <color theme="4" tint="0.59996337778862885"/>
      </left>
      <right style="thin">
        <color rgb="FFB8CCE4"/>
      </right>
      <top style="thin">
        <color rgb="FFB8CCE4"/>
      </top>
      <bottom style="thin">
        <color theme="4" tint="0.59996337778862885"/>
      </bottom>
      <diagonal/>
    </border>
    <border>
      <left style="thin">
        <color theme="4" tint="0.59996337778862885"/>
      </left>
      <right style="thin">
        <color rgb="FFB8CCE4"/>
      </right>
      <top/>
      <bottom style="thin">
        <color theme="4" tint="0.59996337778862885"/>
      </bottom>
      <diagonal/>
    </border>
    <border>
      <left/>
      <right/>
      <top style="thin">
        <color rgb="FFB8CCE4"/>
      </top>
      <bottom style="thin">
        <color rgb="FFB8CCE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rgb="FF000000"/>
      </top>
      <bottom style="double">
        <color indexed="64"/>
      </bottom>
      <diagonal/>
    </border>
    <border>
      <left style="thin">
        <color theme="4" tint="0.59996337778862885"/>
      </left>
      <right style="thin">
        <color rgb="FFB8CCE4"/>
      </right>
      <top style="thin">
        <color rgb="FF000000"/>
      </top>
      <bottom style="thin">
        <color theme="4" tint="0.59996337778862885"/>
      </bottom>
      <diagonal/>
    </border>
    <border>
      <left style="thin">
        <color theme="4" tint="0.59996337778862885"/>
      </left>
      <right style="thin">
        <color rgb="FFB8CCE4"/>
      </right>
      <top style="thin">
        <color indexed="64"/>
      </top>
      <bottom style="thin">
        <color theme="4" tint="0.59996337778862885"/>
      </bottom>
      <diagonal/>
    </border>
    <border>
      <left style="thin">
        <color theme="4" tint="0.59996337778862885"/>
      </left>
      <right style="thin">
        <color rgb="FFB8CCE4"/>
      </right>
      <top style="thin">
        <color indexed="64"/>
      </top>
      <bottom style="thin">
        <color indexed="64"/>
      </bottom>
      <diagonal/>
    </border>
    <border>
      <left style="thin">
        <color theme="4" tint="0.59996337778862885"/>
      </left>
      <right style="thin">
        <color rgb="FFB8CCE4"/>
      </right>
      <top style="thin">
        <color indexed="64"/>
      </top>
      <bottom style="double">
        <color indexed="64"/>
      </bottom>
      <diagonal/>
    </border>
    <border>
      <left style="thin">
        <color theme="4" tint="0.59996337778862885"/>
      </left>
      <right/>
      <top style="thin">
        <color indexed="64"/>
      </top>
      <bottom style="thin">
        <color theme="4" tint="0.59996337778862885"/>
      </bottom>
      <diagonal/>
    </border>
    <border>
      <left/>
      <right style="thin">
        <color theme="4" tint="0.59996337778862885"/>
      </right>
      <top style="thin">
        <color indexed="64"/>
      </top>
      <bottom style="thin">
        <color theme="4" tint="0.59996337778862885"/>
      </bottom>
      <diagonal/>
    </border>
    <border>
      <left style="thin">
        <color theme="4" tint="0.59996337778862885"/>
      </left>
      <right/>
      <top style="thin">
        <color indexed="64"/>
      </top>
      <bottom style="thin">
        <color indexed="64"/>
      </bottom>
      <diagonal/>
    </border>
    <border>
      <left/>
      <right style="thin">
        <color theme="4" tint="0.59996337778862885"/>
      </right>
      <top style="thin">
        <color indexed="64"/>
      </top>
      <bottom style="thin">
        <color indexed="64"/>
      </bottom>
      <diagonal/>
    </border>
    <border>
      <left style="thin">
        <color theme="4" tint="0.59996337778862885"/>
      </left>
      <right/>
      <top style="thin">
        <color indexed="64"/>
      </top>
      <bottom style="double">
        <color indexed="64"/>
      </bottom>
      <diagonal/>
    </border>
    <border>
      <left/>
      <right style="thin">
        <color theme="4" tint="0.59996337778862885"/>
      </right>
      <top style="thin">
        <color indexed="64"/>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rgb="FFB8CCE4"/>
      </left>
      <right style="thin">
        <color theme="4" tint="0.59996337778862885"/>
      </right>
      <top style="double">
        <color rgb="FF000000"/>
      </top>
      <bottom style="double">
        <color rgb="FF000000"/>
      </bottom>
      <diagonal/>
    </border>
    <border>
      <left style="thin">
        <color theme="4" tint="0.59996337778862885"/>
      </left>
      <right style="thin">
        <color theme="4" tint="0.59996337778862885"/>
      </right>
      <top style="double">
        <color rgb="FF000000"/>
      </top>
      <bottom style="double">
        <color rgb="FF000000"/>
      </bottom>
      <diagonal/>
    </border>
    <border>
      <left/>
      <right/>
      <top style="double">
        <color rgb="FF000000"/>
      </top>
      <bottom style="double">
        <color rgb="FF000000"/>
      </bottom>
      <diagonal/>
    </border>
    <border>
      <left style="thin">
        <color theme="4" tint="0.59996337778862885"/>
      </left>
      <right style="thin">
        <color rgb="FFB8CCE4"/>
      </right>
      <top style="double">
        <color rgb="FF000000"/>
      </top>
      <bottom style="double">
        <color rgb="FF000000"/>
      </bottom>
      <diagonal/>
    </border>
    <border>
      <left/>
      <right/>
      <top/>
      <bottom style="thin">
        <color rgb="FF000000"/>
      </bottom>
      <diagonal/>
    </border>
    <border>
      <left style="thin">
        <color theme="4" tint="0.59996337778862885"/>
      </left>
      <right style="thin">
        <color theme="4" tint="0.59996337778862885"/>
      </right>
      <top style="thin">
        <color theme="4" tint="0.59996337778862885"/>
      </top>
      <bottom style="thin">
        <color rgb="FF000000"/>
      </bottom>
      <diagonal/>
    </border>
    <border>
      <left style="thin">
        <color theme="4" tint="0.59996337778862885"/>
      </left>
      <right style="thin">
        <color theme="4" tint="0.59996337778862885"/>
      </right>
      <top style="thin">
        <color rgb="FFB8CCE4"/>
      </top>
      <bottom style="thin">
        <color rgb="FF000000"/>
      </bottom>
      <diagonal/>
    </border>
    <border>
      <left style="thin">
        <color theme="4" tint="0.59996337778862885"/>
      </left>
      <right style="thin">
        <color rgb="FFB8CCE4"/>
      </right>
      <top style="thin">
        <color rgb="FFB8CCE4"/>
      </top>
      <bottom style="thin">
        <color rgb="FF000000"/>
      </bottom>
      <diagonal/>
    </border>
  </borders>
  <cellStyleXfs count="10">
    <xf numFmtId="0" fontId="0" fillId="0" borderId="0"/>
    <xf numFmtId="9" fontId="3" fillId="0" borderId="0" applyFont="0" applyFill="0" applyBorder="0" applyAlignment="0" applyProtection="0"/>
    <xf numFmtId="0" fontId="6" fillId="0" borderId="0"/>
    <xf numFmtId="0" fontId="12" fillId="0" borderId="2">
      <alignment horizontal="left" wrapText="1"/>
    </xf>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4" fontId="3" fillId="0" borderId="0" applyFont="0" applyFill="0" applyBorder="0" applyAlignment="0" applyProtection="0"/>
    <xf numFmtId="0" fontId="6" fillId="0" borderId="0"/>
    <xf numFmtId="43" fontId="3" fillId="0" borderId="0" applyFont="0" applyFill="0" applyBorder="0" applyAlignment="0" applyProtection="0"/>
  </cellStyleXfs>
  <cellXfs count="635">
    <xf numFmtId="0" fontId="0" fillId="0" borderId="0" xfId="0"/>
    <xf numFmtId="0" fontId="0" fillId="2" borderId="0" xfId="0" applyFill="1"/>
    <xf numFmtId="0" fontId="0" fillId="2" borderId="0" xfId="0" applyFill="1" applyAlignment="1">
      <alignment horizontal="center"/>
    </xf>
    <xf numFmtId="0" fontId="0" fillId="8" borderId="0" xfId="0" applyFill="1" applyProtection="1">
      <protection locked="0"/>
    </xf>
    <xf numFmtId="0" fontId="7" fillId="9" borderId="0" xfId="0" applyFont="1" applyFill="1" applyProtection="1"/>
    <xf numFmtId="0" fontId="7" fillId="2" borderId="0" xfId="0" applyNumberFormat="1" applyFont="1" applyFill="1" applyProtection="1"/>
    <xf numFmtId="0" fontId="7" fillId="2" borderId="0" xfId="0" applyFont="1" applyFill="1" applyProtection="1"/>
    <xf numFmtId="10" fontId="7" fillId="2" borderId="0" xfId="6" applyNumberFormat="1" applyFont="1" applyFill="1" applyProtection="1"/>
    <xf numFmtId="0" fontId="0" fillId="2" borderId="0" xfId="0" applyFill="1" applyAlignment="1">
      <alignment wrapText="1"/>
    </xf>
    <xf numFmtId="0" fontId="0" fillId="8" borderId="0" xfId="0" applyFill="1" applyProtection="1"/>
    <xf numFmtId="0" fontId="0" fillId="10" borderId="2" xfId="0" applyFill="1" applyBorder="1" applyAlignment="1" applyProtection="1">
      <alignment horizontal="center"/>
    </xf>
    <xf numFmtId="0" fontId="0" fillId="2" borderId="0" xfId="0" applyFill="1" applyProtection="1"/>
    <xf numFmtId="0" fontId="5" fillId="9" borderId="47" xfId="2" applyFont="1" applyFill="1" applyBorder="1" applyAlignment="1" applyProtection="1">
      <alignment horizontal="centerContinuous"/>
    </xf>
    <xf numFmtId="0" fontId="5" fillId="9" borderId="48" xfId="2" applyFont="1" applyFill="1" applyBorder="1" applyAlignment="1" applyProtection="1">
      <alignment horizontal="centerContinuous"/>
    </xf>
    <xf numFmtId="0" fontId="7" fillId="9" borderId="48" xfId="2" applyFont="1" applyFill="1" applyBorder="1" applyAlignment="1" applyProtection="1">
      <alignment horizontal="centerContinuous"/>
    </xf>
    <xf numFmtId="0" fontId="0" fillId="9" borderId="48" xfId="0" applyFill="1" applyBorder="1" applyAlignment="1" applyProtection="1">
      <alignment horizontal="centerContinuous"/>
    </xf>
    <xf numFmtId="0" fontId="0" fillId="9" borderId="49" xfId="0" applyFill="1" applyBorder="1" applyAlignment="1" applyProtection="1">
      <alignment horizontal="centerContinuous"/>
    </xf>
    <xf numFmtId="0" fontId="1" fillId="9" borderId="47" xfId="0" applyFont="1" applyFill="1" applyBorder="1" applyAlignment="1" applyProtection="1">
      <alignment horizontal="centerContinuous"/>
    </xf>
    <xf numFmtId="0" fontId="1" fillId="9" borderId="48" xfId="0" applyFont="1" applyFill="1" applyBorder="1" applyAlignment="1" applyProtection="1">
      <alignment horizontal="centerContinuous"/>
    </xf>
    <xf numFmtId="0" fontId="0" fillId="8" borderId="50" xfId="0" applyFill="1" applyBorder="1" applyProtection="1"/>
    <xf numFmtId="0" fontId="0" fillId="8" borderId="0" xfId="0" applyFill="1" applyBorder="1" applyProtection="1"/>
    <xf numFmtId="0" fontId="5" fillId="8" borderId="0" xfId="2" applyFont="1" applyFill="1" applyBorder="1" applyAlignment="1" applyProtection="1">
      <alignment horizontal="centerContinuous"/>
    </xf>
    <xf numFmtId="0" fontId="6" fillId="8" borderId="0" xfId="2" applyFont="1" applyFill="1" applyBorder="1" applyAlignment="1" applyProtection="1"/>
    <xf numFmtId="0" fontId="0" fillId="8" borderId="51" xfId="0" applyFill="1" applyBorder="1" applyProtection="1"/>
    <xf numFmtId="0" fontId="5" fillId="9" borderId="2" xfId="2" applyFont="1" applyFill="1" applyBorder="1" applyAlignment="1" applyProtection="1">
      <alignment horizontal="center"/>
    </xf>
    <xf numFmtId="0" fontId="0" fillId="8" borderId="50" xfId="0" applyFill="1" applyBorder="1" applyAlignment="1" applyProtection="1"/>
    <xf numFmtId="0" fontId="0" fillId="8" borderId="0" xfId="0" applyFill="1" applyBorder="1" applyAlignment="1" applyProtection="1"/>
    <xf numFmtId="0" fontId="0" fillId="8" borderId="2" xfId="0" applyFill="1" applyBorder="1" applyAlignment="1" applyProtection="1">
      <alignment horizontal="center" vertical="center"/>
    </xf>
    <xf numFmtId="0" fontId="0" fillId="8" borderId="0" xfId="0" applyFill="1" applyBorder="1" applyAlignment="1" applyProtection="1">
      <alignment horizontal="center" vertical="center"/>
    </xf>
    <xf numFmtId="0" fontId="5" fillId="8" borderId="0" xfId="2" applyFont="1" applyFill="1" applyBorder="1" applyAlignment="1" applyProtection="1">
      <alignment horizontal="center"/>
    </xf>
    <xf numFmtId="0" fontId="5" fillId="8" borderId="0" xfId="2" applyFont="1" applyFill="1" applyBorder="1" applyAlignment="1" applyProtection="1">
      <alignment horizontal="left" indent="1"/>
    </xf>
    <xf numFmtId="0" fontId="7" fillId="8" borderId="2" xfId="2" applyFont="1" applyFill="1" applyBorder="1" applyAlignment="1" applyProtection="1">
      <alignment horizontal="left" indent="1"/>
    </xf>
    <xf numFmtId="0" fontId="0" fillId="8" borderId="52" xfId="0" applyFill="1" applyBorder="1" applyProtection="1"/>
    <xf numFmtId="0" fontId="5" fillId="8" borderId="53" xfId="2" applyFont="1" applyFill="1" applyBorder="1" applyAlignment="1" applyProtection="1">
      <alignment horizontal="centerContinuous"/>
    </xf>
    <xf numFmtId="0" fontId="0" fillId="8" borderId="85" xfId="0" applyFill="1" applyBorder="1" applyProtection="1"/>
    <xf numFmtId="0" fontId="0" fillId="8" borderId="53" xfId="0" applyFill="1" applyBorder="1" applyAlignment="1" applyProtection="1">
      <alignment horizontal="centerContinuous"/>
    </xf>
    <xf numFmtId="0" fontId="0" fillId="8" borderId="54" xfId="0" applyFill="1" applyBorder="1" applyAlignment="1" applyProtection="1">
      <alignment horizontal="centerContinuous"/>
    </xf>
    <xf numFmtId="0" fontId="0" fillId="8" borderId="53" xfId="0" applyFill="1" applyBorder="1" applyProtection="1"/>
    <xf numFmtId="0" fontId="0" fillId="8" borderId="54" xfId="0" applyFill="1" applyBorder="1" applyProtection="1"/>
    <xf numFmtId="0" fontId="0" fillId="8" borderId="0" xfId="0" applyFill="1" applyBorder="1" applyAlignment="1" applyProtection="1">
      <alignment horizontal="centerContinuous"/>
    </xf>
    <xf numFmtId="0" fontId="24" fillId="21" borderId="86" xfId="0" applyFont="1" applyFill="1" applyBorder="1" applyAlignment="1" applyProtection="1">
      <alignment horizontal="center" vertical="center"/>
    </xf>
    <xf numFmtId="0" fontId="25" fillId="8" borderId="0" xfId="0" applyFont="1" applyFill="1" applyAlignment="1" applyProtection="1">
      <alignment horizontal="left" vertical="center" indent="1"/>
    </xf>
    <xf numFmtId="0" fontId="0" fillId="9" borderId="5" xfId="0" applyFill="1" applyBorder="1" applyAlignment="1" applyProtection="1">
      <alignment horizontal="centerContinuous"/>
    </xf>
    <xf numFmtId="0" fontId="0" fillId="9" borderId="6" xfId="0" applyFill="1" applyBorder="1" applyAlignment="1" applyProtection="1">
      <alignment horizontal="centerContinuous"/>
    </xf>
    <xf numFmtId="0" fontId="0" fillId="9" borderId="7" xfId="0" applyFill="1" applyBorder="1" applyAlignment="1" applyProtection="1">
      <alignment horizontal="centerContinuous"/>
    </xf>
    <xf numFmtId="0" fontId="0" fillId="9" borderId="2" xfId="0" applyFill="1" applyBorder="1" applyAlignment="1" applyProtection="1">
      <alignment horizontal="centerContinuous"/>
    </xf>
    <xf numFmtId="0" fontId="0" fillId="8" borderId="48" xfId="0" applyFill="1" applyBorder="1" applyProtection="1"/>
    <xf numFmtId="0" fontId="23" fillId="8" borderId="0" xfId="0" applyFont="1" applyFill="1" applyProtection="1"/>
    <xf numFmtId="0" fontId="22" fillId="8" borderId="0" xfId="0" applyFont="1" applyFill="1" applyProtection="1"/>
    <xf numFmtId="0" fontId="22" fillId="8" borderId="5" xfId="0" applyFont="1" applyFill="1" applyBorder="1" applyProtection="1"/>
    <xf numFmtId="0" fontId="22" fillId="8" borderId="7" xfId="0" applyFont="1" applyFill="1" applyBorder="1" applyProtection="1"/>
    <xf numFmtId="0" fontId="22" fillId="8" borderId="6" xfId="0" applyFont="1" applyFill="1" applyBorder="1" applyProtection="1"/>
    <xf numFmtId="0" fontId="22" fillId="8" borderId="0" xfId="0" applyFont="1" applyFill="1" applyAlignment="1" applyProtection="1">
      <alignment horizontal="left" indent="2"/>
    </xf>
    <xf numFmtId="0" fontId="1" fillId="2" borderId="0" xfId="0" applyFont="1" applyFill="1" applyProtection="1"/>
    <xf numFmtId="0" fontId="0" fillId="3" borderId="0" xfId="0" applyFill="1" applyProtection="1"/>
    <xf numFmtId="0" fontId="9" fillId="2" borderId="0" xfId="0" applyFont="1" applyFill="1" applyProtection="1"/>
    <xf numFmtId="0" fontId="0" fillId="6" borderId="0" xfId="0" applyFill="1" applyProtection="1"/>
    <xf numFmtId="0" fontId="0" fillId="5" borderId="0" xfId="0" applyFill="1" applyProtection="1"/>
    <xf numFmtId="0" fontId="0" fillId="10" borderId="2" xfId="0" applyFill="1" applyBorder="1" applyProtection="1"/>
    <xf numFmtId="0" fontId="0" fillId="2" borderId="0" xfId="0" applyFill="1" applyAlignment="1" applyProtection="1">
      <alignment horizontal="center"/>
    </xf>
    <xf numFmtId="0" fontId="0" fillId="3" borderId="0" xfId="0" applyNumberFormat="1" applyFill="1" applyProtection="1"/>
    <xf numFmtId="0" fontId="1" fillId="3" borderId="2" xfId="0" applyFont="1" applyFill="1" applyBorder="1" applyProtection="1"/>
    <xf numFmtId="0" fontId="1" fillId="3" borderId="1" xfId="0" applyFont="1" applyFill="1" applyBorder="1" applyProtection="1"/>
    <xf numFmtId="0" fontId="1" fillId="3" borderId="3" xfId="0" applyFont="1" applyFill="1" applyBorder="1" applyProtection="1"/>
    <xf numFmtId="49" fontId="0" fillId="3" borderId="0" xfId="0" applyNumberFormat="1" applyFill="1" applyProtection="1"/>
    <xf numFmtId="0" fontId="1" fillId="4" borderId="2" xfId="0" applyFont="1" applyFill="1" applyBorder="1" applyProtection="1"/>
    <xf numFmtId="0" fontId="0" fillId="2" borderId="2" xfId="0" applyFill="1" applyBorder="1" applyProtection="1"/>
    <xf numFmtId="0" fontId="0" fillId="7" borderId="0" xfId="0" applyFill="1" applyProtection="1"/>
    <xf numFmtId="0" fontId="0" fillId="7" borderId="0" xfId="0" applyFill="1" applyAlignment="1" applyProtection="1">
      <alignment horizontal="center"/>
    </xf>
    <xf numFmtId="37" fontId="0" fillId="7" borderId="0" xfId="0" applyNumberFormat="1" applyFill="1" applyProtection="1"/>
    <xf numFmtId="0" fontId="14" fillId="2" borderId="0" xfId="0" applyFont="1" applyFill="1" applyAlignment="1" applyProtection="1">
      <alignment horizontal="left"/>
    </xf>
    <xf numFmtId="0" fontId="17" fillId="2" borderId="0" xfId="0" applyFont="1" applyFill="1" applyAlignment="1" applyProtection="1">
      <alignment horizontal="left"/>
    </xf>
    <xf numFmtId="0" fontId="18" fillId="2" borderId="0" xfId="0" applyFont="1" applyFill="1" applyAlignment="1" applyProtection="1">
      <alignment horizontal="left"/>
    </xf>
    <xf numFmtId="0" fontId="11" fillId="12" borderId="44" xfId="0" applyNumberFormat="1" applyFont="1" applyFill="1" applyBorder="1" applyAlignment="1" applyProtection="1">
      <alignment horizontal="centerContinuous"/>
    </xf>
    <xf numFmtId="0" fontId="11" fillId="12" borderId="45" xfId="0" applyNumberFormat="1" applyFont="1" applyFill="1" applyBorder="1" applyAlignment="1" applyProtection="1">
      <alignment horizontal="centerContinuous"/>
    </xf>
    <xf numFmtId="0" fontId="11" fillId="12" borderId="46" xfId="0" applyNumberFormat="1" applyFont="1" applyFill="1" applyBorder="1" applyAlignment="1" applyProtection="1">
      <alignment horizontal="centerContinuous"/>
    </xf>
    <xf numFmtId="0" fontId="0" fillId="2" borderId="0" xfId="0" applyFill="1" applyAlignment="1" applyProtection="1">
      <alignment horizontal="right"/>
    </xf>
    <xf numFmtId="0" fontId="13" fillId="13" borderId="4" xfId="0" applyNumberFormat="1" applyFont="1" applyFill="1" applyBorder="1" applyAlignment="1" applyProtection="1">
      <alignment horizontal="center"/>
    </xf>
    <xf numFmtId="0" fontId="13" fillId="13" borderId="4" xfId="0" applyNumberFormat="1" applyFont="1" applyFill="1" applyBorder="1" applyAlignment="1" applyProtection="1"/>
    <xf numFmtId="0" fontId="13" fillId="13" borderId="4" xfId="0" applyNumberFormat="1" applyFont="1" applyFill="1" applyBorder="1" applyAlignment="1" applyProtection="1">
      <alignment horizontal="centerContinuous"/>
    </xf>
    <xf numFmtId="0" fontId="13" fillId="13" borderId="4" xfId="0" applyNumberFormat="1" applyFont="1" applyFill="1" applyBorder="1" applyAlignment="1" applyProtection="1">
      <alignment horizontal="centerContinuous" wrapText="1"/>
    </xf>
    <xf numFmtId="0" fontId="1" fillId="4" borderId="2" xfId="0" applyFont="1" applyFill="1" applyBorder="1" applyAlignment="1" applyProtection="1">
      <alignment wrapText="1"/>
    </xf>
    <xf numFmtId="0" fontId="0" fillId="2" borderId="2" xfId="0" applyFill="1" applyBorder="1" applyAlignment="1" applyProtection="1">
      <alignment wrapText="1"/>
    </xf>
    <xf numFmtId="0" fontId="0" fillId="2" borderId="0" xfId="0" applyFill="1" applyAlignment="1" applyProtection="1">
      <alignment wrapText="1"/>
    </xf>
    <xf numFmtId="3" fontId="0" fillId="2" borderId="0" xfId="0" applyNumberFormat="1" applyFill="1" applyAlignment="1" applyProtection="1">
      <alignment wrapText="1"/>
    </xf>
    <xf numFmtId="0" fontId="0" fillId="2" borderId="0" xfId="0" applyFill="1" applyAlignment="1" applyProtection="1">
      <alignment horizontal="center" wrapText="1"/>
    </xf>
    <xf numFmtId="0" fontId="15" fillId="2" borderId="0" xfId="0" applyFont="1" applyFill="1" applyAlignment="1" applyProtection="1">
      <alignment wrapText="1"/>
    </xf>
    <xf numFmtId="0" fontId="13" fillId="13" borderId="4" xfId="0" applyNumberFormat="1" applyFont="1" applyFill="1" applyBorder="1" applyAlignment="1" applyProtection="1">
      <alignment horizontal="center" wrapText="1"/>
    </xf>
    <xf numFmtId="49" fontId="0" fillId="3" borderId="0" xfId="0" applyNumberFormat="1" applyFill="1" applyAlignment="1" applyProtection="1"/>
    <xf numFmtId="0" fontId="1" fillId="3" borderId="0" xfId="0" applyNumberFormat="1" applyFont="1" applyFill="1" applyAlignment="1" applyProtection="1">
      <alignment horizontal="left"/>
    </xf>
    <xf numFmtId="0" fontId="0" fillId="2" borderId="0" xfId="0" applyFont="1" applyFill="1" applyAlignment="1" applyProtection="1">
      <alignment horizontal="left" indent="1"/>
    </xf>
    <xf numFmtId="37" fontId="0" fillId="0" borderId="4" xfId="0" applyNumberFormat="1" applyFill="1" applyBorder="1" applyProtection="1"/>
    <xf numFmtId="37" fontId="0" fillId="11" borderId="4" xfId="0" applyNumberFormat="1" applyFill="1" applyBorder="1" applyProtection="1"/>
    <xf numFmtId="37" fontId="0" fillId="11" borderId="15" xfId="0" applyNumberFormat="1" applyFill="1" applyBorder="1" applyProtection="1"/>
    <xf numFmtId="37" fontId="0" fillId="11" borderId="16" xfId="0" applyNumberFormat="1" applyFill="1" applyBorder="1" applyProtection="1"/>
    <xf numFmtId="10" fontId="0" fillId="18" borderId="44" xfId="1" applyNumberFormat="1" applyFont="1" applyFill="1" applyBorder="1" applyAlignment="1" applyProtection="1"/>
    <xf numFmtId="39" fontId="0" fillId="18" borderId="46" xfId="0" applyNumberFormat="1" applyFill="1" applyBorder="1" applyAlignment="1" applyProtection="1">
      <alignment horizontal="center"/>
    </xf>
    <xf numFmtId="0" fontId="1" fillId="3" borderId="5" xfId="0" applyFont="1" applyFill="1" applyBorder="1" applyProtection="1"/>
    <xf numFmtId="0" fontId="1" fillId="3" borderId="6" xfId="0" applyFont="1" applyFill="1" applyBorder="1" applyProtection="1"/>
    <xf numFmtId="0" fontId="1" fillId="3" borderId="7" xfId="0" applyFont="1" applyFill="1" applyBorder="1" applyProtection="1"/>
    <xf numFmtId="164" fontId="0" fillId="0" borderId="4" xfId="1" applyNumberFormat="1" applyFont="1" applyFill="1" applyBorder="1" applyProtection="1"/>
    <xf numFmtId="10" fontId="0" fillId="2" borderId="0" xfId="1" applyNumberFormat="1" applyFont="1" applyFill="1" applyProtection="1"/>
    <xf numFmtId="44" fontId="0" fillId="0" borderId="4" xfId="7" applyFont="1" applyFill="1" applyBorder="1" applyProtection="1"/>
    <xf numFmtId="44" fontId="0" fillId="2" borderId="0" xfId="0" applyNumberFormat="1" applyFill="1" applyProtection="1"/>
    <xf numFmtId="0" fontId="0" fillId="2" borderId="0" xfId="0" applyFill="1" applyAlignment="1" applyProtection="1">
      <alignment horizontal="left" indent="1"/>
    </xf>
    <xf numFmtId="0" fontId="4" fillId="2" borderId="0" xfId="0" applyFont="1" applyFill="1" applyAlignment="1" applyProtection="1">
      <alignment horizontal="left"/>
    </xf>
    <xf numFmtId="0" fontId="1" fillId="2" borderId="0" xfId="0" applyFont="1" applyFill="1" applyAlignment="1" applyProtection="1">
      <alignment horizontal="left"/>
    </xf>
    <xf numFmtId="0" fontId="1" fillId="2" borderId="0" xfId="0" applyFont="1" applyFill="1" applyAlignment="1" applyProtection="1"/>
    <xf numFmtId="43" fontId="0" fillId="2" borderId="0" xfId="9" applyFont="1" applyFill="1" applyProtection="1"/>
    <xf numFmtId="0" fontId="1" fillId="2" borderId="8" xfId="0" applyFont="1" applyFill="1" applyBorder="1" applyAlignment="1" applyProtection="1">
      <alignment horizontal="left"/>
    </xf>
    <xf numFmtId="10" fontId="0" fillId="18" borderId="15" xfId="1" applyNumberFormat="1" applyFont="1" applyFill="1" applyBorder="1" applyAlignment="1" applyProtection="1"/>
    <xf numFmtId="39" fontId="0" fillId="18" borderId="16" xfId="0" applyNumberFormat="1" applyFill="1" applyBorder="1" applyAlignment="1" applyProtection="1">
      <alignment horizontal="center"/>
    </xf>
    <xf numFmtId="37" fontId="1" fillId="0" borderId="11" xfId="0" applyNumberFormat="1" applyFont="1" applyFill="1" applyBorder="1" applyProtection="1"/>
    <xf numFmtId="164" fontId="1" fillId="0" borderId="11" xfId="1" applyNumberFormat="1" applyFont="1" applyFill="1" applyBorder="1" applyProtection="1"/>
    <xf numFmtId="37" fontId="1" fillId="11" borderId="11" xfId="0" applyNumberFormat="1" applyFont="1" applyFill="1" applyBorder="1" applyProtection="1"/>
    <xf numFmtId="10" fontId="1" fillId="18" borderId="79" xfId="1" applyNumberFormat="1" applyFont="1" applyFill="1" applyBorder="1" applyAlignment="1" applyProtection="1"/>
    <xf numFmtId="39" fontId="1" fillId="18" borderId="80" xfId="0" applyNumberFormat="1" applyFont="1" applyFill="1" applyBorder="1" applyAlignment="1" applyProtection="1">
      <alignment horizontal="center"/>
    </xf>
    <xf numFmtId="0" fontId="15" fillId="2" borderId="0" xfId="0" applyFont="1" applyFill="1" applyAlignment="1" applyProtection="1">
      <alignment horizontal="left"/>
    </xf>
    <xf numFmtId="0" fontId="0" fillId="2" borderId="22" xfId="0" applyFill="1" applyBorder="1" applyProtection="1"/>
    <xf numFmtId="0" fontId="0" fillId="2" borderId="17" xfId="0" applyFill="1" applyBorder="1" applyProtection="1"/>
    <xf numFmtId="0" fontId="0" fillId="2" borderId="20" xfId="0" applyFill="1" applyBorder="1" applyProtection="1"/>
    <xf numFmtId="0" fontId="0" fillId="2" borderId="18" xfId="0" applyFill="1" applyBorder="1" applyProtection="1"/>
    <xf numFmtId="0" fontId="0" fillId="3" borderId="0" xfId="0" applyNumberFormat="1" applyFont="1" applyFill="1" applyAlignment="1" applyProtection="1">
      <alignment horizontal="left" indent="1"/>
    </xf>
    <xf numFmtId="37" fontId="1" fillId="0" borderId="37" xfId="0" applyNumberFormat="1" applyFont="1" applyFill="1" applyBorder="1" applyProtection="1"/>
    <xf numFmtId="164" fontId="1" fillId="0" borderId="37" xfId="1" applyNumberFormat="1" applyFont="1" applyFill="1" applyBorder="1" applyProtection="1"/>
    <xf numFmtId="37" fontId="1" fillId="11" borderId="37" xfId="0" applyNumberFormat="1" applyFont="1" applyFill="1" applyBorder="1" applyProtection="1"/>
    <xf numFmtId="37" fontId="1" fillId="0" borderId="23" xfId="0" applyNumberFormat="1" applyFont="1" applyFill="1" applyBorder="1" applyProtection="1"/>
    <xf numFmtId="164" fontId="1" fillId="0" borderId="23" xfId="1" applyNumberFormat="1" applyFont="1" applyFill="1" applyBorder="1" applyProtection="1"/>
    <xf numFmtId="37" fontId="1" fillId="11" borderId="23" xfId="0" applyNumberFormat="1" applyFont="1" applyFill="1" applyBorder="1" applyProtection="1"/>
    <xf numFmtId="0" fontId="0" fillId="2" borderId="15" xfId="0" applyFill="1" applyBorder="1" applyProtection="1"/>
    <xf numFmtId="0" fontId="0" fillId="2" borderId="19" xfId="0" applyFill="1" applyBorder="1" applyProtection="1"/>
    <xf numFmtId="0" fontId="0" fillId="2" borderId="16" xfId="0" applyFill="1" applyBorder="1" applyProtection="1"/>
    <xf numFmtId="164" fontId="1" fillId="0" borderId="4" xfId="1" applyNumberFormat="1" applyFont="1" applyFill="1" applyBorder="1" applyProtection="1"/>
    <xf numFmtId="0" fontId="1" fillId="2" borderId="0" xfId="0" applyFont="1" applyFill="1" applyAlignment="1" applyProtection="1">
      <alignment horizontal="center"/>
    </xf>
    <xf numFmtId="0" fontId="0" fillId="16" borderId="0" xfId="0" applyFill="1" applyProtection="1"/>
    <xf numFmtId="0" fontId="9" fillId="16" borderId="0" xfId="0" applyFont="1" applyFill="1" applyProtection="1"/>
    <xf numFmtId="0" fontId="0" fillId="3" borderId="0" xfId="0" applyNumberFormat="1" applyFill="1" applyAlignment="1" applyProtection="1">
      <alignment horizontal="left" indent="1"/>
    </xf>
    <xf numFmtId="37" fontId="0" fillId="2" borderId="0" xfId="0" applyNumberFormat="1" applyFill="1" applyProtection="1"/>
    <xf numFmtId="37" fontId="0" fillId="17" borderId="4" xfId="0" applyNumberFormat="1" applyFill="1" applyBorder="1" applyProtection="1">
      <protection locked="0"/>
    </xf>
    <xf numFmtId="164" fontId="0" fillId="17" borderId="4" xfId="1" applyNumberFormat="1" applyFont="1" applyFill="1" applyBorder="1" applyProtection="1">
      <protection locked="0"/>
    </xf>
    <xf numFmtId="0" fontId="0" fillId="2" borderId="0" xfId="0" applyFill="1" applyProtection="1">
      <protection locked="0"/>
    </xf>
    <xf numFmtId="37" fontId="0" fillId="17" borderId="13" xfId="0" applyNumberFormat="1" applyFill="1" applyBorder="1" applyProtection="1">
      <protection locked="0"/>
    </xf>
    <xf numFmtId="164" fontId="0" fillId="17" borderId="13" xfId="1" applyNumberFormat="1" applyFont="1" applyFill="1" applyBorder="1" applyProtection="1">
      <protection locked="0"/>
    </xf>
    <xf numFmtId="37" fontId="0" fillId="0" borderId="4" xfId="0" applyNumberFormat="1" applyFill="1" applyBorder="1" applyProtection="1">
      <protection locked="0"/>
    </xf>
    <xf numFmtId="164" fontId="0" fillId="0" borderId="4" xfId="1" applyNumberFormat="1" applyFont="1" applyFill="1" applyBorder="1" applyProtection="1">
      <protection locked="0"/>
    </xf>
    <xf numFmtId="37" fontId="0" fillId="11" borderId="4" xfId="0" applyNumberFormat="1" applyFill="1" applyBorder="1" applyProtection="1">
      <protection locked="0"/>
    </xf>
    <xf numFmtId="164" fontId="0" fillId="13" borderId="4" xfId="1" applyNumberFormat="1" applyFont="1" applyFill="1" applyBorder="1" applyProtection="1">
      <protection locked="0"/>
    </xf>
    <xf numFmtId="10" fontId="0" fillId="11" borderId="4" xfId="1" applyNumberFormat="1" applyFont="1" applyFill="1" applyBorder="1" applyProtection="1">
      <protection locked="0"/>
    </xf>
    <xf numFmtId="44" fontId="0" fillId="0" borderId="4" xfId="7" applyFont="1" applyFill="1" applyBorder="1" applyProtection="1">
      <protection locked="0"/>
    </xf>
    <xf numFmtId="44" fontId="0" fillId="11" borderId="4" xfId="7" applyNumberFormat="1" applyFont="1" applyFill="1" applyBorder="1" applyProtection="1">
      <protection locked="0"/>
    </xf>
    <xf numFmtId="44" fontId="0" fillId="11" borderId="4" xfId="7" applyFont="1" applyFill="1" applyBorder="1" applyProtection="1">
      <protection locked="0"/>
    </xf>
    <xf numFmtId="0" fontId="0" fillId="13" borderId="21" xfId="0" applyFill="1" applyBorder="1" applyProtection="1">
      <protection locked="0"/>
    </xf>
    <xf numFmtId="0" fontId="0" fillId="13" borderId="0" xfId="0" applyFill="1" applyBorder="1" applyProtection="1">
      <protection locked="0"/>
    </xf>
    <xf numFmtId="0" fontId="0" fillId="13" borderId="22" xfId="0" applyFill="1" applyBorder="1" applyProtection="1">
      <protection locked="0"/>
    </xf>
    <xf numFmtId="37" fontId="1" fillId="0" borderId="11" xfId="0" applyNumberFormat="1" applyFont="1" applyFill="1" applyBorder="1" applyProtection="1">
      <protection locked="0"/>
    </xf>
    <xf numFmtId="164" fontId="1" fillId="0" borderId="11" xfId="1" applyNumberFormat="1" applyFont="1" applyFill="1" applyBorder="1" applyProtection="1">
      <protection locked="0"/>
    </xf>
    <xf numFmtId="37" fontId="1" fillId="11" borderId="11" xfId="0" applyNumberFormat="1" applyFont="1" applyFill="1" applyBorder="1" applyProtection="1">
      <protection locked="0"/>
    </xf>
    <xf numFmtId="39" fontId="15" fillId="2" borderId="15" xfId="9" applyNumberFormat="1" applyFont="1" applyFill="1" applyBorder="1" applyProtection="1">
      <protection locked="0"/>
    </xf>
    <xf numFmtId="39" fontId="15" fillId="2" borderId="0" xfId="9" applyNumberFormat="1" applyFont="1" applyFill="1" applyBorder="1" applyProtection="1">
      <protection locked="0"/>
    </xf>
    <xf numFmtId="0" fontId="19" fillId="2" borderId="16" xfId="0" applyFont="1" applyFill="1" applyBorder="1" applyProtection="1">
      <protection locked="0"/>
    </xf>
    <xf numFmtId="0" fontId="19" fillId="2" borderId="0" xfId="0" applyFont="1" applyFill="1" applyBorder="1" applyProtection="1">
      <protection locked="0"/>
    </xf>
    <xf numFmtId="0" fontId="0" fillId="2" borderId="22" xfId="0" applyFill="1" applyBorder="1" applyProtection="1">
      <protection locked="0"/>
    </xf>
    <xf numFmtId="0" fontId="0" fillId="2" borderId="17" xfId="0" applyFill="1" applyBorder="1" applyProtection="1">
      <protection locked="0"/>
    </xf>
    <xf numFmtId="0" fontId="0" fillId="2" borderId="20" xfId="0" applyFill="1" applyBorder="1" applyProtection="1">
      <protection locked="0"/>
    </xf>
    <xf numFmtId="0" fontId="0" fillId="2" borderId="18" xfId="0" applyFill="1" applyBorder="1" applyProtection="1">
      <protection locked="0"/>
    </xf>
    <xf numFmtId="0" fontId="19" fillId="2" borderId="22" xfId="0" applyFont="1" applyFill="1" applyBorder="1" applyProtection="1">
      <protection locked="0"/>
    </xf>
    <xf numFmtId="37" fontId="1" fillId="0" borderId="37" xfId="0" applyNumberFormat="1" applyFont="1" applyFill="1" applyBorder="1" applyProtection="1">
      <protection locked="0"/>
    </xf>
    <xf numFmtId="164" fontId="1" fillId="0" borderId="37" xfId="1" applyNumberFormat="1" applyFont="1" applyFill="1" applyBorder="1" applyProtection="1">
      <protection locked="0"/>
    </xf>
    <xf numFmtId="37" fontId="1" fillId="11" borderId="37" xfId="0" applyNumberFormat="1" applyFont="1" applyFill="1" applyBorder="1" applyProtection="1">
      <protection locked="0"/>
    </xf>
    <xf numFmtId="37" fontId="1" fillId="0" borderId="23" xfId="0" applyNumberFormat="1" applyFont="1" applyFill="1" applyBorder="1" applyProtection="1">
      <protection locked="0"/>
    </xf>
    <xf numFmtId="164" fontId="1" fillId="0" borderId="23" xfId="1" applyNumberFormat="1" applyFont="1" applyFill="1" applyBorder="1" applyProtection="1">
      <protection locked="0"/>
    </xf>
    <xf numFmtId="37" fontId="1" fillId="11" borderId="23" xfId="0" applyNumberFormat="1" applyFont="1" applyFill="1" applyBorder="1" applyProtection="1">
      <protection locked="0"/>
    </xf>
    <xf numFmtId="165" fontId="15" fillId="2" borderId="15" xfId="9" applyNumberFormat="1" applyFont="1" applyFill="1" applyBorder="1" applyProtection="1">
      <protection locked="0"/>
    </xf>
    <xf numFmtId="165" fontId="15" fillId="2" borderId="0" xfId="9" applyNumberFormat="1" applyFont="1" applyFill="1" applyBorder="1" applyProtection="1">
      <protection locked="0"/>
    </xf>
    <xf numFmtId="0" fontId="0" fillId="2" borderId="15" xfId="0" applyFill="1" applyBorder="1" applyProtection="1">
      <protection locked="0"/>
    </xf>
    <xf numFmtId="0" fontId="0" fillId="2" borderId="19" xfId="0" applyFill="1" applyBorder="1" applyProtection="1">
      <protection locked="0"/>
    </xf>
    <xf numFmtId="0" fontId="0" fillId="2" borderId="16" xfId="0" applyFill="1" applyBorder="1" applyProtection="1">
      <protection locked="0"/>
    </xf>
    <xf numFmtId="0" fontId="9" fillId="0" borderId="0" xfId="0" applyFont="1" applyFill="1" applyProtection="1"/>
    <xf numFmtId="0" fontId="15" fillId="2" borderId="0" xfId="0" applyFont="1" applyFill="1" applyAlignment="1" applyProtection="1">
      <alignment horizontal="center" wrapText="1"/>
    </xf>
    <xf numFmtId="0" fontId="15" fillId="2" borderId="0" xfId="0" applyFont="1" applyFill="1" applyAlignment="1" applyProtection="1">
      <alignment horizontal="left" indent="1"/>
    </xf>
    <xf numFmtId="37" fontId="0" fillId="0" borderId="32" xfId="0" applyNumberFormat="1" applyFill="1" applyBorder="1" applyProtection="1"/>
    <xf numFmtId="39" fontId="0" fillId="18" borderId="4" xfId="0" applyNumberFormat="1" applyFill="1" applyBorder="1" applyProtection="1"/>
    <xf numFmtId="39" fontId="0" fillId="19" borderId="4" xfId="0" applyNumberFormat="1" applyFill="1" applyBorder="1" applyProtection="1"/>
    <xf numFmtId="39" fontId="0" fillId="11" borderId="4" xfId="0" applyNumberFormat="1" applyFill="1" applyBorder="1" applyProtection="1"/>
    <xf numFmtId="39" fontId="0" fillId="9" borderId="4" xfId="0" applyNumberFormat="1" applyFill="1" applyBorder="1" applyProtection="1"/>
    <xf numFmtId="49" fontId="0" fillId="3" borderId="0" xfId="0" applyNumberFormat="1" applyFill="1" applyAlignment="1" applyProtection="1">
      <alignment horizontal="left"/>
    </xf>
    <xf numFmtId="37" fontId="0" fillId="0" borderId="28" xfId="0" applyNumberFormat="1" applyFill="1" applyBorder="1" applyProtection="1"/>
    <xf numFmtId="39" fontId="0" fillId="11" borderId="9" xfId="0" applyNumberFormat="1" applyFill="1" applyBorder="1" applyProtection="1"/>
    <xf numFmtId="0" fontId="1" fillId="3" borderId="0" xfId="0" applyNumberFormat="1" applyFont="1" applyFill="1" applyAlignment="1" applyProtection="1">
      <alignment horizontal="left" indent="1"/>
    </xf>
    <xf numFmtId="0" fontId="16" fillId="2" borderId="0" xfId="0" applyFont="1" applyFill="1" applyAlignment="1" applyProtection="1">
      <alignment horizontal="left" indent="1"/>
    </xf>
    <xf numFmtId="0" fontId="1" fillId="2" borderId="0" xfId="0" applyFont="1" applyFill="1" applyAlignment="1" applyProtection="1">
      <alignment horizontal="left" indent="1"/>
    </xf>
    <xf numFmtId="37" fontId="1" fillId="0" borderId="34" xfId="0" applyNumberFormat="1" applyFont="1" applyFill="1" applyBorder="1" applyProtection="1"/>
    <xf numFmtId="164" fontId="1" fillId="0" borderId="34" xfId="1" applyNumberFormat="1" applyFont="1" applyFill="1" applyBorder="1" applyProtection="1"/>
    <xf numFmtId="39" fontId="1" fillId="18" borderId="34" xfId="0" applyNumberFormat="1" applyFont="1" applyFill="1" applyBorder="1" applyProtection="1"/>
    <xf numFmtId="39" fontId="1" fillId="19" borderId="34" xfId="0" applyNumberFormat="1" applyFont="1" applyFill="1" applyBorder="1" applyProtection="1"/>
    <xf numFmtId="39" fontId="1" fillId="9" borderId="34" xfId="0" applyNumberFormat="1" applyFont="1" applyFill="1" applyBorder="1" applyProtection="1"/>
    <xf numFmtId="0" fontId="1" fillId="2" borderId="6" xfId="0" applyFont="1" applyFill="1" applyBorder="1" applyAlignment="1" applyProtection="1">
      <alignment horizontal="left"/>
    </xf>
    <xf numFmtId="37" fontId="0" fillId="0" borderId="13" xfId="0" applyNumberFormat="1" applyFill="1" applyBorder="1" applyProtection="1"/>
    <xf numFmtId="164" fontId="0" fillId="0" borderId="13" xfId="1" applyNumberFormat="1" applyFont="1" applyFill="1" applyBorder="1" applyProtection="1"/>
    <xf numFmtId="37" fontId="0" fillId="11" borderId="13" xfId="0" applyNumberFormat="1" applyFill="1" applyBorder="1" applyProtection="1"/>
    <xf numFmtId="39" fontId="0" fillId="18" borderId="13" xfId="0" applyNumberFormat="1" applyFill="1" applyBorder="1" applyProtection="1"/>
    <xf numFmtId="39" fontId="0" fillId="19" borderId="13" xfId="0" applyNumberFormat="1" applyFill="1" applyBorder="1" applyProtection="1"/>
    <xf numFmtId="39" fontId="0" fillId="9" borderId="13" xfId="0" applyNumberFormat="1" applyFill="1" applyBorder="1" applyProtection="1"/>
    <xf numFmtId="0" fontId="0" fillId="2" borderId="21" xfId="0" applyFill="1" applyBorder="1" applyProtection="1"/>
    <xf numFmtId="0" fontId="0" fillId="2" borderId="0" xfId="0" applyFill="1" applyBorder="1" applyProtection="1"/>
    <xf numFmtId="37" fontId="0" fillId="0" borderId="14" xfId="0" applyNumberFormat="1" applyFill="1" applyBorder="1" applyProtection="1"/>
    <xf numFmtId="164" fontId="0" fillId="0" borderId="14" xfId="1" applyNumberFormat="1" applyFont="1" applyFill="1" applyBorder="1" applyProtection="1"/>
    <xf numFmtId="37" fontId="0" fillId="11" borderId="14" xfId="0" applyNumberFormat="1" applyFill="1" applyBorder="1" applyProtection="1"/>
    <xf numFmtId="0" fontId="1" fillId="2" borderId="0" xfId="0" applyFont="1" applyFill="1" applyBorder="1" applyAlignment="1" applyProtection="1">
      <alignment horizontal="left"/>
    </xf>
    <xf numFmtId="39" fontId="0" fillId="0" borderId="4" xfId="1" applyNumberFormat="1" applyFont="1" applyFill="1" applyBorder="1" applyProtection="1"/>
    <xf numFmtId="37" fontId="0" fillId="0" borderId="13" xfId="0" applyNumberFormat="1" applyFill="1" applyBorder="1" applyProtection="1">
      <protection locked="0"/>
    </xf>
    <xf numFmtId="164" fontId="0" fillId="0" borderId="13" xfId="1" applyNumberFormat="1" applyFont="1" applyFill="1" applyBorder="1" applyProtection="1">
      <protection locked="0"/>
    </xf>
    <xf numFmtId="39" fontId="0" fillId="18" borderId="4" xfId="0" applyNumberFormat="1" applyFill="1" applyBorder="1" applyProtection="1">
      <protection locked="0"/>
    </xf>
    <xf numFmtId="39" fontId="0" fillId="19" borderId="4" xfId="0" applyNumberFormat="1" applyFill="1" applyBorder="1" applyProtection="1">
      <protection locked="0"/>
    </xf>
    <xf numFmtId="39" fontId="0" fillId="11" borderId="4" xfId="0" applyNumberFormat="1" applyFill="1" applyBorder="1" applyProtection="1">
      <protection locked="0"/>
    </xf>
    <xf numFmtId="39" fontId="0" fillId="9" borderId="4" xfId="0" applyNumberFormat="1" applyFill="1" applyBorder="1" applyProtection="1">
      <protection locked="0"/>
    </xf>
    <xf numFmtId="37" fontId="0" fillId="0" borderId="14" xfId="0" applyNumberFormat="1" applyFill="1" applyBorder="1" applyProtection="1">
      <protection locked="0"/>
    </xf>
    <xf numFmtId="37" fontId="0" fillId="0" borderId="9" xfId="0" applyNumberFormat="1" applyFill="1" applyBorder="1" applyProtection="1">
      <protection locked="0"/>
    </xf>
    <xf numFmtId="164" fontId="0" fillId="0" borderId="14" xfId="1" applyNumberFormat="1" applyFont="1" applyFill="1" applyBorder="1" applyProtection="1">
      <protection locked="0"/>
    </xf>
    <xf numFmtId="164" fontId="0" fillId="0" borderId="9" xfId="1" applyNumberFormat="1" applyFont="1" applyFill="1" applyBorder="1" applyProtection="1">
      <protection locked="0"/>
    </xf>
    <xf numFmtId="37" fontId="0" fillId="11" borderId="9" xfId="0" applyNumberFormat="1" applyFill="1" applyBorder="1" applyProtection="1">
      <protection locked="0"/>
    </xf>
    <xf numFmtId="39" fontId="0" fillId="18" borderId="9" xfId="0" applyNumberFormat="1" applyFill="1" applyBorder="1" applyProtection="1">
      <protection locked="0"/>
    </xf>
    <xf numFmtId="39" fontId="0" fillId="19" borderId="9" xfId="0" applyNumberFormat="1" applyFill="1" applyBorder="1" applyProtection="1">
      <protection locked="0"/>
    </xf>
    <xf numFmtId="39" fontId="0" fillId="11" borderId="9" xfId="0" applyNumberFormat="1" applyFill="1" applyBorder="1" applyProtection="1">
      <protection locked="0"/>
    </xf>
    <xf numFmtId="39" fontId="0" fillId="9" borderId="9" xfId="0" applyNumberFormat="1" applyFill="1" applyBorder="1" applyProtection="1">
      <protection locked="0"/>
    </xf>
    <xf numFmtId="37" fontId="1" fillId="0" borderId="34" xfId="0" applyNumberFormat="1" applyFont="1" applyFill="1" applyBorder="1" applyProtection="1">
      <protection locked="0"/>
    </xf>
    <xf numFmtId="164" fontId="1" fillId="0" borderId="34" xfId="1" applyNumberFormat="1" applyFont="1" applyFill="1" applyBorder="1" applyProtection="1">
      <protection locked="0"/>
    </xf>
    <xf numFmtId="0" fontId="1" fillId="2" borderId="35" xfId="0" applyFont="1" applyFill="1" applyBorder="1" applyProtection="1">
      <protection locked="0"/>
    </xf>
    <xf numFmtId="37" fontId="1" fillId="11" borderId="34" xfId="0" applyNumberFormat="1" applyFont="1" applyFill="1" applyBorder="1" applyProtection="1">
      <protection locked="0"/>
    </xf>
    <xf numFmtId="39" fontId="1" fillId="18" borderId="34" xfId="0" applyNumberFormat="1" applyFont="1" applyFill="1" applyBorder="1" applyProtection="1">
      <protection locked="0"/>
    </xf>
    <xf numFmtId="39" fontId="1" fillId="19" borderId="34" xfId="0" applyNumberFormat="1" applyFont="1" applyFill="1" applyBorder="1" applyProtection="1">
      <protection locked="0"/>
    </xf>
    <xf numFmtId="39" fontId="1" fillId="11" borderId="34" xfId="0" applyNumberFormat="1" applyFont="1" applyFill="1" applyBorder="1" applyProtection="1">
      <protection locked="0"/>
    </xf>
    <xf numFmtId="39" fontId="1" fillId="9" borderId="34" xfId="0" applyNumberFormat="1" applyFont="1" applyFill="1" applyBorder="1" applyProtection="1">
      <protection locked="0"/>
    </xf>
    <xf numFmtId="37" fontId="0" fillId="11" borderId="14" xfId="0" applyNumberFormat="1" applyFill="1" applyBorder="1" applyProtection="1">
      <protection locked="0"/>
    </xf>
    <xf numFmtId="39" fontId="0" fillId="18" borderId="13" xfId="0" applyNumberFormat="1" applyFill="1" applyBorder="1" applyProtection="1">
      <protection locked="0"/>
    </xf>
    <xf numFmtId="39" fontId="0" fillId="19" borderId="13" xfId="0" applyNumberFormat="1" applyFill="1" applyBorder="1" applyProtection="1">
      <protection locked="0"/>
    </xf>
    <xf numFmtId="39" fontId="0" fillId="11" borderId="13" xfId="0" applyNumberFormat="1" applyFill="1" applyBorder="1" applyProtection="1">
      <protection locked="0"/>
    </xf>
    <xf numFmtId="39" fontId="0" fillId="9" borderId="13" xfId="0" applyNumberFormat="1" applyFill="1" applyBorder="1" applyProtection="1">
      <protection locked="0"/>
    </xf>
    <xf numFmtId="37" fontId="1" fillId="0" borderId="12" xfId="0" applyNumberFormat="1" applyFont="1" applyFill="1" applyBorder="1" applyProtection="1">
      <protection locked="0"/>
    </xf>
    <xf numFmtId="164" fontId="1" fillId="0" borderId="12" xfId="1" applyNumberFormat="1" applyFont="1" applyFill="1" applyBorder="1" applyProtection="1">
      <protection locked="0"/>
    </xf>
    <xf numFmtId="0" fontId="1" fillId="2" borderId="10" xfId="0" applyFont="1" applyFill="1" applyBorder="1" applyProtection="1">
      <protection locked="0"/>
    </xf>
    <xf numFmtId="37" fontId="1" fillId="11" borderId="12" xfId="0" applyNumberFormat="1" applyFont="1" applyFill="1" applyBorder="1" applyProtection="1">
      <protection locked="0"/>
    </xf>
    <xf numFmtId="39" fontId="1" fillId="18" borderId="12" xfId="0" applyNumberFormat="1" applyFont="1" applyFill="1" applyBorder="1" applyProtection="1">
      <protection locked="0"/>
    </xf>
    <xf numFmtId="39" fontId="1" fillId="19" borderId="12" xfId="0" applyNumberFormat="1" applyFont="1" applyFill="1" applyBorder="1" applyProtection="1">
      <protection locked="0"/>
    </xf>
    <xf numFmtId="39" fontId="1" fillId="11" borderId="12" xfId="0" applyNumberFormat="1" applyFont="1" applyFill="1" applyBorder="1" applyProtection="1">
      <protection locked="0"/>
    </xf>
    <xf numFmtId="39" fontId="1" fillId="9" borderId="12" xfId="0" applyNumberFormat="1" applyFont="1" applyFill="1" applyBorder="1" applyProtection="1">
      <protection locked="0"/>
    </xf>
    <xf numFmtId="39" fontId="1" fillId="18" borderId="11" xfId="0" applyNumberFormat="1" applyFont="1" applyFill="1" applyBorder="1" applyProtection="1">
      <protection locked="0"/>
    </xf>
    <xf numFmtId="39" fontId="1" fillId="19" borderId="11" xfId="0" applyNumberFormat="1" applyFont="1" applyFill="1" applyBorder="1" applyProtection="1">
      <protection locked="0"/>
    </xf>
    <xf numFmtId="39" fontId="1" fillId="11" borderId="11" xfId="0" applyNumberFormat="1" applyFont="1" applyFill="1" applyBorder="1" applyProtection="1">
      <protection locked="0"/>
    </xf>
    <xf numFmtId="39" fontId="1" fillId="9" borderId="11" xfId="0" applyNumberFormat="1" applyFont="1" applyFill="1" applyBorder="1" applyProtection="1">
      <protection locked="0"/>
    </xf>
    <xf numFmtId="37" fontId="0" fillId="0" borderId="32" xfId="0" applyNumberFormat="1" applyFill="1" applyBorder="1" applyProtection="1">
      <protection locked="0"/>
    </xf>
    <xf numFmtId="37" fontId="0" fillId="0" borderId="28" xfId="0" applyNumberFormat="1" applyFill="1" applyBorder="1" applyProtection="1">
      <protection locked="0"/>
    </xf>
    <xf numFmtId="37" fontId="0" fillId="0" borderId="42" xfId="0" applyNumberFormat="1" applyFill="1" applyBorder="1" applyProtection="1">
      <protection locked="0"/>
    </xf>
    <xf numFmtId="37" fontId="0" fillId="11" borderId="13" xfId="0" applyNumberFormat="1" applyFill="1" applyBorder="1" applyProtection="1">
      <protection locked="0"/>
    </xf>
    <xf numFmtId="37" fontId="1" fillId="11" borderId="24" xfId="0" applyNumberFormat="1" applyFont="1" applyFill="1" applyBorder="1" applyProtection="1">
      <protection locked="0"/>
    </xf>
    <xf numFmtId="37" fontId="1" fillId="0" borderId="24" xfId="0" applyNumberFormat="1" applyFont="1" applyFill="1" applyBorder="1" applyProtection="1">
      <protection locked="0"/>
    </xf>
    <xf numFmtId="164" fontId="1" fillId="0" borderId="24" xfId="1" applyNumberFormat="1" applyFont="1" applyFill="1" applyBorder="1" applyProtection="1">
      <protection locked="0"/>
    </xf>
    <xf numFmtId="39" fontId="1" fillId="18" borderId="74" xfId="0" applyNumberFormat="1" applyFont="1" applyFill="1" applyBorder="1" applyProtection="1">
      <protection locked="0"/>
    </xf>
    <xf numFmtId="39" fontId="1" fillId="19" borderId="74" xfId="0" applyNumberFormat="1" applyFont="1" applyFill="1" applyBorder="1" applyProtection="1">
      <protection locked="0"/>
    </xf>
    <xf numFmtId="39" fontId="1" fillId="11" borderId="74" xfId="0" applyNumberFormat="1" applyFont="1" applyFill="1" applyBorder="1" applyProtection="1">
      <protection locked="0"/>
    </xf>
    <xf numFmtId="39" fontId="1" fillId="9" borderId="74" xfId="0" applyNumberFormat="1" applyFont="1" applyFill="1" applyBorder="1" applyProtection="1">
      <protection locked="0"/>
    </xf>
    <xf numFmtId="0" fontId="8" fillId="2" borderId="0" xfId="0" applyFont="1" applyFill="1" applyProtection="1"/>
    <xf numFmtId="0" fontId="4" fillId="2" borderId="0" xfId="0" applyFont="1" applyFill="1" applyAlignment="1" applyProtection="1">
      <alignment horizontal="center" wrapText="1"/>
    </xf>
    <xf numFmtId="0" fontId="0" fillId="2" borderId="16" xfId="0" applyFill="1" applyBorder="1" applyAlignment="1" applyProtection="1">
      <alignment horizontal="center"/>
    </xf>
    <xf numFmtId="0" fontId="1" fillId="2" borderId="22" xfId="0" applyFont="1" applyFill="1" applyBorder="1" applyAlignment="1" applyProtection="1">
      <alignment horizontal="right"/>
    </xf>
    <xf numFmtId="0" fontId="16" fillId="2" borderId="0" xfId="0" applyFont="1" applyFill="1" applyAlignment="1" applyProtection="1">
      <alignment horizontal="left"/>
    </xf>
    <xf numFmtId="0" fontId="1" fillId="2" borderId="9" xfId="0" applyFont="1" applyFill="1" applyBorder="1" applyAlignment="1" applyProtection="1">
      <alignment horizontal="center"/>
    </xf>
    <xf numFmtId="0" fontId="0" fillId="2" borderId="0" xfId="0" applyFill="1" applyAlignment="1" applyProtection="1">
      <alignment horizontal="left"/>
    </xf>
    <xf numFmtId="164" fontId="3" fillId="15" borderId="4" xfId="1" applyNumberFormat="1" applyFont="1" applyFill="1" applyBorder="1" applyAlignment="1" applyProtection="1"/>
    <xf numFmtId="37" fontId="1" fillId="14" borderId="25" xfId="0" applyNumberFormat="1" applyFont="1" applyFill="1" applyBorder="1" applyAlignment="1" applyProtection="1">
      <protection locked="0"/>
    </xf>
    <xf numFmtId="37" fontId="1" fillId="14" borderId="57" xfId="0" applyNumberFormat="1" applyFont="1" applyFill="1" applyBorder="1" applyAlignment="1" applyProtection="1">
      <protection locked="0"/>
    </xf>
    <xf numFmtId="164" fontId="1" fillId="14" borderId="26" xfId="1" applyNumberFormat="1" applyFont="1" applyFill="1" applyBorder="1" applyProtection="1">
      <protection locked="0"/>
    </xf>
    <xf numFmtId="37" fontId="1" fillId="14" borderId="26" xfId="0" applyNumberFormat="1" applyFont="1" applyFill="1" applyBorder="1" applyAlignment="1" applyProtection="1">
      <protection locked="0"/>
    </xf>
    <xf numFmtId="37" fontId="1" fillId="14" borderId="26" xfId="0" applyNumberFormat="1" applyFont="1" applyFill="1" applyBorder="1" applyProtection="1">
      <protection locked="0"/>
    </xf>
    <xf numFmtId="37" fontId="1" fillId="14" borderId="70" xfId="0" applyNumberFormat="1" applyFont="1" applyFill="1" applyBorder="1" applyProtection="1">
      <protection locked="0"/>
    </xf>
    <xf numFmtId="37" fontId="0" fillId="15" borderId="25" xfId="0" applyNumberFormat="1" applyFont="1" applyFill="1" applyBorder="1" applyAlignment="1" applyProtection="1">
      <protection locked="0"/>
    </xf>
    <xf numFmtId="37" fontId="0" fillId="15" borderId="57" xfId="0" applyNumberFormat="1" applyFont="1" applyFill="1" applyBorder="1" applyAlignment="1" applyProtection="1">
      <protection locked="0"/>
    </xf>
    <xf numFmtId="164" fontId="3" fillId="15" borderId="26" xfId="1" applyNumberFormat="1" applyFont="1" applyFill="1" applyBorder="1" applyProtection="1">
      <protection locked="0"/>
    </xf>
    <xf numFmtId="37" fontId="0" fillId="15" borderId="26" xfId="0" applyNumberFormat="1" applyFont="1" applyFill="1" applyBorder="1" applyAlignment="1" applyProtection="1">
      <protection locked="0"/>
    </xf>
    <xf numFmtId="37" fontId="0" fillId="15" borderId="26" xfId="0" applyNumberFormat="1" applyFont="1" applyFill="1" applyBorder="1" applyProtection="1">
      <protection locked="0"/>
    </xf>
    <xf numFmtId="37" fontId="0" fillId="15" borderId="70" xfId="0" applyNumberFormat="1" applyFont="1" applyFill="1" applyBorder="1" applyProtection="1">
      <protection locked="0"/>
    </xf>
    <xf numFmtId="37" fontId="1" fillId="14" borderId="27" xfId="0" applyNumberFormat="1" applyFont="1" applyFill="1" applyBorder="1" applyAlignment="1" applyProtection="1">
      <protection locked="0"/>
    </xf>
    <xf numFmtId="37" fontId="1" fillId="14" borderId="58" xfId="0" applyNumberFormat="1" applyFont="1" applyFill="1" applyBorder="1" applyAlignment="1" applyProtection="1">
      <protection locked="0"/>
    </xf>
    <xf numFmtId="164" fontId="1" fillId="14" borderId="28" xfId="1" applyNumberFormat="1" applyFont="1" applyFill="1" applyBorder="1" applyProtection="1">
      <protection locked="0"/>
    </xf>
    <xf numFmtId="37" fontId="1" fillId="14" borderId="28" xfId="0" applyNumberFormat="1" applyFont="1" applyFill="1" applyBorder="1" applyAlignment="1" applyProtection="1">
      <protection locked="0"/>
    </xf>
    <xf numFmtId="37" fontId="1" fillId="14" borderId="28" xfId="0" applyNumberFormat="1" applyFont="1" applyFill="1" applyBorder="1" applyProtection="1">
      <protection locked="0"/>
    </xf>
    <xf numFmtId="37" fontId="1" fillId="14" borderId="66" xfId="0" applyNumberFormat="1" applyFont="1" applyFill="1" applyBorder="1" applyProtection="1">
      <protection locked="0"/>
    </xf>
    <xf numFmtId="37" fontId="1" fillId="15" borderId="38" xfId="0" applyNumberFormat="1" applyFont="1" applyFill="1" applyBorder="1" applyAlignment="1" applyProtection="1">
      <protection locked="0"/>
    </xf>
    <xf numFmtId="37" fontId="1" fillId="15" borderId="59" xfId="0" applyNumberFormat="1" applyFont="1" applyFill="1" applyBorder="1" applyAlignment="1" applyProtection="1">
      <protection locked="0"/>
    </xf>
    <xf numFmtId="164" fontId="1" fillId="15" borderId="34" xfId="1" applyNumberFormat="1" applyFont="1" applyFill="1" applyBorder="1" applyProtection="1">
      <protection locked="0"/>
    </xf>
    <xf numFmtId="37" fontId="1" fillId="15" borderId="34" xfId="0" applyNumberFormat="1" applyFont="1" applyFill="1" applyBorder="1" applyAlignment="1" applyProtection="1">
      <protection locked="0"/>
    </xf>
    <xf numFmtId="37" fontId="1" fillId="15" borderId="34" xfId="0" applyNumberFormat="1" applyFont="1" applyFill="1" applyBorder="1" applyProtection="1">
      <protection locked="0"/>
    </xf>
    <xf numFmtId="37" fontId="1" fillId="15" borderId="68" xfId="0" applyNumberFormat="1" applyFont="1" applyFill="1" applyBorder="1" applyProtection="1">
      <protection locked="0"/>
    </xf>
    <xf numFmtId="37" fontId="1" fillId="15" borderId="29" xfId="0" applyNumberFormat="1" applyFont="1" applyFill="1" applyBorder="1" applyAlignment="1" applyProtection="1">
      <protection locked="0"/>
    </xf>
    <xf numFmtId="37" fontId="1" fillId="15" borderId="18" xfId="0" applyNumberFormat="1" applyFont="1" applyFill="1" applyBorder="1" applyAlignment="1" applyProtection="1">
      <protection locked="0"/>
    </xf>
    <xf numFmtId="164" fontId="1" fillId="15" borderId="13" xfId="1" applyNumberFormat="1" applyFont="1" applyFill="1" applyBorder="1" applyProtection="1">
      <protection locked="0"/>
    </xf>
    <xf numFmtId="37" fontId="1" fillId="15" borderId="13" xfId="0" applyNumberFormat="1" applyFont="1" applyFill="1" applyBorder="1" applyAlignment="1" applyProtection="1">
      <protection locked="0"/>
    </xf>
    <xf numFmtId="37" fontId="1" fillId="15" borderId="13" xfId="0" applyNumberFormat="1" applyFont="1" applyFill="1" applyBorder="1" applyProtection="1">
      <protection locked="0"/>
    </xf>
    <xf numFmtId="37" fontId="1" fillId="15" borderId="71" xfId="0" applyNumberFormat="1" applyFont="1" applyFill="1" applyBorder="1" applyProtection="1">
      <protection locked="0"/>
    </xf>
    <xf numFmtId="37" fontId="0" fillId="15" borderId="29" xfId="0" applyNumberFormat="1" applyFont="1" applyFill="1" applyBorder="1" applyAlignment="1" applyProtection="1">
      <protection locked="0"/>
    </xf>
    <xf numFmtId="37" fontId="0" fillId="15" borderId="18" xfId="0" applyNumberFormat="1" applyFont="1" applyFill="1" applyBorder="1" applyAlignment="1" applyProtection="1">
      <protection locked="0"/>
    </xf>
    <xf numFmtId="164" fontId="3" fillId="15" borderId="13" xfId="1" applyNumberFormat="1" applyFont="1" applyFill="1" applyBorder="1" applyProtection="1">
      <protection locked="0"/>
    </xf>
    <xf numFmtId="37" fontId="0" fillId="15" borderId="13" xfId="0" applyNumberFormat="1" applyFont="1" applyFill="1" applyBorder="1" applyAlignment="1" applyProtection="1">
      <protection locked="0"/>
    </xf>
    <xf numFmtId="37" fontId="0" fillId="15" borderId="13" xfId="0" applyNumberFormat="1" applyFont="1" applyFill="1" applyBorder="1" applyProtection="1">
      <protection locked="0"/>
    </xf>
    <xf numFmtId="37" fontId="0" fillId="15" borderId="71" xfId="0" applyNumberFormat="1" applyFont="1" applyFill="1" applyBorder="1" applyProtection="1">
      <protection locked="0"/>
    </xf>
    <xf numFmtId="37" fontId="0" fillId="15" borderId="27" xfId="0" applyNumberFormat="1" applyFont="1" applyFill="1" applyBorder="1" applyAlignment="1" applyProtection="1">
      <protection locked="0"/>
    </xf>
    <xf numFmtId="37" fontId="0" fillId="15" borderId="58" xfId="0" applyNumberFormat="1" applyFont="1" applyFill="1" applyBorder="1" applyAlignment="1" applyProtection="1">
      <protection locked="0"/>
    </xf>
    <xf numFmtId="164" fontId="3" fillId="15" borderId="28" xfId="1" applyNumberFormat="1" applyFont="1" applyFill="1" applyBorder="1" applyProtection="1">
      <protection locked="0"/>
    </xf>
    <xf numFmtId="37" fontId="0" fillId="15" borderId="28" xfId="0" applyNumberFormat="1" applyFont="1" applyFill="1" applyBorder="1" applyAlignment="1" applyProtection="1">
      <protection locked="0"/>
    </xf>
    <xf numFmtId="37" fontId="0" fillId="15" borderId="28" xfId="0" applyNumberFormat="1" applyFont="1" applyFill="1" applyBorder="1" applyProtection="1">
      <protection locked="0"/>
    </xf>
    <xf numFmtId="37" fontId="0" fillId="15" borderId="66" xfId="0" applyNumberFormat="1" applyFont="1" applyFill="1" applyBorder="1" applyProtection="1">
      <protection locked="0"/>
    </xf>
    <xf numFmtId="164" fontId="1" fillId="14" borderId="26" xfId="1" applyNumberFormat="1" applyFont="1" applyFill="1" applyBorder="1" applyAlignment="1" applyProtection="1">
      <alignment horizontal="right"/>
      <protection locked="0"/>
    </xf>
    <xf numFmtId="164" fontId="3" fillId="15" borderId="26" xfId="1" applyNumberFormat="1" applyFont="1" applyFill="1" applyBorder="1" applyAlignment="1" applyProtection="1">
      <alignment horizontal="right"/>
      <protection locked="0"/>
    </xf>
    <xf numFmtId="164" fontId="1" fillId="14" borderId="28" xfId="1" applyNumberFormat="1" applyFont="1" applyFill="1" applyBorder="1" applyAlignment="1" applyProtection="1">
      <alignment horizontal="right"/>
      <protection locked="0"/>
    </xf>
    <xf numFmtId="164" fontId="1" fillId="15" borderId="34" xfId="1" applyNumberFormat="1" applyFont="1" applyFill="1" applyBorder="1" applyAlignment="1" applyProtection="1">
      <alignment horizontal="right"/>
      <protection locked="0"/>
    </xf>
    <xf numFmtId="164" fontId="1" fillId="15" borderId="13" xfId="1" applyNumberFormat="1" applyFont="1" applyFill="1" applyBorder="1" applyAlignment="1" applyProtection="1">
      <alignment horizontal="right"/>
      <protection locked="0"/>
    </xf>
    <xf numFmtId="37" fontId="0" fillId="15" borderId="30" xfId="0" applyNumberFormat="1" applyFont="1" applyFill="1" applyBorder="1" applyAlignment="1" applyProtection="1">
      <protection locked="0"/>
    </xf>
    <xf numFmtId="37" fontId="0" fillId="15" borderId="22" xfId="0" applyNumberFormat="1" applyFont="1" applyFill="1" applyBorder="1" applyAlignment="1" applyProtection="1">
      <protection locked="0"/>
    </xf>
    <xf numFmtId="164" fontId="3" fillId="15" borderId="14" xfId="1" applyNumberFormat="1" applyFont="1" applyFill="1" applyBorder="1" applyAlignment="1" applyProtection="1">
      <alignment horizontal="right"/>
      <protection locked="0"/>
    </xf>
    <xf numFmtId="37" fontId="0" fillId="15" borderId="14" xfId="0" applyNumberFormat="1" applyFont="1" applyFill="1" applyBorder="1" applyAlignment="1" applyProtection="1">
      <protection locked="0"/>
    </xf>
    <xf numFmtId="37" fontId="0" fillId="15" borderId="14" xfId="0" applyNumberFormat="1" applyFont="1" applyFill="1" applyBorder="1" applyProtection="1">
      <protection locked="0"/>
    </xf>
    <xf numFmtId="37" fontId="0" fillId="15" borderId="67" xfId="0" applyNumberFormat="1" applyFont="1" applyFill="1" applyBorder="1" applyProtection="1">
      <protection locked="0"/>
    </xf>
    <xf numFmtId="37" fontId="0" fillId="15" borderId="31" xfId="0" applyNumberFormat="1" applyFont="1" applyFill="1" applyBorder="1" applyAlignment="1" applyProtection="1">
      <protection locked="0"/>
    </xf>
    <xf numFmtId="37" fontId="0" fillId="15" borderId="60" xfId="0" applyNumberFormat="1" applyFont="1" applyFill="1" applyBorder="1" applyAlignment="1" applyProtection="1">
      <protection locked="0"/>
    </xf>
    <xf numFmtId="164" fontId="3" fillId="15" borderId="32" xfId="1" applyNumberFormat="1" applyFont="1" applyFill="1" applyBorder="1" applyAlignment="1" applyProtection="1">
      <alignment horizontal="right"/>
      <protection locked="0"/>
    </xf>
    <xf numFmtId="37" fontId="0" fillId="15" borderId="32" xfId="0" applyNumberFormat="1" applyFont="1" applyFill="1" applyBorder="1" applyAlignment="1" applyProtection="1">
      <protection locked="0"/>
    </xf>
    <xf numFmtId="37" fontId="0" fillId="15" borderId="32" xfId="0" applyNumberFormat="1" applyFont="1" applyFill="1" applyBorder="1" applyProtection="1">
      <protection locked="0"/>
    </xf>
    <xf numFmtId="37" fontId="0" fillId="15" borderId="63" xfId="0" applyNumberFormat="1" applyFont="1" applyFill="1" applyBorder="1" applyProtection="1">
      <protection locked="0"/>
    </xf>
    <xf numFmtId="44" fontId="1" fillId="14" borderId="25" xfId="0" applyNumberFormat="1" applyFont="1" applyFill="1" applyBorder="1" applyAlignment="1" applyProtection="1">
      <protection locked="0"/>
    </xf>
    <xf numFmtId="44" fontId="1" fillId="14" borderId="57" xfId="0" applyNumberFormat="1" applyFont="1" applyFill="1" applyBorder="1" applyAlignment="1" applyProtection="1">
      <protection locked="0"/>
    </xf>
    <xf numFmtId="164" fontId="1" fillId="14" borderId="26" xfId="1" applyNumberFormat="1" applyFont="1" applyFill="1" applyBorder="1" applyAlignment="1" applyProtection="1">
      <protection locked="0"/>
    </xf>
    <xf numFmtId="44" fontId="1" fillId="14" borderId="26" xfId="0" applyNumberFormat="1" applyFont="1" applyFill="1" applyBorder="1" applyProtection="1">
      <protection locked="0"/>
    </xf>
    <xf numFmtId="44" fontId="1" fillId="14" borderId="70" xfId="0" applyNumberFormat="1" applyFont="1" applyFill="1" applyBorder="1" applyProtection="1">
      <protection locked="0"/>
    </xf>
    <xf numFmtId="44" fontId="0" fillId="15" borderId="25" xfId="0" applyNumberFormat="1" applyFont="1" applyFill="1" applyBorder="1" applyAlignment="1" applyProtection="1">
      <protection locked="0"/>
    </xf>
    <xf numFmtId="44" fontId="0" fillId="15" borderId="57" xfId="0" applyNumberFormat="1" applyFont="1" applyFill="1" applyBorder="1" applyAlignment="1" applyProtection="1">
      <protection locked="0"/>
    </xf>
    <xf numFmtId="164" fontId="3" fillId="15" borderId="26" xfId="1" applyNumberFormat="1" applyFont="1" applyFill="1" applyBorder="1" applyAlignment="1" applyProtection="1">
      <protection locked="0"/>
    </xf>
    <xf numFmtId="44" fontId="0" fillId="15" borderId="26" xfId="0" applyNumberFormat="1" applyFont="1" applyFill="1" applyBorder="1" applyProtection="1">
      <protection locked="0"/>
    </xf>
    <xf numFmtId="44" fontId="0" fillId="15" borderId="70" xfId="0" applyNumberFormat="1" applyFont="1" applyFill="1" applyBorder="1" applyProtection="1">
      <protection locked="0"/>
    </xf>
    <xf numFmtId="44" fontId="1" fillId="14" borderId="27" xfId="0" applyNumberFormat="1" applyFont="1" applyFill="1" applyBorder="1" applyAlignment="1" applyProtection="1">
      <protection locked="0"/>
    </xf>
    <xf numFmtId="44" fontId="1" fillId="14" borderId="58" xfId="0" applyNumberFormat="1" applyFont="1" applyFill="1" applyBorder="1" applyAlignment="1" applyProtection="1">
      <protection locked="0"/>
    </xf>
    <xf numFmtId="164" fontId="1" fillId="14" borderId="28" xfId="1" applyNumberFormat="1" applyFont="1" applyFill="1" applyBorder="1" applyAlignment="1" applyProtection="1">
      <protection locked="0"/>
    </xf>
    <xf numFmtId="44" fontId="1" fillId="14" borderId="28" xfId="0" applyNumberFormat="1" applyFont="1" applyFill="1" applyBorder="1" applyProtection="1">
      <protection locked="0"/>
    </xf>
    <xf numFmtId="44" fontId="1" fillId="14" borderId="66" xfId="0" applyNumberFormat="1" applyFont="1" applyFill="1" applyBorder="1" applyProtection="1">
      <protection locked="0"/>
    </xf>
    <xf numFmtId="44" fontId="1" fillId="15" borderId="38" xfId="0" applyNumberFormat="1" applyFont="1" applyFill="1" applyBorder="1" applyAlignment="1" applyProtection="1">
      <protection locked="0"/>
    </xf>
    <xf numFmtId="44" fontId="1" fillId="15" borderId="59" xfId="0" applyNumberFormat="1" applyFont="1" applyFill="1" applyBorder="1" applyAlignment="1" applyProtection="1">
      <protection locked="0"/>
    </xf>
    <xf numFmtId="164" fontId="1" fillId="15" borderId="34" xfId="1" applyNumberFormat="1" applyFont="1" applyFill="1" applyBorder="1" applyAlignment="1" applyProtection="1">
      <protection locked="0"/>
    </xf>
    <xf numFmtId="44" fontId="1" fillId="15" borderId="34" xfId="0" applyNumberFormat="1" applyFont="1" applyFill="1" applyBorder="1" applyProtection="1">
      <protection locked="0"/>
    </xf>
    <xf numFmtId="44" fontId="1" fillId="15" borderId="68" xfId="0" applyNumberFormat="1" applyFont="1" applyFill="1" applyBorder="1" applyProtection="1">
      <protection locked="0"/>
    </xf>
    <xf numFmtId="44" fontId="1" fillId="15" borderId="29" xfId="0" applyNumberFormat="1" applyFont="1" applyFill="1" applyBorder="1" applyAlignment="1" applyProtection="1">
      <protection locked="0"/>
    </xf>
    <xf numFmtId="44" fontId="1" fillId="15" borderId="18" xfId="0" applyNumberFormat="1" applyFont="1" applyFill="1" applyBorder="1" applyAlignment="1" applyProtection="1">
      <protection locked="0"/>
    </xf>
    <xf numFmtId="164" fontId="1" fillId="15" borderId="13" xfId="1" applyNumberFormat="1" applyFont="1" applyFill="1" applyBorder="1" applyAlignment="1" applyProtection="1">
      <protection locked="0"/>
    </xf>
    <xf numFmtId="44" fontId="1" fillId="15" borderId="13" xfId="0" applyNumberFormat="1" applyFont="1" applyFill="1" applyBorder="1" applyProtection="1">
      <protection locked="0"/>
    </xf>
    <xf numFmtId="44" fontId="1" fillId="15" borderId="71" xfId="0" applyNumberFormat="1" applyFont="1" applyFill="1" applyBorder="1" applyProtection="1">
      <protection locked="0"/>
    </xf>
    <xf numFmtId="44" fontId="0" fillId="15" borderId="41" xfId="0" applyNumberFormat="1" applyFont="1" applyFill="1" applyBorder="1" applyAlignment="1" applyProtection="1">
      <protection locked="0"/>
    </xf>
    <xf numFmtId="44" fontId="0" fillId="15" borderId="61" xfId="0" applyNumberFormat="1" applyFont="1" applyFill="1" applyBorder="1" applyAlignment="1" applyProtection="1">
      <protection locked="0"/>
    </xf>
    <xf numFmtId="164" fontId="3" fillId="15" borderId="42" xfId="1" applyNumberFormat="1" applyFont="1" applyFill="1" applyBorder="1" applyAlignment="1" applyProtection="1">
      <protection locked="0"/>
    </xf>
    <xf numFmtId="44" fontId="0" fillId="15" borderId="42" xfId="0" applyNumberFormat="1" applyFont="1" applyFill="1" applyBorder="1" applyProtection="1">
      <protection locked="0"/>
    </xf>
    <xf numFmtId="44" fontId="0" fillId="15" borderId="65" xfId="0" applyNumberFormat="1" applyFont="1" applyFill="1" applyBorder="1" applyProtection="1">
      <protection locked="0"/>
    </xf>
    <xf numFmtId="44" fontId="1" fillId="15" borderId="40" xfId="0" applyNumberFormat="1" applyFont="1" applyFill="1" applyBorder="1" applyAlignment="1" applyProtection="1">
      <protection locked="0"/>
    </xf>
    <xf numFmtId="164" fontId="1" fillId="15" borderId="39" xfId="1" applyNumberFormat="1" applyFont="1" applyFill="1" applyBorder="1" applyAlignment="1" applyProtection="1">
      <protection locked="0"/>
    </xf>
    <xf numFmtId="44" fontId="1" fillId="15" borderId="39" xfId="0" applyNumberFormat="1" applyFont="1" applyFill="1" applyBorder="1" applyProtection="1">
      <protection locked="0"/>
    </xf>
    <xf numFmtId="0" fontId="0" fillId="7" borderId="0" xfId="0" applyFill="1" applyAlignment="1" applyProtection="1"/>
    <xf numFmtId="37" fontId="0" fillId="20" borderId="0" xfId="0" applyNumberFormat="1" applyFill="1" applyProtection="1"/>
    <xf numFmtId="0" fontId="0" fillId="2" borderId="0" xfId="0" applyFill="1" applyAlignment="1" applyProtection="1">
      <alignment horizontal="right" wrapText="1"/>
    </xf>
    <xf numFmtId="37" fontId="1" fillId="0" borderId="13" xfId="0" applyNumberFormat="1" applyFont="1" applyFill="1" applyBorder="1" applyProtection="1"/>
    <xf numFmtId="164" fontId="1" fillId="0" borderId="13" xfId="1" applyNumberFormat="1" applyFont="1" applyFill="1" applyBorder="1" applyProtection="1"/>
    <xf numFmtId="37" fontId="1" fillId="11" borderId="13" xfId="0" applyNumberFormat="1" applyFont="1" applyFill="1" applyBorder="1" applyProtection="1"/>
    <xf numFmtId="37" fontId="0" fillId="2" borderId="0" xfId="0" applyNumberFormat="1" applyFill="1" applyAlignment="1" applyProtection="1">
      <alignment horizontal="right"/>
    </xf>
    <xf numFmtId="0" fontId="0" fillId="2" borderId="0" xfId="0" applyFill="1" applyAlignment="1" applyProtection="1"/>
    <xf numFmtId="0" fontId="0" fillId="2" borderId="0" xfId="0" applyFont="1" applyFill="1" applyAlignment="1" applyProtection="1">
      <alignment horizontal="left"/>
    </xf>
    <xf numFmtId="39" fontId="1" fillId="0" borderId="36" xfId="0" applyNumberFormat="1" applyFont="1" applyFill="1" applyBorder="1" applyProtection="1"/>
    <xf numFmtId="164" fontId="1" fillId="0" borderId="36" xfId="1" applyNumberFormat="1" applyFont="1" applyFill="1" applyBorder="1" applyProtection="1"/>
    <xf numFmtId="39" fontId="1" fillId="11" borderId="37" xfId="0" applyNumberFormat="1" applyFont="1" applyFill="1" applyBorder="1" applyProtection="1"/>
    <xf numFmtId="39" fontId="0" fillId="18" borderId="73" xfId="0" applyNumberFormat="1" applyFill="1" applyBorder="1" applyProtection="1">
      <protection locked="0"/>
    </xf>
    <xf numFmtId="39" fontId="0" fillId="19" borderId="73" xfId="0" applyNumberFormat="1" applyFill="1" applyBorder="1" applyProtection="1">
      <protection locked="0"/>
    </xf>
    <xf numFmtId="39" fontId="0" fillId="11" borderId="73" xfId="0" applyNumberFormat="1" applyFill="1" applyBorder="1" applyProtection="1">
      <protection locked="0"/>
    </xf>
    <xf numFmtId="39" fontId="0" fillId="9" borderId="73" xfId="0" applyNumberFormat="1" applyFill="1" applyBorder="1" applyProtection="1">
      <protection locked="0"/>
    </xf>
    <xf numFmtId="37" fontId="1" fillId="0" borderId="33" xfId="0" applyNumberFormat="1" applyFont="1" applyFill="1" applyBorder="1" applyProtection="1">
      <protection locked="0"/>
    </xf>
    <xf numFmtId="164" fontId="1" fillId="0" borderId="33" xfId="1" applyNumberFormat="1" applyFont="1" applyFill="1" applyBorder="1" applyProtection="1">
      <protection locked="0"/>
    </xf>
    <xf numFmtId="37" fontId="1" fillId="11" borderId="33" xfId="0" applyNumberFormat="1" applyFont="1" applyFill="1" applyBorder="1" applyProtection="1">
      <protection locked="0"/>
    </xf>
    <xf numFmtId="39" fontId="0" fillId="18" borderId="23" xfId="0" applyNumberFormat="1" applyFill="1" applyBorder="1" applyProtection="1">
      <protection locked="0"/>
    </xf>
    <xf numFmtId="39" fontId="0" fillId="19" borderId="23" xfId="0" applyNumberFormat="1" applyFill="1" applyBorder="1" applyProtection="1">
      <protection locked="0"/>
    </xf>
    <xf numFmtId="39" fontId="0" fillId="11" borderId="23" xfId="0" applyNumberFormat="1" applyFill="1" applyBorder="1" applyProtection="1">
      <protection locked="0"/>
    </xf>
    <xf numFmtId="39" fontId="0" fillId="9" borderId="23" xfId="0" applyNumberFormat="1" applyFill="1" applyBorder="1" applyProtection="1">
      <protection locked="0"/>
    </xf>
    <xf numFmtId="164" fontId="0" fillId="2" borderId="0" xfId="1" applyNumberFormat="1" applyFont="1" applyFill="1" applyProtection="1"/>
    <xf numFmtId="39" fontId="0" fillId="11" borderId="4" xfId="0" applyNumberFormat="1" applyFill="1" applyBorder="1" applyAlignment="1" applyProtection="1">
      <alignment horizontal="right"/>
    </xf>
    <xf numFmtId="37" fontId="0" fillId="11" borderId="4" xfId="0" applyNumberFormat="1" applyFill="1" applyBorder="1" applyAlignment="1" applyProtection="1">
      <alignment horizontal="right"/>
    </xf>
    <xf numFmtId="10" fontId="0" fillId="2" borderId="0" xfId="0" applyNumberFormat="1" applyFill="1" applyProtection="1"/>
    <xf numFmtId="39" fontId="1" fillId="18" borderId="37" xfId="0" applyNumberFormat="1" applyFont="1" applyFill="1" applyBorder="1" applyProtection="1"/>
    <xf numFmtId="39" fontId="1" fillId="19" borderId="37" xfId="0" applyNumberFormat="1" applyFont="1" applyFill="1" applyBorder="1" applyProtection="1"/>
    <xf numFmtId="39" fontId="1" fillId="9" borderId="37" xfId="0" applyNumberFormat="1" applyFont="1" applyFill="1" applyBorder="1" applyProtection="1"/>
    <xf numFmtId="39" fontId="1" fillId="11" borderId="37" xfId="0" applyNumberFormat="1" applyFont="1" applyFill="1" applyBorder="1" applyAlignment="1" applyProtection="1">
      <alignment horizontal="right"/>
    </xf>
    <xf numFmtId="39" fontId="0" fillId="11" borderId="13" xfId="0" applyNumberFormat="1" applyFill="1" applyBorder="1" applyAlignment="1" applyProtection="1">
      <alignment horizontal="right"/>
    </xf>
    <xf numFmtId="37" fontId="0" fillId="2" borderId="21" xfId="0" applyNumberFormat="1" applyFill="1" applyBorder="1" applyProtection="1"/>
    <xf numFmtId="37" fontId="0" fillId="2" borderId="0" xfId="0" applyNumberFormat="1" applyFill="1" applyBorder="1" applyProtection="1"/>
    <xf numFmtId="37" fontId="0" fillId="15" borderId="4" xfId="0" applyNumberFormat="1" applyFont="1" applyFill="1" applyBorder="1" applyAlignment="1" applyProtection="1"/>
    <xf numFmtId="49" fontId="0" fillId="3" borderId="0" xfId="0" applyNumberFormat="1" applyFont="1" applyFill="1" applyAlignment="1" applyProtection="1">
      <alignment horizontal="left"/>
    </xf>
    <xf numFmtId="39" fontId="0" fillId="18" borderId="26" xfId="0" applyNumberFormat="1" applyFill="1" applyBorder="1" applyProtection="1"/>
    <xf numFmtId="39" fontId="0" fillId="19" borderId="26" xfId="0" applyNumberFormat="1" applyFill="1" applyBorder="1" applyProtection="1"/>
    <xf numFmtId="39" fontId="0" fillId="9" borderId="26" xfId="0" applyNumberFormat="1" applyFill="1" applyBorder="1" applyProtection="1"/>
    <xf numFmtId="39" fontId="0" fillId="11" borderId="26" xfId="0" applyNumberFormat="1" applyFill="1" applyBorder="1" applyAlignment="1" applyProtection="1">
      <alignment horizontal="right"/>
    </xf>
    <xf numFmtId="37" fontId="0" fillId="11" borderId="70" xfId="0" applyNumberFormat="1" applyFill="1" applyBorder="1" applyAlignment="1" applyProtection="1">
      <alignment horizontal="right"/>
    </xf>
    <xf numFmtId="39" fontId="0" fillId="18" borderId="28" xfId="0" applyNumberFormat="1" applyFill="1" applyBorder="1" applyProtection="1"/>
    <xf numFmtId="39" fontId="0" fillId="19" borderId="28" xfId="0" applyNumberFormat="1" applyFill="1" applyBorder="1" applyProtection="1"/>
    <xf numFmtId="39" fontId="0" fillId="9" borderId="28" xfId="0" applyNumberFormat="1" applyFill="1" applyBorder="1" applyProtection="1"/>
    <xf numFmtId="39" fontId="0" fillId="11" borderId="28" xfId="0" applyNumberFormat="1" applyFill="1" applyBorder="1" applyAlignment="1" applyProtection="1">
      <alignment horizontal="right"/>
    </xf>
    <xf numFmtId="37" fontId="0" fillId="11" borderId="66" xfId="0" applyNumberFormat="1" applyFill="1" applyBorder="1" applyAlignment="1" applyProtection="1">
      <alignment horizontal="right"/>
    </xf>
    <xf numFmtId="39" fontId="1" fillId="11" borderId="34" xfId="0" applyNumberFormat="1" applyFont="1" applyFill="1" applyBorder="1" applyAlignment="1" applyProtection="1">
      <alignment horizontal="right"/>
    </xf>
    <xf numFmtId="37" fontId="1" fillId="11" borderId="68" xfId="0" applyNumberFormat="1" applyFont="1" applyFill="1" applyBorder="1" applyAlignment="1" applyProtection="1">
      <alignment horizontal="right"/>
    </xf>
    <xf numFmtId="37" fontId="0" fillId="11" borderId="71" xfId="0" applyNumberFormat="1" applyFill="1" applyBorder="1" applyAlignment="1" applyProtection="1">
      <alignment horizontal="right"/>
    </xf>
    <xf numFmtId="10" fontId="0" fillId="2" borderId="22" xfId="1" applyNumberFormat="1" applyFont="1" applyFill="1" applyBorder="1" applyProtection="1"/>
    <xf numFmtId="10" fontId="0" fillId="2" borderId="21" xfId="1" applyNumberFormat="1" applyFont="1" applyFill="1" applyBorder="1" applyProtection="1"/>
    <xf numFmtId="10" fontId="0" fillId="2" borderId="0" xfId="1" applyNumberFormat="1" applyFont="1" applyFill="1" applyBorder="1" applyProtection="1"/>
    <xf numFmtId="37" fontId="0" fillId="2" borderId="15" xfId="0" applyNumberFormat="1" applyFill="1" applyBorder="1" applyProtection="1"/>
    <xf numFmtId="37" fontId="0" fillId="2" borderId="19" xfId="0" applyNumberFormat="1" applyFill="1" applyBorder="1" applyProtection="1"/>
    <xf numFmtId="39" fontId="1" fillId="18" borderId="33" xfId="0" applyNumberFormat="1" applyFont="1" applyFill="1" applyBorder="1" applyProtection="1"/>
    <xf numFmtId="39" fontId="1" fillId="19" borderId="33" xfId="0" applyNumberFormat="1" applyFont="1" applyFill="1" applyBorder="1" applyProtection="1"/>
    <xf numFmtId="39" fontId="1" fillId="9" borderId="33" xfId="0" applyNumberFormat="1" applyFont="1" applyFill="1" applyBorder="1" applyProtection="1"/>
    <xf numFmtId="39" fontId="1" fillId="11" borderId="33" xfId="0" applyNumberFormat="1" applyFont="1" applyFill="1" applyBorder="1" applyAlignment="1" applyProtection="1">
      <alignment horizontal="right"/>
    </xf>
    <xf numFmtId="39" fontId="1" fillId="18" borderId="23" xfId="0" applyNumberFormat="1" applyFont="1" applyFill="1" applyBorder="1" applyProtection="1"/>
    <xf numFmtId="39" fontId="1" fillId="19" borderId="23" xfId="0" applyNumberFormat="1" applyFont="1" applyFill="1" applyBorder="1" applyProtection="1"/>
    <xf numFmtId="39" fontId="1" fillId="9" borderId="23" xfId="0" applyNumberFormat="1" applyFont="1" applyFill="1" applyBorder="1" applyProtection="1"/>
    <xf numFmtId="39" fontId="1" fillId="11" borderId="23" xfId="0" applyNumberFormat="1" applyFont="1" applyFill="1" applyBorder="1" applyAlignment="1" applyProtection="1">
      <alignment horizontal="right"/>
    </xf>
    <xf numFmtId="39" fontId="0" fillId="11" borderId="4" xfId="0" applyNumberFormat="1" applyFill="1" applyBorder="1" applyAlignment="1" applyProtection="1">
      <alignment horizontal="right"/>
      <protection locked="0"/>
    </xf>
    <xf numFmtId="37" fontId="0" fillId="11" borderId="4" xfId="0" applyNumberFormat="1" applyFill="1" applyBorder="1" applyAlignment="1" applyProtection="1">
      <alignment horizontal="right"/>
      <protection locked="0"/>
    </xf>
    <xf numFmtId="39" fontId="0" fillId="11" borderId="9" xfId="0" applyNumberFormat="1" applyFill="1" applyBorder="1" applyAlignment="1" applyProtection="1">
      <alignment horizontal="right"/>
      <protection locked="0"/>
    </xf>
    <xf numFmtId="37" fontId="0" fillId="11" borderId="9" xfId="0" applyNumberFormat="1" applyFill="1" applyBorder="1" applyAlignment="1" applyProtection="1">
      <alignment horizontal="right"/>
      <protection locked="0"/>
    </xf>
    <xf numFmtId="39" fontId="1" fillId="11" borderId="34" xfId="0" applyNumberFormat="1" applyFont="1" applyFill="1" applyBorder="1" applyAlignment="1" applyProtection="1">
      <alignment horizontal="right"/>
      <protection locked="0"/>
    </xf>
    <xf numFmtId="37" fontId="1" fillId="11" borderId="34" xfId="0" applyNumberFormat="1" applyFont="1" applyFill="1" applyBorder="1" applyAlignment="1" applyProtection="1">
      <alignment horizontal="right"/>
      <protection locked="0"/>
    </xf>
    <xf numFmtId="39" fontId="0" fillId="11" borderId="13" xfId="0" applyNumberFormat="1" applyFill="1" applyBorder="1" applyAlignment="1" applyProtection="1">
      <alignment horizontal="right"/>
      <protection locked="0"/>
    </xf>
    <xf numFmtId="37" fontId="0" fillId="11" borderId="13" xfId="0" applyNumberFormat="1" applyFill="1" applyBorder="1" applyAlignment="1" applyProtection="1">
      <alignment horizontal="right"/>
      <protection locked="0"/>
    </xf>
    <xf numFmtId="39" fontId="1" fillId="11" borderId="12" xfId="0" applyNumberFormat="1" applyFont="1" applyFill="1" applyBorder="1" applyAlignment="1" applyProtection="1">
      <alignment horizontal="right"/>
      <protection locked="0"/>
    </xf>
    <xf numFmtId="37" fontId="1" fillId="11" borderId="12" xfId="0" applyNumberFormat="1" applyFont="1" applyFill="1" applyBorder="1" applyAlignment="1" applyProtection="1">
      <alignment horizontal="right"/>
      <protection locked="0"/>
    </xf>
    <xf numFmtId="39" fontId="1" fillId="11" borderId="11" xfId="0" applyNumberFormat="1" applyFont="1" applyFill="1" applyBorder="1" applyAlignment="1" applyProtection="1">
      <alignment horizontal="right"/>
      <protection locked="0"/>
    </xf>
    <xf numFmtId="37" fontId="1" fillId="11" borderId="11" xfId="0" applyNumberFormat="1" applyFont="1" applyFill="1" applyBorder="1" applyAlignment="1" applyProtection="1">
      <alignment horizontal="right"/>
      <protection locked="0"/>
    </xf>
    <xf numFmtId="37" fontId="0" fillId="0" borderId="31" xfId="0" applyNumberFormat="1" applyFill="1" applyBorder="1" applyProtection="1">
      <protection locked="0"/>
    </xf>
    <xf numFmtId="164" fontId="0" fillId="0" borderId="32" xfId="1" applyNumberFormat="1" applyFont="1" applyFill="1" applyBorder="1" applyProtection="1">
      <protection locked="0"/>
    </xf>
    <xf numFmtId="0" fontId="0" fillId="2" borderId="64" xfId="0" applyFill="1" applyBorder="1" applyProtection="1">
      <protection locked="0"/>
    </xf>
    <xf numFmtId="37" fontId="0" fillId="11" borderId="32" xfId="0" applyNumberFormat="1" applyFill="1" applyBorder="1" applyProtection="1">
      <protection locked="0"/>
    </xf>
    <xf numFmtId="37" fontId="0" fillId="11" borderId="63" xfId="0" applyNumberFormat="1" applyFill="1" applyBorder="1" applyProtection="1">
      <protection locked="0"/>
    </xf>
    <xf numFmtId="39" fontId="0" fillId="18" borderId="26" xfId="0" applyNumberFormat="1" applyFill="1" applyBorder="1" applyProtection="1">
      <protection locked="0"/>
    </xf>
    <xf numFmtId="39" fontId="0" fillId="19" borderId="26" xfId="0" applyNumberFormat="1" applyFill="1" applyBorder="1" applyProtection="1">
      <protection locked="0"/>
    </xf>
    <xf numFmtId="39" fontId="0" fillId="9" borderId="26" xfId="0" applyNumberFormat="1" applyFill="1" applyBorder="1" applyProtection="1">
      <protection locked="0"/>
    </xf>
    <xf numFmtId="39" fontId="0" fillId="11" borderId="26" xfId="0" applyNumberFormat="1" applyFill="1" applyBorder="1" applyAlignment="1" applyProtection="1">
      <alignment horizontal="right"/>
      <protection locked="0"/>
    </xf>
    <xf numFmtId="37" fontId="0" fillId="11" borderId="70" xfId="0" applyNumberFormat="1" applyFill="1" applyBorder="1" applyAlignment="1" applyProtection="1">
      <alignment horizontal="right"/>
      <protection locked="0"/>
    </xf>
    <xf numFmtId="37" fontId="0" fillId="0" borderId="27" xfId="0" applyNumberFormat="1" applyFill="1" applyBorder="1" applyProtection="1">
      <protection locked="0"/>
    </xf>
    <xf numFmtId="164" fontId="0" fillId="0" borderId="28" xfId="1" applyNumberFormat="1" applyFont="1" applyFill="1" applyBorder="1" applyProtection="1">
      <protection locked="0"/>
    </xf>
    <xf numFmtId="37" fontId="0" fillId="11" borderId="28" xfId="0" applyNumberFormat="1" applyFill="1" applyBorder="1" applyProtection="1">
      <protection locked="0"/>
    </xf>
    <xf numFmtId="37" fontId="0" fillId="11" borderId="66" xfId="0" applyNumberFormat="1" applyFill="1" applyBorder="1" applyProtection="1">
      <protection locked="0"/>
    </xf>
    <xf numFmtId="39" fontId="0" fillId="18" borderId="28" xfId="0" applyNumberFormat="1" applyFill="1" applyBorder="1" applyProtection="1">
      <protection locked="0"/>
    </xf>
    <xf numFmtId="39" fontId="0" fillId="19" borderId="28" xfId="0" applyNumberFormat="1" applyFill="1" applyBorder="1" applyProtection="1">
      <protection locked="0"/>
    </xf>
    <xf numFmtId="39" fontId="0" fillId="9" borderId="28" xfId="0" applyNumberFormat="1" applyFill="1" applyBorder="1" applyProtection="1">
      <protection locked="0"/>
    </xf>
    <xf numFmtId="39" fontId="0" fillId="11" borderId="28" xfId="0" applyNumberFormat="1" applyFill="1" applyBorder="1" applyAlignment="1" applyProtection="1">
      <alignment horizontal="right"/>
      <protection locked="0"/>
    </xf>
    <xf numFmtId="37" fontId="0" fillId="11" borderId="66" xfId="0" applyNumberFormat="1" applyFill="1" applyBorder="1" applyAlignment="1" applyProtection="1">
      <alignment horizontal="right"/>
      <protection locked="0"/>
    </xf>
    <xf numFmtId="37" fontId="1" fillId="0" borderId="38" xfId="0" applyNumberFormat="1" applyFont="1" applyFill="1" applyBorder="1" applyProtection="1">
      <protection locked="0"/>
    </xf>
    <xf numFmtId="37" fontId="1" fillId="11" borderId="68" xfId="0" applyNumberFormat="1" applyFont="1" applyFill="1" applyBorder="1" applyProtection="1">
      <protection locked="0"/>
    </xf>
    <xf numFmtId="37" fontId="1" fillId="11" borderId="68" xfId="0" applyNumberFormat="1" applyFont="1" applyFill="1" applyBorder="1" applyAlignment="1" applyProtection="1">
      <alignment horizontal="right"/>
      <protection locked="0"/>
    </xf>
    <xf numFmtId="37" fontId="0" fillId="0" borderId="41" xfId="0" applyNumberFormat="1" applyFill="1" applyBorder="1" applyProtection="1">
      <protection locked="0"/>
    </xf>
    <xf numFmtId="164" fontId="0" fillId="0" borderId="42" xfId="1" applyNumberFormat="1" applyFont="1" applyFill="1" applyBorder="1" applyProtection="1">
      <protection locked="0"/>
    </xf>
    <xf numFmtId="0" fontId="0" fillId="2" borderId="0" xfId="0" applyFill="1" applyBorder="1" applyProtection="1">
      <protection locked="0"/>
    </xf>
    <xf numFmtId="37" fontId="0" fillId="11" borderId="42" xfId="0" applyNumberFormat="1" applyFill="1" applyBorder="1" applyProtection="1">
      <protection locked="0"/>
    </xf>
    <xf numFmtId="37" fontId="0" fillId="11" borderId="65" xfId="0" applyNumberFormat="1" applyFill="1" applyBorder="1" applyProtection="1">
      <protection locked="0"/>
    </xf>
    <xf numFmtId="37" fontId="0" fillId="11" borderId="71" xfId="0" applyNumberFormat="1" applyFill="1" applyBorder="1" applyAlignment="1" applyProtection="1">
      <alignment horizontal="right"/>
      <protection locked="0"/>
    </xf>
    <xf numFmtId="37" fontId="1" fillId="0" borderId="43" xfId="0" applyNumberFormat="1" applyFont="1" applyFill="1" applyBorder="1" applyProtection="1">
      <protection locked="0"/>
    </xf>
    <xf numFmtId="37" fontId="1" fillId="11" borderId="69" xfId="0" applyNumberFormat="1" applyFont="1" applyFill="1" applyBorder="1" applyProtection="1">
      <protection locked="0"/>
    </xf>
    <xf numFmtId="37" fontId="1" fillId="11" borderId="69" xfId="0" applyNumberFormat="1" applyFont="1" applyFill="1" applyBorder="1" applyAlignment="1" applyProtection="1">
      <alignment horizontal="right"/>
      <protection locked="0"/>
    </xf>
    <xf numFmtId="39" fontId="1" fillId="18" borderId="33" xfId="0" applyNumberFormat="1" applyFont="1" applyFill="1" applyBorder="1" applyProtection="1">
      <protection locked="0"/>
    </xf>
    <xf numFmtId="39" fontId="1" fillId="19" borderId="33" xfId="0" applyNumberFormat="1" applyFont="1" applyFill="1" applyBorder="1" applyProtection="1">
      <protection locked="0"/>
    </xf>
    <xf numFmtId="39" fontId="1" fillId="9" borderId="33" xfId="0" applyNumberFormat="1" applyFont="1" applyFill="1" applyBorder="1" applyProtection="1">
      <protection locked="0"/>
    </xf>
    <xf numFmtId="39" fontId="1" fillId="11" borderId="33" xfId="0" applyNumberFormat="1" applyFont="1" applyFill="1" applyBorder="1" applyAlignment="1" applyProtection="1">
      <alignment horizontal="right"/>
      <protection locked="0"/>
    </xf>
    <xf numFmtId="37" fontId="1" fillId="11" borderId="33" xfId="0" applyNumberFormat="1" applyFont="1" applyFill="1" applyBorder="1" applyAlignment="1" applyProtection="1">
      <alignment horizontal="right"/>
      <protection locked="0"/>
    </xf>
    <xf numFmtId="37" fontId="0" fillId="2" borderId="0" xfId="0" applyNumberFormat="1" applyFill="1" applyProtection="1">
      <protection locked="0"/>
    </xf>
    <xf numFmtId="39" fontId="1" fillId="18" borderId="37" xfId="0" applyNumberFormat="1" applyFont="1" applyFill="1" applyBorder="1" applyProtection="1">
      <protection locked="0"/>
    </xf>
    <xf numFmtId="39" fontId="1" fillId="19" borderId="37" xfId="0" applyNumberFormat="1" applyFont="1" applyFill="1" applyBorder="1" applyProtection="1">
      <protection locked="0"/>
    </xf>
    <xf numFmtId="39" fontId="1" fillId="9" borderId="37" xfId="0" applyNumberFormat="1" applyFont="1" applyFill="1" applyBorder="1" applyProtection="1">
      <protection locked="0"/>
    </xf>
    <xf numFmtId="39" fontId="1" fillId="11" borderId="37" xfId="0" applyNumberFormat="1" applyFont="1" applyFill="1" applyBorder="1" applyAlignment="1" applyProtection="1">
      <alignment horizontal="right"/>
      <protection locked="0"/>
    </xf>
    <xf numFmtId="37" fontId="1" fillId="11" borderId="37" xfId="0" applyNumberFormat="1" applyFont="1" applyFill="1" applyBorder="1" applyAlignment="1" applyProtection="1">
      <alignment horizontal="right"/>
      <protection locked="0"/>
    </xf>
    <xf numFmtId="39" fontId="1" fillId="18" borderId="23" xfId="0" applyNumberFormat="1" applyFont="1" applyFill="1" applyBorder="1" applyProtection="1">
      <protection locked="0"/>
    </xf>
    <xf numFmtId="39" fontId="1" fillId="19" borderId="23" xfId="0" applyNumberFormat="1" applyFont="1" applyFill="1" applyBorder="1" applyProtection="1">
      <protection locked="0"/>
    </xf>
    <xf numFmtId="39" fontId="1" fillId="9" borderId="23" xfId="0" applyNumberFormat="1" applyFont="1" applyFill="1" applyBorder="1" applyProtection="1">
      <protection locked="0"/>
    </xf>
    <xf numFmtId="39" fontId="1" fillId="11" borderId="23" xfId="0" applyNumberFormat="1" applyFont="1" applyFill="1" applyBorder="1" applyAlignment="1" applyProtection="1">
      <alignment horizontal="right"/>
      <protection locked="0"/>
    </xf>
    <xf numFmtId="37" fontId="1" fillId="11" borderId="23" xfId="0" applyNumberFormat="1" applyFont="1" applyFill="1" applyBorder="1" applyAlignment="1" applyProtection="1">
      <alignment horizontal="right"/>
      <protection locked="0"/>
    </xf>
    <xf numFmtId="166" fontId="1" fillId="11" borderId="37" xfId="0" applyNumberFormat="1" applyFont="1" applyFill="1" applyBorder="1" applyAlignment="1" applyProtection="1">
      <alignment horizontal="right"/>
      <protection locked="0"/>
    </xf>
    <xf numFmtId="37" fontId="1" fillId="0" borderId="21" xfId="0" applyNumberFormat="1" applyFont="1" applyFill="1" applyBorder="1" applyProtection="1">
      <protection locked="0"/>
    </xf>
    <xf numFmtId="37" fontId="1" fillId="0" borderId="0" xfId="0" applyNumberFormat="1" applyFont="1" applyFill="1" applyBorder="1" applyProtection="1">
      <protection locked="0"/>
    </xf>
    <xf numFmtId="164" fontId="1" fillId="0" borderId="22" xfId="1" applyNumberFormat="1" applyFont="1" applyFill="1" applyBorder="1" applyProtection="1">
      <protection locked="0"/>
    </xf>
    <xf numFmtId="164" fontId="1" fillId="0" borderId="0" xfId="1" applyNumberFormat="1" applyFont="1" applyFill="1" applyBorder="1" applyProtection="1">
      <protection locked="0"/>
    </xf>
    <xf numFmtId="37" fontId="1" fillId="11" borderId="22" xfId="0" applyNumberFormat="1" applyFont="1" applyFill="1" applyBorder="1" applyProtection="1">
      <protection locked="0"/>
    </xf>
    <xf numFmtId="0" fontId="15" fillId="2" borderId="0" xfId="0" applyFont="1" applyFill="1" applyProtection="1"/>
    <xf numFmtId="0" fontId="20" fillId="2" borderId="0" xfId="0" applyFont="1" applyFill="1" applyProtection="1"/>
    <xf numFmtId="0" fontId="0" fillId="10" borderId="0" xfId="0" applyFill="1" applyProtection="1"/>
    <xf numFmtId="0" fontId="19" fillId="2" borderId="0" xfId="0" applyFont="1" applyFill="1" applyAlignment="1" applyProtection="1">
      <alignment horizontal="left" indent="1"/>
    </xf>
    <xf numFmtId="39" fontId="0" fillId="0" borderId="4" xfId="0" applyNumberFormat="1" applyFill="1" applyBorder="1" applyProtection="1"/>
    <xf numFmtId="0" fontId="1" fillId="2" borderId="0" xfId="0" applyFont="1" applyFill="1" applyAlignment="1" applyProtection="1">
      <alignment horizontal="left" indent="2"/>
    </xf>
    <xf numFmtId="0" fontId="0" fillId="3" borderId="0" xfId="0" applyNumberFormat="1" applyFill="1" applyAlignment="1" applyProtection="1">
      <alignment horizontal="left"/>
    </xf>
    <xf numFmtId="44" fontId="1" fillId="0" borderId="4" xfId="7" applyFont="1" applyFill="1" applyBorder="1" applyProtection="1">
      <protection locked="0"/>
    </xf>
    <xf numFmtId="44" fontId="1" fillId="11" borderId="4" xfId="7" applyFont="1" applyFill="1" applyBorder="1" applyProtection="1">
      <protection locked="0"/>
    </xf>
    <xf numFmtId="44" fontId="19" fillId="2" borderId="15" xfId="7" applyFont="1" applyFill="1" applyBorder="1" applyProtection="1">
      <protection locked="0"/>
    </xf>
    <xf numFmtId="44" fontId="19" fillId="2" borderId="19" xfId="7" applyFont="1" applyFill="1" applyBorder="1" applyProtection="1">
      <protection locked="0"/>
    </xf>
    <xf numFmtId="44" fontId="19" fillId="2" borderId="16" xfId="7" applyFont="1" applyFill="1" applyBorder="1" applyProtection="1">
      <protection locked="0"/>
    </xf>
    <xf numFmtId="0" fontId="19" fillId="2" borderId="17" xfId="0" applyFont="1" applyFill="1" applyBorder="1" applyProtection="1">
      <protection locked="0"/>
    </xf>
    <xf numFmtId="0" fontId="19" fillId="2" borderId="20" xfId="0" applyFont="1" applyFill="1" applyBorder="1" applyProtection="1">
      <protection locked="0"/>
    </xf>
    <xf numFmtId="0" fontId="19" fillId="2" borderId="18" xfId="0" applyFont="1" applyFill="1" applyBorder="1" applyProtection="1">
      <protection locked="0"/>
    </xf>
    <xf numFmtId="0" fontId="19" fillId="2" borderId="0" xfId="0" applyFont="1" applyFill="1" applyProtection="1">
      <protection locked="0"/>
    </xf>
    <xf numFmtId="44" fontId="19" fillId="2" borderId="21" xfId="7" applyFont="1" applyFill="1" applyBorder="1" applyProtection="1">
      <protection locked="0"/>
    </xf>
    <xf numFmtId="44" fontId="19" fillId="2" borderId="0" xfId="7" applyFont="1" applyFill="1" applyBorder="1" applyProtection="1">
      <protection locked="0"/>
    </xf>
    <xf numFmtId="44" fontId="19" fillId="2" borderId="22" xfId="7" applyFont="1" applyFill="1" applyBorder="1" applyProtection="1">
      <protection locked="0"/>
    </xf>
    <xf numFmtId="37" fontId="1" fillId="0" borderId="4" xfId="0" applyNumberFormat="1" applyFont="1" applyFill="1" applyBorder="1" applyProtection="1">
      <protection locked="0"/>
    </xf>
    <xf numFmtId="164" fontId="1" fillId="0" borderId="4" xfId="1" applyNumberFormat="1" applyFont="1" applyFill="1" applyBorder="1" applyProtection="1">
      <protection locked="0"/>
    </xf>
    <xf numFmtId="37" fontId="1" fillId="11" borderId="4" xfId="0" applyNumberFormat="1" applyFont="1" applyFill="1" applyBorder="1" applyProtection="1">
      <protection locked="0"/>
    </xf>
    <xf numFmtId="39" fontId="0" fillId="0" borderId="4" xfId="0" applyNumberFormat="1" applyFill="1" applyBorder="1" applyProtection="1">
      <protection locked="0"/>
    </xf>
    <xf numFmtId="39" fontId="0" fillId="0" borderId="4" xfId="1" applyNumberFormat="1" applyFont="1" applyFill="1" applyBorder="1" applyProtection="1">
      <protection locked="0"/>
    </xf>
    <xf numFmtId="37" fontId="0" fillId="2" borderId="21" xfId="0" applyNumberFormat="1" applyFill="1" applyBorder="1" applyProtection="1">
      <protection locked="0"/>
    </xf>
    <xf numFmtId="37" fontId="0" fillId="2" borderId="0" xfId="0" applyNumberFormat="1" applyFill="1" applyBorder="1" applyProtection="1">
      <protection locked="0"/>
    </xf>
    <xf numFmtId="0" fontId="0" fillId="2" borderId="21" xfId="0" applyFill="1" applyBorder="1" applyProtection="1">
      <protection locked="0"/>
    </xf>
    <xf numFmtId="10" fontId="0" fillId="2" borderId="22" xfId="1" applyNumberFormat="1" applyFont="1" applyFill="1" applyBorder="1" applyProtection="1">
      <protection locked="0"/>
    </xf>
    <xf numFmtId="10" fontId="0" fillId="2" borderId="21" xfId="1" applyNumberFormat="1" applyFont="1" applyFill="1" applyBorder="1" applyProtection="1">
      <protection locked="0"/>
    </xf>
    <xf numFmtId="10" fontId="0" fillId="2" borderId="0" xfId="1" applyNumberFormat="1" applyFont="1" applyFill="1" applyBorder="1" applyProtection="1">
      <protection locked="0"/>
    </xf>
    <xf numFmtId="0" fontId="13" fillId="13" borderId="44" xfId="0" applyNumberFormat="1" applyFont="1" applyFill="1" applyBorder="1" applyAlignment="1" applyProtection="1">
      <alignment horizontal="center"/>
      <protection locked="0"/>
    </xf>
    <xf numFmtId="0" fontId="13" fillId="13" borderId="45" xfId="0" applyNumberFormat="1" applyFont="1" applyFill="1" applyBorder="1" applyAlignment="1" applyProtection="1">
      <alignment horizontal="center"/>
      <protection locked="0"/>
    </xf>
    <xf numFmtId="0" fontId="13" fillId="13" borderId="46" xfId="0" applyNumberFormat="1" applyFont="1" applyFill="1" applyBorder="1" applyAlignment="1" applyProtection="1">
      <alignment horizontal="center"/>
      <protection locked="0"/>
    </xf>
    <xf numFmtId="164" fontId="1" fillId="11" borderId="4" xfId="1" applyNumberFormat="1" applyFont="1" applyFill="1" applyBorder="1" applyProtection="1">
      <protection locked="0"/>
    </xf>
    <xf numFmtId="0" fontId="0" fillId="8" borderId="2" xfId="0" applyFill="1" applyBorder="1" applyProtection="1"/>
    <xf numFmtId="39" fontId="0" fillId="18" borderId="14" xfId="0" applyNumberFormat="1" applyFill="1" applyBorder="1" applyProtection="1"/>
    <xf numFmtId="39" fontId="0" fillId="19" borderId="14" xfId="0" applyNumberFormat="1" applyFill="1" applyBorder="1" applyProtection="1"/>
    <xf numFmtId="39" fontId="0" fillId="9" borderId="14" xfId="0" applyNumberFormat="1" applyFill="1" applyBorder="1" applyProtection="1"/>
    <xf numFmtId="39" fontId="0" fillId="11" borderId="14" xfId="0" applyNumberFormat="1" applyFill="1" applyBorder="1" applyAlignment="1" applyProtection="1">
      <alignment horizontal="right"/>
    </xf>
    <xf numFmtId="37" fontId="0" fillId="11" borderId="67" xfId="0" applyNumberFormat="1" applyFill="1" applyBorder="1" applyAlignment="1" applyProtection="1">
      <alignment horizontal="right"/>
    </xf>
    <xf numFmtId="39" fontId="1" fillId="18" borderId="24" xfId="0" applyNumberFormat="1" applyFont="1" applyFill="1" applyBorder="1" applyProtection="1">
      <protection locked="0"/>
    </xf>
    <xf numFmtId="39" fontId="1" fillId="19" borderId="24" xfId="0" applyNumberFormat="1" applyFont="1" applyFill="1" applyBorder="1" applyProtection="1">
      <protection locked="0"/>
    </xf>
    <xf numFmtId="39" fontId="1" fillId="9" borderId="24" xfId="0" applyNumberFormat="1" applyFont="1" applyFill="1" applyBorder="1" applyProtection="1">
      <protection locked="0"/>
    </xf>
    <xf numFmtId="39" fontId="1" fillId="11" borderId="24" xfId="0" applyNumberFormat="1" applyFont="1" applyFill="1" applyBorder="1" applyAlignment="1" applyProtection="1">
      <alignment horizontal="right"/>
      <protection locked="0"/>
    </xf>
    <xf numFmtId="37" fontId="1" fillId="11" borderId="24" xfId="0" applyNumberFormat="1" applyFont="1" applyFill="1" applyBorder="1" applyAlignment="1" applyProtection="1">
      <alignment horizontal="right"/>
      <protection locked="0"/>
    </xf>
    <xf numFmtId="0" fontId="0" fillId="2" borderId="72" xfId="0" applyFill="1" applyBorder="1" applyProtection="1">
      <protection locked="0"/>
    </xf>
    <xf numFmtId="0" fontId="0" fillId="2" borderId="62" xfId="0" applyFill="1" applyBorder="1" applyProtection="1">
      <protection locked="0"/>
    </xf>
    <xf numFmtId="37" fontId="0" fillId="0" borderId="30" xfId="0" applyNumberFormat="1" applyFill="1" applyBorder="1" applyProtection="1">
      <protection locked="0"/>
    </xf>
    <xf numFmtId="37" fontId="0" fillId="11" borderId="67" xfId="0" applyNumberFormat="1" applyFill="1" applyBorder="1" applyProtection="1">
      <protection locked="0"/>
    </xf>
    <xf numFmtId="39" fontId="0" fillId="18" borderId="14" xfId="0" applyNumberFormat="1" applyFill="1" applyBorder="1" applyProtection="1">
      <protection locked="0"/>
    </xf>
    <xf numFmtId="39" fontId="0" fillId="19" borderId="14" xfId="0" applyNumberFormat="1" applyFill="1" applyBorder="1" applyProtection="1">
      <protection locked="0"/>
    </xf>
    <xf numFmtId="39" fontId="0" fillId="9" borderId="14" xfId="0" applyNumberFormat="1" applyFill="1" applyBorder="1" applyProtection="1">
      <protection locked="0"/>
    </xf>
    <xf numFmtId="39" fontId="0" fillId="11" borderId="14" xfId="0" applyNumberFormat="1" applyFill="1" applyBorder="1" applyAlignment="1" applyProtection="1">
      <alignment horizontal="right"/>
      <protection locked="0"/>
    </xf>
    <xf numFmtId="37" fontId="0" fillId="11" borderId="67" xfId="0" applyNumberFormat="1" applyFill="1" applyBorder="1" applyAlignment="1" applyProtection="1">
      <alignment horizontal="right"/>
      <protection locked="0"/>
    </xf>
    <xf numFmtId="0" fontId="0" fillId="3" borderId="0" xfId="0" applyNumberFormat="1" applyFont="1" applyFill="1" applyAlignment="1" applyProtection="1">
      <alignment horizontal="left"/>
    </xf>
    <xf numFmtId="37" fontId="1" fillId="11" borderId="76" xfId="0" applyNumberFormat="1" applyFont="1" applyFill="1" applyBorder="1" applyAlignment="1" applyProtection="1">
      <alignment horizontal="right"/>
    </xf>
    <xf numFmtId="37" fontId="1" fillId="11" borderId="77" xfId="0" applyNumberFormat="1" applyFont="1" applyFill="1" applyBorder="1" applyAlignment="1" applyProtection="1">
      <alignment horizontal="right"/>
    </xf>
    <xf numFmtId="37" fontId="1" fillId="11" borderId="78" xfId="0" applyNumberFormat="1" applyFont="1" applyFill="1" applyBorder="1" applyAlignment="1" applyProtection="1">
      <alignment horizontal="right"/>
    </xf>
    <xf numFmtId="37" fontId="1" fillId="0" borderId="14" xfId="0" applyNumberFormat="1" applyFont="1" applyFill="1" applyBorder="1" applyProtection="1">
      <protection locked="0"/>
    </xf>
    <xf numFmtId="164" fontId="1" fillId="0" borderId="14" xfId="1" applyNumberFormat="1" applyFont="1" applyFill="1" applyBorder="1" applyProtection="1">
      <protection locked="0"/>
    </xf>
    <xf numFmtId="0" fontId="1" fillId="2" borderId="0" xfId="0" applyFont="1" applyFill="1" applyBorder="1" applyProtection="1">
      <protection locked="0"/>
    </xf>
    <xf numFmtId="37" fontId="1" fillId="11" borderId="14" xfId="0" applyNumberFormat="1" applyFont="1" applyFill="1" applyBorder="1" applyProtection="1">
      <protection locked="0"/>
    </xf>
    <xf numFmtId="39" fontId="1" fillId="18" borderId="14" xfId="0" applyNumberFormat="1" applyFont="1" applyFill="1" applyBorder="1" applyProtection="1">
      <protection locked="0"/>
    </xf>
    <xf numFmtId="39" fontId="1" fillId="19" borderId="14" xfId="0" applyNumberFormat="1" applyFont="1" applyFill="1" applyBorder="1" applyProtection="1">
      <protection locked="0"/>
    </xf>
    <xf numFmtId="39" fontId="1" fillId="9" borderId="14" xfId="0" applyNumberFormat="1" applyFont="1" applyFill="1" applyBorder="1" applyProtection="1">
      <protection locked="0"/>
    </xf>
    <xf numFmtId="39" fontId="1" fillId="11" borderId="14" xfId="0" applyNumberFormat="1" applyFont="1" applyFill="1" applyBorder="1" applyAlignment="1" applyProtection="1">
      <alignment horizontal="right"/>
      <protection locked="0"/>
    </xf>
    <xf numFmtId="37" fontId="1" fillId="11" borderId="67" xfId="0" applyNumberFormat="1" applyFont="1" applyFill="1" applyBorder="1" applyAlignment="1" applyProtection="1">
      <alignment horizontal="right"/>
      <protection locked="0"/>
    </xf>
    <xf numFmtId="37" fontId="1" fillId="11" borderId="76" xfId="0" applyNumberFormat="1" applyFont="1" applyFill="1" applyBorder="1" applyAlignment="1" applyProtection="1">
      <alignment horizontal="right"/>
      <protection locked="0"/>
    </xf>
    <xf numFmtId="37" fontId="1" fillId="11" borderId="77" xfId="0" applyNumberFormat="1" applyFont="1" applyFill="1" applyBorder="1" applyAlignment="1" applyProtection="1">
      <alignment horizontal="right"/>
      <protection locked="0"/>
    </xf>
    <xf numFmtId="37" fontId="1" fillId="11" borderId="78" xfId="0" applyNumberFormat="1" applyFont="1" applyFill="1" applyBorder="1" applyAlignment="1" applyProtection="1">
      <alignment horizontal="right"/>
      <protection locked="0"/>
    </xf>
    <xf numFmtId="39" fontId="0" fillId="18" borderId="33" xfId="0" applyNumberFormat="1" applyFill="1" applyBorder="1" applyProtection="1">
      <protection locked="0"/>
    </xf>
    <xf numFmtId="39" fontId="0" fillId="19" borderId="33" xfId="0" applyNumberFormat="1" applyFill="1" applyBorder="1" applyProtection="1">
      <protection locked="0"/>
    </xf>
    <xf numFmtId="39" fontId="0" fillId="9" borderId="33" xfId="0" applyNumberFormat="1" applyFill="1" applyBorder="1" applyProtection="1">
      <protection locked="0"/>
    </xf>
    <xf numFmtId="39" fontId="0" fillId="11" borderId="33" xfId="0" applyNumberFormat="1" applyFill="1" applyBorder="1" applyAlignment="1" applyProtection="1">
      <alignment horizontal="right"/>
      <protection locked="0"/>
    </xf>
    <xf numFmtId="37" fontId="0" fillId="11" borderId="76" xfId="0" applyNumberFormat="1" applyFill="1" applyBorder="1" applyAlignment="1" applyProtection="1">
      <alignment horizontal="right"/>
      <protection locked="0"/>
    </xf>
    <xf numFmtId="37" fontId="0" fillId="0" borderId="25" xfId="0" applyNumberFormat="1" applyFill="1" applyBorder="1" applyProtection="1">
      <protection locked="0"/>
    </xf>
    <xf numFmtId="37" fontId="0" fillId="0" borderId="26" xfId="0" applyNumberFormat="1" applyFill="1" applyBorder="1" applyProtection="1">
      <protection locked="0"/>
    </xf>
    <xf numFmtId="164" fontId="0" fillId="0" borderId="26" xfId="1" applyNumberFormat="1" applyFont="1" applyFill="1" applyBorder="1" applyProtection="1">
      <protection locked="0"/>
    </xf>
    <xf numFmtId="37" fontId="0" fillId="11" borderId="26" xfId="0" applyNumberFormat="1" applyFill="1" applyBorder="1" applyProtection="1">
      <protection locked="0"/>
    </xf>
    <xf numFmtId="37" fontId="0" fillId="11" borderId="70" xfId="0" applyNumberFormat="1" applyFill="1" applyBorder="1" applyProtection="1">
      <protection locked="0"/>
    </xf>
    <xf numFmtId="37" fontId="0" fillId="0" borderId="29" xfId="0" applyNumberFormat="1" applyFill="1" applyBorder="1" applyProtection="1">
      <protection locked="0"/>
    </xf>
    <xf numFmtId="37" fontId="0" fillId="11" borderId="71" xfId="0" applyNumberFormat="1" applyFill="1" applyBorder="1" applyProtection="1">
      <protection locked="0"/>
    </xf>
    <xf numFmtId="0" fontId="1" fillId="22" borderId="0" xfId="0" applyFont="1" applyFill="1" applyAlignment="1" applyProtection="1">
      <alignment horizontal="left" indent="1"/>
    </xf>
    <xf numFmtId="1" fontId="1" fillId="22" borderId="0" xfId="0" applyNumberFormat="1" applyFont="1" applyFill="1" applyProtection="1"/>
    <xf numFmtId="0" fontId="0" fillId="2" borderId="0" xfId="0" applyFont="1" applyFill="1" applyProtection="1"/>
    <xf numFmtId="0" fontId="0" fillId="2" borderId="0" xfId="0" applyFont="1" applyFill="1" applyAlignment="1" applyProtection="1">
      <alignment horizontal="left" indent="2"/>
    </xf>
    <xf numFmtId="0" fontId="1" fillId="2" borderId="87" xfId="0" applyFont="1" applyFill="1" applyBorder="1" applyAlignment="1" applyProtection="1">
      <alignment horizontal="left"/>
    </xf>
    <xf numFmtId="37" fontId="1" fillId="0" borderId="88" xfId="0" applyNumberFormat="1" applyFont="1" applyFill="1" applyBorder="1" applyProtection="1">
      <protection locked="0"/>
    </xf>
    <xf numFmtId="37" fontId="1" fillId="0" borderId="89" xfId="0" applyNumberFormat="1" applyFont="1" applyFill="1" applyBorder="1" applyProtection="1">
      <protection locked="0"/>
    </xf>
    <xf numFmtId="164" fontId="1" fillId="0" borderId="89" xfId="1" applyNumberFormat="1" applyFont="1" applyFill="1" applyBorder="1" applyProtection="1">
      <protection locked="0"/>
    </xf>
    <xf numFmtId="0" fontId="1" fillId="2" borderId="90" xfId="0" applyFont="1" applyFill="1" applyBorder="1" applyProtection="1">
      <protection locked="0"/>
    </xf>
    <xf numFmtId="37" fontId="1" fillId="11" borderId="89" xfId="0" applyNumberFormat="1" applyFont="1" applyFill="1" applyBorder="1" applyProtection="1">
      <protection locked="0"/>
    </xf>
    <xf numFmtId="37" fontId="1" fillId="11" borderId="91" xfId="0" applyNumberFormat="1" applyFont="1" applyFill="1" applyBorder="1" applyProtection="1">
      <protection locked="0"/>
    </xf>
    <xf numFmtId="39" fontId="1" fillId="18" borderId="89" xfId="0" applyNumberFormat="1" applyFont="1" applyFill="1" applyBorder="1" applyProtection="1">
      <protection locked="0"/>
    </xf>
    <xf numFmtId="39" fontId="1" fillId="19" borderId="89" xfId="0" applyNumberFormat="1" applyFont="1" applyFill="1" applyBorder="1" applyProtection="1">
      <protection locked="0"/>
    </xf>
    <xf numFmtId="39" fontId="1" fillId="9" borderId="89" xfId="0" applyNumberFormat="1" applyFont="1" applyFill="1" applyBorder="1" applyProtection="1">
      <protection locked="0"/>
    </xf>
    <xf numFmtId="39" fontId="1" fillId="11" borderId="89" xfId="0" applyNumberFormat="1" applyFont="1" applyFill="1" applyBorder="1" applyAlignment="1" applyProtection="1">
      <alignment horizontal="right"/>
      <protection locked="0"/>
    </xf>
    <xf numFmtId="37" fontId="1" fillId="11" borderId="91" xfId="0" applyNumberFormat="1" applyFont="1" applyFill="1" applyBorder="1" applyAlignment="1" applyProtection="1">
      <alignment horizontal="right"/>
      <protection locked="0"/>
    </xf>
    <xf numFmtId="39" fontId="1" fillId="0" borderId="37" xfId="0" applyNumberFormat="1" applyFont="1" applyFill="1" applyBorder="1" applyProtection="1"/>
    <xf numFmtId="37" fontId="0" fillId="0" borderId="4" xfId="0" applyNumberFormat="1" applyFont="1" applyFill="1" applyBorder="1" applyAlignment="1" applyProtection="1">
      <alignment horizontal="left" indent="1"/>
      <protection locked="0"/>
    </xf>
    <xf numFmtId="37" fontId="0" fillId="0" borderId="9" xfId="0" applyNumberFormat="1" applyFont="1" applyFill="1" applyBorder="1" applyAlignment="1" applyProtection="1">
      <alignment horizontal="left" indent="1"/>
      <protection locked="0"/>
    </xf>
    <xf numFmtId="37" fontId="1" fillId="0" borderId="34" xfId="0" applyNumberFormat="1" applyFont="1" applyFill="1" applyBorder="1" applyAlignment="1" applyProtection="1">
      <alignment horizontal="left" indent="1"/>
      <protection locked="0"/>
    </xf>
    <xf numFmtId="37" fontId="0" fillId="0" borderId="14" xfId="0" applyNumberFormat="1" applyFont="1" applyFill="1" applyBorder="1" applyAlignment="1" applyProtection="1">
      <alignment horizontal="left" indent="1"/>
      <protection locked="0"/>
    </xf>
    <xf numFmtId="37" fontId="1" fillId="0" borderId="12" xfId="0" applyNumberFormat="1" applyFont="1" applyFill="1" applyBorder="1" applyAlignment="1" applyProtection="1">
      <alignment horizontal="left" indent="1"/>
      <protection locked="0"/>
    </xf>
    <xf numFmtId="37" fontId="1" fillId="0" borderId="93" xfId="0" applyNumberFormat="1" applyFont="1" applyFill="1" applyBorder="1" applyAlignment="1" applyProtection="1">
      <alignment horizontal="left" indent="1"/>
      <protection locked="0"/>
    </xf>
    <xf numFmtId="37" fontId="1" fillId="0" borderId="93" xfId="0" applyNumberFormat="1" applyFont="1" applyFill="1" applyBorder="1" applyProtection="1">
      <protection locked="0"/>
    </xf>
    <xf numFmtId="37" fontId="1" fillId="0" borderId="94" xfId="0" applyNumberFormat="1" applyFont="1" applyFill="1" applyBorder="1" applyProtection="1">
      <protection locked="0"/>
    </xf>
    <xf numFmtId="164" fontId="1" fillId="0" borderId="93" xfId="1" applyNumberFormat="1" applyFont="1" applyFill="1" applyBorder="1" applyProtection="1">
      <protection locked="0"/>
    </xf>
    <xf numFmtId="0" fontId="1" fillId="2" borderId="92" xfId="0" applyFont="1" applyFill="1" applyBorder="1" applyProtection="1">
      <protection locked="0"/>
    </xf>
    <xf numFmtId="37" fontId="1" fillId="11" borderId="93" xfId="0" applyNumberFormat="1" applyFont="1" applyFill="1" applyBorder="1" applyProtection="1">
      <protection locked="0"/>
    </xf>
    <xf numFmtId="39" fontId="1" fillId="18" borderId="94" xfId="0" applyNumberFormat="1" applyFont="1" applyFill="1" applyBorder="1" applyProtection="1">
      <protection locked="0"/>
    </xf>
    <xf numFmtId="39" fontId="1" fillId="19" borderId="94" xfId="0" applyNumberFormat="1" applyFont="1" applyFill="1" applyBorder="1" applyProtection="1">
      <protection locked="0"/>
    </xf>
    <xf numFmtId="39" fontId="1" fillId="9" borderId="94" xfId="0" applyNumberFormat="1" applyFont="1" applyFill="1" applyBorder="1" applyProtection="1">
      <protection locked="0"/>
    </xf>
    <xf numFmtId="39" fontId="1" fillId="11" borderId="94" xfId="0" applyNumberFormat="1" applyFont="1" applyFill="1" applyBorder="1" applyAlignment="1" applyProtection="1">
      <alignment horizontal="right"/>
      <protection locked="0"/>
    </xf>
    <xf numFmtId="37" fontId="1" fillId="11" borderId="95" xfId="0" applyNumberFormat="1" applyFont="1" applyFill="1" applyBorder="1" applyAlignment="1" applyProtection="1">
      <alignment horizontal="right"/>
      <protection locked="0"/>
    </xf>
    <xf numFmtId="37" fontId="0" fillId="0" borderId="13" xfId="0" applyNumberFormat="1" applyFont="1" applyFill="1" applyBorder="1" applyAlignment="1" applyProtection="1">
      <alignment horizontal="left" indent="1"/>
      <protection locked="0"/>
    </xf>
    <xf numFmtId="0" fontId="0" fillId="10" borderId="2" xfId="0" applyFill="1" applyBorder="1" applyAlignment="1" applyProtection="1">
      <alignment horizontal="left"/>
    </xf>
    <xf numFmtId="37" fontId="1" fillId="0" borderId="39" xfId="0" applyNumberFormat="1" applyFont="1" applyFill="1" applyBorder="1" applyProtection="1">
      <protection locked="0"/>
    </xf>
    <xf numFmtId="164" fontId="1" fillId="0" borderId="39" xfId="1" applyNumberFormat="1" applyFont="1" applyFill="1" applyBorder="1" applyProtection="1">
      <protection locked="0"/>
    </xf>
    <xf numFmtId="37" fontId="1" fillId="11" borderId="39" xfId="0" applyNumberFormat="1" applyFont="1" applyFill="1" applyBorder="1" applyProtection="1">
      <protection locked="0"/>
    </xf>
    <xf numFmtId="0" fontId="0" fillId="2" borderId="2" xfId="0" quotePrefix="1" applyFill="1" applyBorder="1" applyProtection="1"/>
    <xf numFmtId="37" fontId="0" fillId="0" borderId="4" xfId="1" applyNumberFormat="1" applyFont="1" applyFill="1" applyBorder="1" applyProtection="1"/>
    <xf numFmtId="0" fontId="21" fillId="3" borderId="0" xfId="0" applyNumberFormat="1" applyFont="1" applyFill="1" applyAlignment="1" applyProtection="1">
      <alignment horizontal="left" indent="1"/>
    </xf>
    <xf numFmtId="0" fontId="21" fillId="2" borderId="0" xfId="0" applyFont="1" applyFill="1" applyAlignment="1" applyProtection="1">
      <alignment horizontal="left" indent="1"/>
    </xf>
    <xf numFmtId="39" fontId="1" fillId="18" borderId="13" xfId="0" applyNumberFormat="1" applyFont="1" applyFill="1" applyBorder="1" applyProtection="1"/>
    <xf numFmtId="39" fontId="1" fillId="19" borderId="13" xfId="0" applyNumberFormat="1" applyFont="1" applyFill="1" applyBorder="1" applyProtection="1"/>
    <xf numFmtId="39" fontId="1" fillId="9" borderId="13" xfId="0" applyNumberFormat="1" applyFont="1" applyFill="1" applyBorder="1" applyProtection="1"/>
    <xf numFmtId="39" fontId="1" fillId="11" borderId="13" xfId="0" applyNumberFormat="1" applyFont="1" applyFill="1" applyBorder="1" applyAlignment="1" applyProtection="1">
      <alignment horizontal="right"/>
    </xf>
    <xf numFmtId="37" fontId="1" fillId="11" borderId="71" xfId="0" applyNumberFormat="1" applyFont="1" applyFill="1" applyBorder="1" applyAlignment="1" applyProtection="1">
      <alignment horizontal="right"/>
    </xf>
    <xf numFmtId="37" fontId="1" fillId="11" borderId="75" xfId="0" applyNumberFormat="1" applyFont="1" applyFill="1" applyBorder="1" applyAlignment="1" applyProtection="1">
      <alignment horizontal="right"/>
      <protection locked="0"/>
    </xf>
    <xf numFmtId="3" fontId="0" fillId="2" borderId="0" xfId="0" applyNumberFormat="1" applyFill="1" applyAlignment="1" applyProtection="1"/>
    <xf numFmtId="0" fontId="15" fillId="2" borderId="0" xfId="0" applyFont="1" applyFill="1" applyAlignment="1" applyProtection="1">
      <alignment horizontal="center"/>
    </xf>
    <xf numFmtId="0" fontId="0" fillId="8" borderId="55" xfId="0" applyFill="1" applyBorder="1" applyAlignment="1" applyProtection="1">
      <alignment horizontal="center" vertical="center"/>
    </xf>
    <xf numFmtId="0" fontId="0" fillId="8" borderId="56" xfId="0" applyFill="1" applyBorder="1" applyAlignment="1" applyProtection="1">
      <alignment horizontal="center" vertical="center"/>
    </xf>
    <xf numFmtId="0" fontId="27" fillId="2" borderId="0" xfId="0" applyFont="1" applyFill="1" applyAlignment="1" applyProtection="1">
      <alignment horizontal="left" vertical="top" wrapText="1"/>
    </xf>
    <xf numFmtId="39" fontId="0" fillId="18" borderId="44" xfId="0" applyNumberFormat="1" applyFill="1" applyBorder="1" applyAlignment="1" applyProtection="1">
      <alignment horizontal="center"/>
    </xf>
    <xf numFmtId="39" fontId="0" fillId="18" borderId="46" xfId="0" applyNumberFormat="1" applyFill="1" applyBorder="1" applyAlignment="1" applyProtection="1">
      <alignment horizontal="center"/>
    </xf>
    <xf numFmtId="39" fontId="1" fillId="18" borderId="83" xfId="0" applyNumberFormat="1" applyFont="1" applyFill="1" applyBorder="1" applyAlignment="1" applyProtection="1">
      <alignment horizontal="center"/>
    </xf>
    <xf numFmtId="39" fontId="1" fillId="18" borderId="84" xfId="0" applyNumberFormat="1" applyFont="1" applyFill="1" applyBorder="1" applyAlignment="1" applyProtection="1">
      <alignment horizontal="center"/>
    </xf>
    <xf numFmtId="39" fontId="1" fillId="18" borderId="79" xfId="0" applyNumberFormat="1" applyFont="1" applyFill="1" applyBorder="1" applyAlignment="1" applyProtection="1">
      <alignment horizontal="center"/>
    </xf>
    <xf numFmtId="39" fontId="1" fillId="18" borderId="80" xfId="0" applyNumberFormat="1" applyFont="1" applyFill="1" applyBorder="1" applyAlignment="1" applyProtection="1">
      <alignment horizontal="center"/>
    </xf>
    <xf numFmtId="39" fontId="1" fillId="18" borderId="81" xfId="0" applyNumberFormat="1" applyFont="1" applyFill="1" applyBorder="1" applyAlignment="1" applyProtection="1">
      <alignment horizontal="center"/>
    </xf>
    <xf numFmtId="39" fontId="1" fillId="18" borderId="82" xfId="0" applyNumberFormat="1" applyFont="1" applyFill="1" applyBorder="1" applyAlignment="1" applyProtection="1">
      <alignment horizontal="center"/>
    </xf>
    <xf numFmtId="39" fontId="0" fillId="18" borderId="15" xfId="0" applyNumberFormat="1" applyFill="1" applyBorder="1" applyAlignment="1" applyProtection="1">
      <alignment horizontal="center"/>
    </xf>
    <xf numFmtId="39" fontId="0" fillId="18" borderId="16" xfId="0" applyNumberFormat="1" applyFill="1" applyBorder="1" applyAlignment="1" applyProtection="1">
      <alignment horizontal="center"/>
    </xf>
    <xf numFmtId="0" fontId="13" fillId="13" borderId="44" xfId="0" applyNumberFormat="1" applyFont="1" applyFill="1" applyBorder="1" applyAlignment="1" applyProtection="1">
      <alignment horizontal="center"/>
    </xf>
    <xf numFmtId="0" fontId="13" fillId="13" borderId="46" xfId="0" applyNumberFormat="1" applyFont="1" applyFill="1" applyBorder="1" applyAlignment="1" applyProtection="1">
      <alignment horizontal="center"/>
    </xf>
  </cellXfs>
  <cellStyles count="10">
    <cellStyle name="ColumnHeading" xfId="3" xr:uid="{00000000-0005-0000-0000-000000000000}"/>
    <cellStyle name="Comma" xfId="9" builtinId="3"/>
    <cellStyle name="Comma 2" xfId="4" xr:uid="{00000000-0005-0000-0000-000002000000}"/>
    <cellStyle name="Currency" xfId="7" builtinId="4"/>
    <cellStyle name="Currency 2" xfId="5" xr:uid="{00000000-0005-0000-0000-000004000000}"/>
    <cellStyle name="Normal" xfId="0" builtinId="0"/>
    <cellStyle name="Normal 2" xfId="8" xr:uid="{00000000-0005-0000-0000-000006000000}"/>
    <cellStyle name="Normal_Sheet1" xfId="2" xr:uid="{00000000-0005-0000-0000-000007000000}"/>
    <cellStyle name="Percent" xfId="1" builtinId="5"/>
    <cellStyle name="Percent 2" xfId="6" xr:uid="{00000000-0005-0000-0000-000009000000}"/>
  </cellStyles>
  <dxfs count="181">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ont>
        <color theme="1" tint="0.499984740745262"/>
      </font>
      <fill>
        <patternFill patternType="lightTrellis">
          <fgColor theme="1" tint="0.499984740745262"/>
        </patternFill>
      </fill>
    </dxf>
  </dxfs>
  <tableStyles count="0" defaultTableStyle="TableStyleMedium9" defaultPivotStyle="PivotStyleLight16"/>
  <colors>
    <mruColors>
      <color rgb="FFC63527"/>
      <color rgb="FFDBD6D3"/>
      <color rgb="FFCAC3BE"/>
      <color rgb="FF9FF4FF"/>
      <color rgb="FFE1FBFF"/>
      <color rgb="FF6E6259"/>
      <color rgb="FF5F554D"/>
      <color rgb="FF5B5149"/>
      <color rgb="FF00AE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fmlaLink="$O$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41.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1748929"/>
          <a:ext cx="7259731"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5133" name="Picture 13">
          <a:extLst>
            <a:ext uri="{FF2B5EF4-FFF2-40B4-BE49-F238E27FC236}">
              <a16:creationId xmlns:a16="http://schemas.microsoft.com/office/drawing/2014/main" id="{00000000-0008-0000-0000-00000D1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9681883"/>
          <a:ext cx="8077200"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5134" name="Picture 14">
          <a:extLst>
            <a:ext uri="{FF2B5EF4-FFF2-40B4-BE49-F238E27FC236}">
              <a16:creationId xmlns:a16="http://schemas.microsoft.com/office/drawing/2014/main" id="{00000000-0008-0000-0000-00000E1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0942" y="1882588"/>
          <a:ext cx="4331224"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50800</xdr:colOff>
          <xdr:row>4</xdr:row>
          <xdr:rowOff>171450</xdr:rowOff>
        </xdr:from>
        <xdr:to>
          <xdr:col>15</xdr:col>
          <xdr:colOff>0</xdr:colOff>
          <xdr:row>6</xdr:row>
          <xdr:rowOff>19050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5131" name="FPMExcelClientSheetOptionstb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31</xdr:col>
      <xdr:colOff>515470</xdr:colOff>
      <xdr:row>25</xdr:row>
      <xdr:rowOff>190500</xdr:rowOff>
    </xdr:from>
    <xdr:to>
      <xdr:col>33</xdr:col>
      <xdr:colOff>620804</xdr:colOff>
      <xdr:row>27</xdr:row>
      <xdr:rowOff>110377</xdr:rowOff>
    </xdr:to>
    <xdr:pic>
      <xdr:nvPicPr>
        <xdr:cNvPr id="2" name="Picture 6">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382999" y="381000"/>
          <a:ext cx="1472452" cy="435348"/>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4102" name="FPMExcelClientSheetOptionstb1"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61122" name="FPMExcelClientSheetOptionstb1" hidden="1">
              <a:extLst>
                <a:ext uri="{63B3BB69-23CF-44E3-9099-C40C66FF867C}">
                  <a14:compatExt spid="_x0000_s261122"/>
                </a:ext>
                <a:ext uri="{FF2B5EF4-FFF2-40B4-BE49-F238E27FC236}">
                  <a16:creationId xmlns:a16="http://schemas.microsoft.com/office/drawing/2014/main" id="{00000000-0008-0000-0300-000002F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8197" name="FPMExcelClientSheetOptionstb1"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2536" name="FPMExcelClientSheetOptionstb1" hidden="1">
              <a:extLst>
                <a:ext uri="{63B3BB69-23CF-44E3-9099-C40C66FF867C}">
                  <a14:compatExt spid="_x0000_s22536"/>
                </a:ext>
                <a:ext uri="{FF2B5EF4-FFF2-40B4-BE49-F238E27FC236}">
                  <a16:creationId xmlns:a16="http://schemas.microsoft.com/office/drawing/2014/main" id="{00000000-0008-0000-0500-0000085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3555" name="FPMExcelClientSheetOptionstb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889000</xdr:colOff>
          <xdr:row>0</xdr:row>
          <xdr:rowOff>0</xdr:rowOff>
        </xdr:to>
        <xdr:sp macro="" textlink="">
          <xdr:nvSpPr>
            <xdr:cNvPr id="10248" name="FPMExcelClientSheetOptionstb1" hidden="1">
              <a:extLst>
                <a:ext uri="{63B3BB69-23CF-44E3-9099-C40C66FF867C}">
                  <a14:compatExt spid="_x0000_s10248"/>
                </a:ext>
                <a:ext uri="{FF2B5EF4-FFF2-40B4-BE49-F238E27FC236}">
                  <a16:creationId xmlns:a16="http://schemas.microsoft.com/office/drawing/2014/main" id="{00000000-0008-0000-0700-000008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30405" name="FPMExcelClientSheetOptionstb1" hidden="1">
              <a:extLst>
                <a:ext uri="{63B3BB69-23CF-44E3-9099-C40C66FF867C}">
                  <a14:compatExt spid="_x0000_s230405"/>
                </a:ext>
                <a:ext uri="{FF2B5EF4-FFF2-40B4-BE49-F238E27FC236}">
                  <a16:creationId xmlns:a16="http://schemas.microsoft.com/office/drawing/2014/main" id="{00000000-0008-0000-0F00-000005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32449" name="FPMExcelClientSheetOptionstb1" hidden="1">
              <a:extLst>
                <a:ext uri="{63B3BB69-23CF-44E3-9099-C40C66FF867C}">
                  <a14:compatExt spid="_x0000_s232449"/>
                </a:ext>
                <a:ext uri="{FF2B5EF4-FFF2-40B4-BE49-F238E27FC236}">
                  <a16:creationId xmlns:a16="http://schemas.microsoft.com/office/drawing/2014/main" id="{00000000-0008-0000-1100-000001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14344" name="FPMExcelClientSheetOptionstb1" hidden="1">
              <a:extLst>
                <a:ext uri="{63B3BB69-23CF-44E3-9099-C40C66FF867C}">
                  <a14:compatExt spid="_x0000_s14344"/>
                </a:ext>
                <a:ext uri="{FF2B5EF4-FFF2-40B4-BE49-F238E27FC236}">
                  <a16:creationId xmlns:a16="http://schemas.microsoft.com/office/drawing/2014/main" id="{00000000-0008-0000-1500-0000083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02754" name="FPMExcelClientSheetOptionstb1" hidden="1">
              <a:extLst>
                <a:ext uri="{63B3BB69-23CF-44E3-9099-C40C66FF867C}">
                  <a14:compatExt spid="_x0000_s202754"/>
                </a:ext>
                <a:ext uri="{FF2B5EF4-FFF2-40B4-BE49-F238E27FC236}">
                  <a16:creationId xmlns:a16="http://schemas.microsoft.com/office/drawing/2014/main" id="{00000000-0008-0000-1600-0000021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12700</xdr:rowOff>
        </xdr:to>
        <xdr:sp macro="" textlink="">
          <xdr:nvSpPr>
            <xdr:cNvPr id="304133" name="FPMExcelClientSheetOptionstb1" hidden="1">
              <a:extLst>
                <a:ext uri="{63B3BB69-23CF-44E3-9099-C40C66FF867C}">
                  <a14:compatExt spid="_x0000_s304133"/>
                </a:ext>
                <a:ext uri="{FF2B5EF4-FFF2-40B4-BE49-F238E27FC236}">
                  <a16:creationId xmlns:a16="http://schemas.microsoft.com/office/drawing/2014/main" id="{00000000-0008-0000-1700-00000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5153" name="FPMExcelClientSheetOptionstb1" hidden="1">
              <a:extLst>
                <a:ext uri="{63B3BB69-23CF-44E3-9099-C40C66FF867C}">
                  <a14:compatExt spid="_x0000_s305153"/>
                </a:ext>
                <a:ext uri="{FF2B5EF4-FFF2-40B4-BE49-F238E27FC236}">
                  <a16:creationId xmlns:a16="http://schemas.microsoft.com/office/drawing/2014/main" id="{00000000-0008-0000-1800-000001A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24</xdr:row>
          <xdr:rowOff>0</xdr:rowOff>
        </xdr:from>
        <xdr:to>
          <xdr:col>0</xdr:col>
          <xdr:colOff>0</xdr:colOff>
          <xdr:row>24</xdr:row>
          <xdr:rowOff>0</xdr:rowOff>
        </xdr:to>
        <xdr:sp macro="" textlink="">
          <xdr:nvSpPr>
            <xdr:cNvPr id="306177" name="FPMExcelClientSheetOptionstb1" hidden="1">
              <a:extLst>
                <a:ext uri="{63B3BB69-23CF-44E3-9099-C40C66FF867C}">
                  <a14:compatExt spid="_x0000_s306177"/>
                </a:ext>
                <a:ext uri="{FF2B5EF4-FFF2-40B4-BE49-F238E27FC236}">
                  <a16:creationId xmlns:a16="http://schemas.microsoft.com/office/drawing/2014/main" id="{00000000-0008-0000-1900-000001AC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7201" name="FPMExcelClientSheetOptionstb1" hidden="1">
              <a:extLst>
                <a:ext uri="{63B3BB69-23CF-44E3-9099-C40C66FF867C}">
                  <a14:compatExt spid="_x0000_s307201"/>
                </a:ext>
                <a:ext uri="{FF2B5EF4-FFF2-40B4-BE49-F238E27FC236}">
                  <a16:creationId xmlns:a16="http://schemas.microsoft.com/office/drawing/2014/main" id="{00000000-0008-0000-1A00-000001B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08225" name="FPMExcelClientSheetOptionstb1" hidden="1">
              <a:extLst>
                <a:ext uri="{63B3BB69-23CF-44E3-9099-C40C66FF867C}">
                  <a14:compatExt spid="_x0000_s308225"/>
                </a:ext>
                <a:ext uri="{FF2B5EF4-FFF2-40B4-BE49-F238E27FC236}">
                  <a16:creationId xmlns:a16="http://schemas.microsoft.com/office/drawing/2014/main" id="{00000000-0008-0000-1B00-000001B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9249" name="FPMExcelClientSheetOptionstb1" hidden="1">
              <a:extLst>
                <a:ext uri="{63B3BB69-23CF-44E3-9099-C40C66FF867C}">
                  <a14:compatExt spid="_x0000_s309249"/>
                </a:ext>
                <a:ext uri="{FF2B5EF4-FFF2-40B4-BE49-F238E27FC236}">
                  <a16:creationId xmlns:a16="http://schemas.microsoft.com/office/drawing/2014/main" id="{00000000-0008-0000-1C00-000001B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20491" name="FPMExcelClientSheetOptionstb1" hidden="1">
              <a:extLst>
                <a:ext uri="{63B3BB69-23CF-44E3-9099-C40C66FF867C}">
                  <a14:compatExt spid="_x0000_s20491"/>
                </a:ext>
                <a:ext uri="{FF2B5EF4-FFF2-40B4-BE49-F238E27FC236}">
                  <a16:creationId xmlns:a16="http://schemas.microsoft.com/office/drawing/2014/main" id="{00000000-0008-0000-1D00-00000B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908050</xdr:colOff>
          <xdr:row>0</xdr:row>
          <xdr:rowOff>0</xdr:rowOff>
        </xdr:to>
        <xdr:sp macro="" textlink="">
          <xdr:nvSpPr>
            <xdr:cNvPr id="43016" name="FPMExcelClientSheetOptionstb1" hidden="1">
              <a:extLst>
                <a:ext uri="{63B3BB69-23CF-44E3-9099-C40C66FF867C}">
                  <a14:compatExt spid="_x0000_s43016"/>
                </a:ext>
                <a:ext uri="{FF2B5EF4-FFF2-40B4-BE49-F238E27FC236}">
                  <a16:creationId xmlns:a16="http://schemas.microsoft.com/office/drawing/2014/main" id="{00000000-0008-0000-1E00-000008A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4827" name="FPMExcelClientSheetOptionstb1" hidden="1">
              <a:extLst>
                <a:ext uri="{63B3BB69-23CF-44E3-9099-C40C66FF867C}">
                  <a14:compatExt spid="_x0000_s34827"/>
                </a:ext>
                <a:ext uri="{FF2B5EF4-FFF2-40B4-BE49-F238E27FC236}">
                  <a16:creationId xmlns:a16="http://schemas.microsoft.com/office/drawing/2014/main" id="{00000000-0008-0000-2000-00000B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6872" name="FPMExcelClientSheetOptionstb1" hidden="1">
              <a:extLst>
                <a:ext uri="{63B3BB69-23CF-44E3-9099-C40C66FF867C}">
                  <a14:compatExt spid="_x0000_s36872"/>
                </a:ext>
                <a:ext uri="{FF2B5EF4-FFF2-40B4-BE49-F238E27FC236}">
                  <a16:creationId xmlns:a16="http://schemas.microsoft.com/office/drawing/2014/main" id="{00000000-0008-0000-2100-0000089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7896" name="FPMExcelClientSheetOptionstb1" hidden="1">
              <a:extLst>
                <a:ext uri="{63B3BB69-23CF-44E3-9099-C40C66FF867C}">
                  <a14:compatExt spid="_x0000_s37896"/>
                </a:ext>
                <a:ext uri="{FF2B5EF4-FFF2-40B4-BE49-F238E27FC236}">
                  <a16:creationId xmlns:a16="http://schemas.microsoft.com/office/drawing/2014/main" id="{00000000-0008-0000-2200-0000089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38920" name="FPMExcelClientSheetOptionstb1" hidden="1">
              <a:extLst>
                <a:ext uri="{63B3BB69-23CF-44E3-9099-C40C66FF867C}">
                  <a14:compatExt spid="_x0000_s38920"/>
                </a:ext>
                <a:ext uri="{FF2B5EF4-FFF2-40B4-BE49-F238E27FC236}">
                  <a16:creationId xmlns:a16="http://schemas.microsoft.com/office/drawing/2014/main" id="{00000000-0008-0000-2300-000008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40967" name="FPMExcelClientSheetOptionstb1" hidden="1">
              <a:extLst>
                <a:ext uri="{63B3BB69-23CF-44E3-9099-C40C66FF867C}">
                  <a14:compatExt spid="_x0000_s40967"/>
                </a:ext>
                <a:ext uri="{FF2B5EF4-FFF2-40B4-BE49-F238E27FC236}">
                  <a16:creationId xmlns:a16="http://schemas.microsoft.com/office/drawing/2014/main" id="{00000000-0008-0000-2400-000007A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1206" name="FPMExcelClientSheetOptionstb1" hidden="1">
              <a:extLst>
                <a:ext uri="{63B3BB69-23CF-44E3-9099-C40C66FF867C}">
                  <a14:compatExt spid="_x0000_s51206"/>
                </a:ext>
                <a:ext uri="{FF2B5EF4-FFF2-40B4-BE49-F238E27FC236}">
                  <a16:creationId xmlns:a16="http://schemas.microsoft.com/office/drawing/2014/main" id="{00000000-0008-0000-2500-000006C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3256" name="FPMExcelClientSheetOptionstb1" hidden="1">
              <a:extLst>
                <a:ext uri="{63B3BB69-23CF-44E3-9099-C40C66FF867C}">
                  <a14:compatExt spid="_x0000_s53256"/>
                </a:ext>
                <a:ext uri="{FF2B5EF4-FFF2-40B4-BE49-F238E27FC236}">
                  <a16:creationId xmlns:a16="http://schemas.microsoft.com/office/drawing/2014/main" id="{00000000-0008-0000-2600-000008D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5304" name="FPMExcelClientSheetOptionstb1" hidden="1">
              <a:extLst>
                <a:ext uri="{63B3BB69-23CF-44E3-9099-C40C66FF867C}">
                  <a14:compatExt spid="_x0000_s55304"/>
                </a:ext>
                <a:ext uri="{FF2B5EF4-FFF2-40B4-BE49-F238E27FC236}">
                  <a16:creationId xmlns:a16="http://schemas.microsoft.com/office/drawing/2014/main" id="{00000000-0008-0000-2700-000008D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6326" name="FPMExcelClientSheetOptionstb1" hidden="1">
              <a:extLst>
                <a:ext uri="{63B3BB69-23CF-44E3-9099-C40C66FF867C}">
                  <a14:compatExt spid="_x0000_s56326"/>
                </a:ext>
                <a:ext uri="{FF2B5EF4-FFF2-40B4-BE49-F238E27FC236}">
                  <a16:creationId xmlns:a16="http://schemas.microsoft.com/office/drawing/2014/main" id="{00000000-0008-0000-2800-000006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58374" name="FPMExcelClientSheetOptionstb1" hidden="1">
              <a:extLst>
                <a:ext uri="{63B3BB69-23CF-44E3-9099-C40C66FF867C}">
                  <a14:compatExt spid="_x0000_s58374"/>
                </a:ext>
                <a:ext uri="{FF2B5EF4-FFF2-40B4-BE49-F238E27FC236}">
                  <a16:creationId xmlns:a16="http://schemas.microsoft.com/office/drawing/2014/main" id="{00000000-0008-0000-2A00-000006E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0419" name="FPMExcelClientSheetOptionstb1" hidden="1">
              <a:extLst>
                <a:ext uri="{63B3BB69-23CF-44E3-9099-C40C66FF867C}">
                  <a14:compatExt spid="_x0000_s60419"/>
                </a:ext>
                <a:ext uri="{FF2B5EF4-FFF2-40B4-BE49-F238E27FC236}">
                  <a16:creationId xmlns:a16="http://schemas.microsoft.com/office/drawing/2014/main" id="{00000000-0008-0000-2B00-000003E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1443" name="FPMExcelClientSheetOptionstb1" hidden="1">
              <a:extLst>
                <a:ext uri="{63B3BB69-23CF-44E3-9099-C40C66FF867C}">
                  <a14:compatExt spid="_x0000_s61443"/>
                </a:ext>
                <a:ext uri="{FF2B5EF4-FFF2-40B4-BE49-F238E27FC236}">
                  <a16:creationId xmlns:a16="http://schemas.microsoft.com/office/drawing/2014/main" id="{00000000-0008-0000-2C00-000003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2467" name="FPMExcelClientSheetOptionstb1" hidden="1">
              <a:extLst>
                <a:ext uri="{63B3BB69-23CF-44E3-9099-C40C66FF867C}">
                  <a14:compatExt spid="_x0000_s62467"/>
                </a:ext>
                <a:ext uri="{FF2B5EF4-FFF2-40B4-BE49-F238E27FC236}">
                  <a16:creationId xmlns:a16="http://schemas.microsoft.com/office/drawing/2014/main" id="{00000000-0008-0000-2D00-000003F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4524" name="FPMExcelClientSheetOptionstb1" hidden="1">
              <a:extLst>
                <a:ext uri="{63B3BB69-23CF-44E3-9099-C40C66FF867C}">
                  <a14:compatExt spid="_x0000_s64524"/>
                </a:ext>
                <a:ext uri="{FF2B5EF4-FFF2-40B4-BE49-F238E27FC236}">
                  <a16:creationId xmlns:a16="http://schemas.microsoft.com/office/drawing/2014/main" id="{00000000-0008-0000-2E00-00000CF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5543" name="FPMExcelClientSheetOptionstb1" hidden="1">
              <a:extLst>
                <a:ext uri="{63B3BB69-23CF-44E3-9099-C40C66FF867C}">
                  <a14:compatExt spid="_x0000_s65543"/>
                </a:ext>
                <a:ext uri="{FF2B5EF4-FFF2-40B4-BE49-F238E27FC236}">
                  <a16:creationId xmlns:a16="http://schemas.microsoft.com/office/drawing/2014/main" id="{00000000-0008-0000-2F00-0000070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908050</xdr:colOff>
          <xdr:row>0</xdr:row>
          <xdr:rowOff>0</xdr:rowOff>
        </xdr:to>
        <xdr:sp macro="" textlink="">
          <xdr:nvSpPr>
            <xdr:cNvPr id="67587" name="FPMExcelClientSheetOptionstb1" hidden="1">
              <a:extLst>
                <a:ext uri="{63B3BB69-23CF-44E3-9099-C40C66FF867C}">
                  <a14:compatExt spid="_x0000_s67587"/>
                </a:ext>
                <a:ext uri="{FF2B5EF4-FFF2-40B4-BE49-F238E27FC236}">
                  <a16:creationId xmlns:a16="http://schemas.microsoft.com/office/drawing/2014/main" id="{00000000-0008-0000-3000-0000030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5.bin"/><Relationship Id="rId7" Type="http://schemas.openxmlformats.org/officeDocument/2006/relationships/comments" Target="../comments2.xml"/><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customProperty" Target="../customProperty6.bin"/></Relationships>
</file>

<file path=xl/worksheets/_rels/sheet3.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ustomProperty" Target="../customProperty8.bin"/><Relationship Id="rId7" Type="http://schemas.openxmlformats.org/officeDocument/2006/relationships/control" Target="../activeX/activeX2.xml"/><Relationship Id="rId2" Type="http://schemas.openxmlformats.org/officeDocument/2006/relationships/customProperty" Target="../customProperty7.bin"/><Relationship Id="rId1" Type="http://schemas.openxmlformats.org/officeDocument/2006/relationships/printerSettings" Target="../printerSettings/printerSettings3.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9.bin"/><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1.bin"/><Relationship Id="rId7" Type="http://schemas.openxmlformats.org/officeDocument/2006/relationships/control" Target="../activeX/activeX3.xml"/><Relationship Id="rId2" Type="http://schemas.openxmlformats.org/officeDocument/2006/relationships/customProperty" Target="../customProperty10.bin"/><Relationship Id="rId1" Type="http://schemas.openxmlformats.org/officeDocument/2006/relationships/printerSettings" Target="../printerSettings/printerSettings4.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customProperty" Target="../customProperty12.bin"/><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ustomProperty" Target="../customProperty14.bin"/><Relationship Id="rId7" Type="http://schemas.openxmlformats.org/officeDocument/2006/relationships/control" Target="../activeX/activeX4.xml"/><Relationship Id="rId2" Type="http://schemas.openxmlformats.org/officeDocument/2006/relationships/customProperty" Target="../customProperty13.bin"/><Relationship Id="rId1" Type="http://schemas.openxmlformats.org/officeDocument/2006/relationships/printerSettings" Target="../printerSettings/printerSettings5.bin"/><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customProperty" Target="../customProperty15.bin"/><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ustomProperty" Target="../customProperty17.bin"/><Relationship Id="rId7" Type="http://schemas.openxmlformats.org/officeDocument/2006/relationships/control" Target="../activeX/activeX5.xml"/><Relationship Id="rId2" Type="http://schemas.openxmlformats.org/officeDocument/2006/relationships/customProperty" Target="../customProperty16.bin"/><Relationship Id="rId1" Type="http://schemas.openxmlformats.org/officeDocument/2006/relationships/printerSettings" Target="../printerSettings/printerSettings6.bin"/><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customProperty" Target="../customProperty18.bin"/><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20.bin"/><Relationship Id="rId7" Type="http://schemas.openxmlformats.org/officeDocument/2006/relationships/control" Target="../activeX/activeX6.xml"/><Relationship Id="rId2" Type="http://schemas.openxmlformats.org/officeDocument/2006/relationships/customProperty" Target="../customProperty19.bin"/><Relationship Id="rId1" Type="http://schemas.openxmlformats.org/officeDocument/2006/relationships/printerSettings" Target="../printerSettings/printerSettings7.bin"/><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customProperty" Target="../customProperty21.bin"/><Relationship Id="rId9" Type="http://schemas.openxmlformats.org/officeDocument/2006/relationships/comments" Target="../comments7.xml"/></Relationships>
</file>

<file path=xl/worksheets/_rels/sheet8.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ustomProperty" Target="../customProperty23.bin"/><Relationship Id="rId7" Type="http://schemas.openxmlformats.org/officeDocument/2006/relationships/control" Target="../activeX/activeX7.xml"/><Relationship Id="rId2" Type="http://schemas.openxmlformats.org/officeDocument/2006/relationships/customProperty" Target="../customProperty22.bin"/><Relationship Id="rId1" Type="http://schemas.openxmlformats.org/officeDocument/2006/relationships/printerSettings" Target="../printerSettings/printerSettings8.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customProperty" Target="../customProperty24.bin"/><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vmlDrawing" Target="../drawings/vmlDrawing9.vml"/><Relationship Id="rId4" Type="http://schemas.openxmlformats.org/officeDocument/2006/relationships/customProperty" Target="../customProperty2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vmlDrawing" Target="../drawings/vmlDrawing10.vml"/><Relationship Id="rId4" Type="http://schemas.openxmlformats.org/officeDocument/2006/relationships/customProperty" Target="../customProperty3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vmlDrawing" Target="../drawings/vmlDrawing11.vml"/><Relationship Id="rId4" Type="http://schemas.openxmlformats.org/officeDocument/2006/relationships/customProperty" Target="../customProperty33.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2.bin"/><Relationship Id="rId6" Type="http://schemas.openxmlformats.org/officeDocument/2006/relationships/comments" Target="../comments12.xml"/><Relationship Id="rId5" Type="http://schemas.openxmlformats.org/officeDocument/2006/relationships/vmlDrawing" Target="../drawings/vmlDrawing12.vml"/><Relationship Id="rId4" Type="http://schemas.openxmlformats.org/officeDocument/2006/relationships/customProperty" Target="../customProperty36.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3.bin"/><Relationship Id="rId6" Type="http://schemas.openxmlformats.org/officeDocument/2006/relationships/comments" Target="../comments13.xml"/><Relationship Id="rId5" Type="http://schemas.openxmlformats.org/officeDocument/2006/relationships/vmlDrawing" Target="../drawings/vmlDrawing13.vml"/><Relationship Id="rId4" Type="http://schemas.openxmlformats.org/officeDocument/2006/relationships/customProperty" Target="../customProperty39.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41.bin"/><Relationship Id="rId2" Type="http://schemas.openxmlformats.org/officeDocument/2006/relationships/customProperty" Target="../customProperty40.bin"/><Relationship Id="rId1" Type="http://schemas.openxmlformats.org/officeDocument/2006/relationships/printerSettings" Target="../printerSettings/printerSettings14.bin"/><Relationship Id="rId6" Type="http://schemas.openxmlformats.org/officeDocument/2006/relationships/comments" Target="../comments14.xml"/><Relationship Id="rId5" Type="http://schemas.openxmlformats.org/officeDocument/2006/relationships/vmlDrawing" Target="../drawings/vmlDrawing14.vml"/><Relationship Id="rId4" Type="http://schemas.openxmlformats.org/officeDocument/2006/relationships/customProperty" Target="../customProperty4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5.bin"/><Relationship Id="rId6" Type="http://schemas.openxmlformats.org/officeDocument/2006/relationships/comments" Target="../comments15.xml"/><Relationship Id="rId5" Type="http://schemas.openxmlformats.org/officeDocument/2006/relationships/vmlDrawing" Target="../drawings/vmlDrawing15.vml"/><Relationship Id="rId4" Type="http://schemas.openxmlformats.org/officeDocument/2006/relationships/customProperty" Target="../customProperty45.bin"/></Relationships>
</file>

<file path=xl/worksheets/_rels/sheet1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customProperty" Target="../customProperty47.bin"/><Relationship Id="rId7" Type="http://schemas.openxmlformats.org/officeDocument/2006/relationships/control" Target="../activeX/activeX8.xml"/><Relationship Id="rId2" Type="http://schemas.openxmlformats.org/officeDocument/2006/relationships/customProperty" Target="../customProperty46.bin"/><Relationship Id="rId1" Type="http://schemas.openxmlformats.org/officeDocument/2006/relationships/printerSettings" Target="../printerSettings/printerSettings16.bin"/><Relationship Id="rId6" Type="http://schemas.openxmlformats.org/officeDocument/2006/relationships/vmlDrawing" Target="../drawings/vmlDrawing16.vml"/><Relationship Id="rId5" Type="http://schemas.openxmlformats.org/officeDocument/2006/relationships/drawing" Target="../drawings/drawing9.xml"/><Relationship Id="rId4" Type="http://schemas.openxmlformats.org/officeDocument/2006/relationships/customProperty" Target="../customProperty48.bin"/><Relationship Id="rId9"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50.bin"/><Relationship Id="rId2" Type="http://schemas.openxmlformats.org/officeDocument/2006/relationships/customProperty" Target="../customProperty49.bin"/><Relationship Id="rId1" Type="http://schemas.openxmlformats.org/officeDocument/2006/relationships/printerSettings" Target="../printerSettings/printerSettings17.bin"/><Relationship Id="rId6" Type="http://schemas.openxmlformats.org/officeDocument/2006/relationships/comments" Target="../comments17.xml"/><Relationship Id="rId5" Type="http://schemas.openxmlformats.org/officeDocument/2006/relationships/vmlDrawing" Target="../drawings/vmlDrawing17.vml"/><Relationship Id="rId4" Type="http://schemas.openxmlformats.org/officeDocument/2006/relationships/customProperty" Target="../customProperty51.bin"/></Relationships>
</file>

<file path=xl/worksheets/_rels/sheet18.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customProperty" Target="../customProperty53.bin"/><Relationship Id="rId7" Type="http://schemas.openxmlformats.org/officeDocument/2006/relationships/control" Target="../activeX/activeX9.xml"/><Relationship Id="rId2" Type="http://schemas.openxmlformats.org/officeDocument/2006/relationships/customProperty" Target="../customProperty52.bin"/><Relationship Id="rId1" Type="http://schemas.openxmlformats.org/officeDocument/2006/relationships/printerSettings" Target="../printerSettings/printerSettings18.bin"/><Relationship Id="rId6" Type="http://schemas.openxmlformats.org/officeDocument/2006/relationships/vmlDrawing" Target="../drawings/vmlDrawing18.vml"/><Relationship Id="rId5" Type="http://schemas.openxmlformats.org/officeDocument/2006/relationships/drawing" Target="../drawings/drawing10.xml"/><Relationship Id="rId4" Type="http://schemas.openxmlformats.org/officeDocument/2006/relationships/customProperty" Target="../customProperty54.bin"/><Relationship Id="rId9"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56.bin"/><Relationship Id="rId2" Type="http://schemas.openxmlformats.org/officeDocument/2006/relationships/customProperty" Target="../customProperty55.bin"/><Relationship Id="rId1" Type="http://schemas.openxmlformats.org/officeDocument/2006/relationships/printerSettings" Target="../printerSettings/printerSettings19.bin"/><Relationship Id="rId6" Type="http://schemas.openxmlformats.org/officeDocument/2006/relationships/comments" Target="../comments19.xml"/><Relationship Id="rId5" Type="http://schemas.openxmlformats.org/officeDocument/2006/relationships/vmlDrawing" Target="../drawings/vmlDrawing19.vml"/><Relationship Id="rId4" Type="http://schemas.openxmlformats.org/officeDocument/2006/relationships/customProperty" Target="../customProperty5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59.bin"/><Relationship Id="rId2" Type="http://schemas.openxmlformats.org/officeDocument/2006/relationships/customProperty" Target="../customProperty58.bin"/><Relationship Id="rId1" Type="http://schemas.openxmlformats.org/officeDocument/2006/relationships/printerSettings" Target="../printerSettings/printerSettings20.bin"/><Relationship Id="rId6" Type="http://schemas.openxmlformats.org/officeDocument/2006/relationships/comments" Target="../comments20.xml"/><Relationship Id="rId5" Type="http://schemas.openxmlformats.org/officeDocument/2006/relationships/vmlDrawing" Target="../drawings/vmlDrawing20.vml"/><Relationship Id="rId4" Type="http://schemas.openxmlformats.org/officeDocument/2006/relationships/customProperty" Target="../customProperty6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62.bin"/><Relationship Id="rId2" Type="http://schemas.openxmlformats.org/officeDocument/2006/relationships/customProperty" Target="../customProperty61.bin"/><Relationship Id="rId1" Type="http://schemas.openxmlformats.org/officeDocument/2006/relationships/printerSettings" Target="../printerSettings/printerSettings21.bin"/><Relationship Id="rId6" Type="http://schemas.openxmlformats.org/officeDocument/2006/relationships/comments" Target="../comments21.xml"/><Relationship Id="rId5" Type="http://schemas.openxmlformats.org/officeDocument/2006/relationships/vmlDrawing" Target="../drawings/vmlDrawing21.vml"/><Relationship Id="rId4" Type="http://schemas.openxmlformats.org/officeDocument/2006/relationships/customProperty" Target="../customProperty63.bin"/></Relationships>
</file>

<file path=xl/worksheets/_rels/sheet22.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customProperty" Target="../customProperty65.bin"/><Relationship Id="rId7" Type="http://schemas.openxmlformats.org/officeDocument/2006/relationships/control" Target="../activeX/activeX10.xml"/><Relationship Id="rId2" Type="http://schemas.openxmlformats.org/officeDocument/2006/relationships/customProperty" Target="../customProperty64.bin"/><Relationship Id="rId1" Type="http://schemas.openxmlformats.org/officeDocument/2006/relationships/printerSettings" Target="../printerSettings/printerSettings22.bin"/><Relationship Id="rId6" Type="http://schemas.openxmlformats.org/officeDocument/2006/relationships/vmlDrawing" Target="../drawings/vmlDrawing22.vml"/><Relationship Id="rId5" Type="http://schemas.openxmlformats.org/officeDocument/2006/relationships/drawing" Target="../drawings/drawing11.xml"/><Relationship Id="rId4" Type="http://schemas.openxmlformats.org/officeDocument/2006/relationships/customProperty" Target="../customProperty66.bin"/><Relationship Id="rId9"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68.bin"/><Relationship Id="rId7" Type="http://schemas.openxmlformats.org/officeDocument/2006/relationships/control" Target="../activeX/activeX11.xml"/><Relationship Id="rId2" Type="http://schemas.openxmlformats.org/officeDocument/2006/relationships/customProperty" Target="../customProperty67.bin"/><Relationship Id="rId1" Type="http://schemas.openxmlformats.org/officeDocument/2006/relationships/printerSettings" Target="../printerSettings/printerSettings23.bin"/><Relationship Id="rId6" Type="http://schemas.openxmlformats.org/officeDocument/2006/relationships/vmlDrawing" Target="../drawings/vmlDrawing23.vml"/><Relationship Id="rId5" Type="http://schemas.openxmlformats.org/officeDocument/2006/relationships/drawing" Target="../drawings/drawing12.xml"/><Relationship Id="rId4" Type="http://schemas.openxmlformats.org/officeDocument/2006/relationships/customProperty" Target="../customProperty69.bin"/><Relationship Id="rId9"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71.bin"/><Relationship Id="rId7" Type="http://schemas.openxmlformats.org/officeDocument/2006/relationships/control" Target="../activeX/activeX12.xml"/><Relationship Id="rId2" Type="http://schemas.openxmlformats.org/officeDocument/2006/relationships/customProperty" Target="../customProperty70.bin"/><Relationship Id="rId1" Type="http://schemas.openxmlformats.org/officeDocument/2006/relationships/printerSettings" Target="../printerSettings/printerSettings24.bin"/><Relationship Id="rId6" Type="http://schemas.openxmlformats.org/officeDocument/2006/relationships/vmlDrawing" Target="../drawings/vmlDrawing24.vml"/><Relationship Id="rId5" Type="http://schemas.openxmlformats.org/officeDocument/2006/relationships/drawing" Target="../drawings/drawing13.xml"/><Relationship Id="rId4" Type="http://schemas.openxmlformats.org/officeDocument/2006/relationships/customProperty" Target="../customProperty72.bin"/><Relationship Id="rId9"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customProperty" Target="../customProperty74.bin"/><Relationship Id="rId7" Type="http://schemas.openxmlformats.org/officeDocument/2006/relationships/control" Target="../activeX/activeX13.xml"/><Relationship Id="rId2" Type="http://schemas.openxmlformats.org/officeDocument/2006/relationships/customProperty" Target="../customProperty73.bin"/><Relationship Id="rId1" Type="http://schemas.openxmlformats.org/officeDocument/2006/relationships/printerSettings" Target="../printerSettings/printerSettings25.bin"/><Relationship Id="rId6" Type="http://schemas.openxmlformats.org/officeDocument/2006/relationships/vmlDrawing" Target="../drawings/vmlDrawing25.vml"/><Relationship Id="rId5" Type="http://schemas.openxmlformats.org/officeDocument/2006/relationships/drawing" Target="../drawings/drawing14.xml"/><Relationship Id="rId4" Type="http://schemas.openxmlformats.org/officeDocument/2006/relationships/customProperty" Target="../customProperty75.bin"/><Relationship Id="rId9"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77.bin"/><Relationship Id="rId7" Type="http://schemas.openxmlformats.org/officeDocument/2006/relationships/control" Target="../activeX/activeX14.xml"/><Relationship Id="rId2" Type="http://schemas.openxmlformats.org/officeDocument/2006/relationships/customProperty" Target="../customProperty76.bin"/><Relationship Id="rId1" Type="http://schemas.openxmlformats.org/officeDocument/2006/relationships/printerSettings" Target="../printerSettings/printerSettings26.bin"/><Relationship Id="rId6" Type="http://schemas.openxmlformats.org/officeDocument/2006/relationships/vmlDrawing" Target="../drawings/vmlDrawing26.vml"/><Relationship Id="rId5" Type="http://schemas.openxmlformats.org/officeDocument/2006/relationships/drawing" Target="../drawings/drawing15.xml"/><Relationship Id="rId4" Type="http://schemas.openxmlformats.org/officeDocument/2006/relationships/customProperty" Target="../customProperty78.bin"/><Relationship Id="rId9" Type="http://schemas.openxmlformats.org/officeDocument/2006/relationships/comments" Target="../comments26.xml"/></Relationships>
</file>

<file path=xl/worksheets/_rels/sheet27.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ustomProperty" Target="../customProperty80.bin"/><Relationship Id="rId7" Type="http://schemas.openxmlformats.org/officeDocument/2006/relationships/control" Target="../activeX/activeX15.xml"/><Relationship Id="rId2" Type="http://schemas.openxmlformats.org/officeDocument/2006/relationships/customProperty" Target="../customProperty79.bin"/><Relationship Id="rId1" Type="http://schemas.openxmlformats.org/officeDocument/2006/relationships/printerSettings" Target="../printerSettings/printerSettings27.bin"/><Relationship Id="rId6" Type="http://schemas.openxmlformats.org/officeDocument/2006/relationships/vmlDrawing" Target="../drawings/vmlDrawing27.vml"/><Relationship Id="rId5" Type="http://schemas.openxmlformats.org/officeDocument/2006/relationships/drawing" Target="../drawings/drawing16.xml"/><Relationship Id="rId4" Type="http://schemas.openxmlformats.org/officeDocument/2006/relationships/customProperty" Target="../customProperty81.bin"/><Relationship Id="rId9" Type="http://schemas.openxmlformats.org/officeDocument/2006/relationships/comments" Target="../comments27.xml"/></Relationships>
</file>

<file path=xl/worksheets/_rels/sheet28.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customProperty" Target="../customProperty83.bin"/><Relationship Id="rId7" Type="http://schemas.openxmlformats.org/officeDocument/2006/relationships/control" Target="../activeX/activeX16.xml"/><Relationship Id="rId2" Type="http://schemas.openxmlformats.org/officeDocument/2006/relationships/customProperty" Target="../customProperty82.bin"/><Relationship Id="rId1" Type="http://schemas.openxmlformats.org/officeDocument/2006/relationships/printerSettings" Target="../printerSettings/printerSettings28.bin"/><Relationship Id="rId6" Type="http://schemas.openxmlformats.org/officeDocument/2006/relationships/vmlDrawing" Target="../drawings/vmlDrawing28.vml"/><Relationship Id="rId5" Type="http://schemas.openxmlformats.org/officeDocument/2006/relationships/drawing" Target="../drawings/drawing17.xml"/><Relationship Id="rId4" Type="http://schemas.openxmlformats.org/officeDocument/2006/relationships/customProperty" Target="../customProperty84.bin"/><Relationship Id="rId9"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customProperty" Target="../customProperty86.bin"/><Relationship Id="rId7" Type="http://schemas.openxmlformats.org/officeDocument/2006/relationships/control" Target="../activeX/activeX17.xml"/><Relationship Id="rId2" Type="http://schemas.openxmlformats.org/officeDocument/2006/relationships/customProperty" Target="../customProperty85.bin"/><Relationship Id="rId1" Type="http://schemas.openxmlformats.org/officeDocument/2006/relationships/printerSettings" Target="../printerSettings/printerSettings29.bin"/><Relationship Id="rId6" Type="http://schemas.openxmlformats.org/officeDocument/2006/relationships/vmlDrawing" Target="../drawings/vmlDrawing29.vml"/><Relationship Id="rId5" Type="http://schemas.openxmlformats.org/officeDocument/2006/relationships/drawing" Target="../drawings/drawing18.xml"/><Relationship Id="rId4" Type="http://schemas.openxmlformats.org/officeDocument/2006/relationships/customProperty" Target="../customProperty87.bin"/><Relationship Id="rId9"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customProperty" Target="../customProperty89.bin"/><Relationship Id="rId7" Type="http://schemas.openxmlformats.org/officeDocument/2006/relationships/control" Target="../activeX/activeX18.xml"/><Relationship Id="rId2" Type="http://schemas.openxmlformats.org/officeDocument/2006/relationships/customProperty" Target="../customProperty88.bin"/><Relationship Id="rId1" Type="http://schemas.openxmlformats.org/officeDocument/2006/relationships/printerSettings" Target="../printerSettings/printerSettings30.bin"/><Relationship Id="rId6" Type="http://schemas.openxmlformats.org/officeDocument/2006/relationships/vmlDrawing" Target="../drawings/vmlDrawing30.vml"/><Relationship Id="rId5" Type="http://schemas.openxmlformats.org/officeDocument/2006/relationships/drawing" Target="../drawings/drawing19.xml"/><Relationship Id="rId4" Type="http://schemas.openxmlformats.org/officeDocument/2006/relationships/customProperty" Target="../customProperty90.bin"/><Relationship Id="rId9" Type="http://schemas.openxmlformats.org/officeDocument/2006/relationships/comments" Target="../comments30.xml"/></Relationships>
</file>

<file path=xl/worksheets/_rels/sheet31.x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customProperty" Target="../customProperty92.bin"/><Relationship Id="rId7" Type="http://schemas.openxmlformats.org/officeDocument/2006/relationships/control" Target="../activeX/activeX19.xml"/><Relationship Id="rId2" Type="http://schemas.openxmlformats.org/officeDocument/2006/relationships/customProperty" Target="../customProperty91.bin"/><Relationship Id="rId1" Type="http://schemas.openxmlformats.org/officeDocument/2006/relationships/printerSettings" Target="../printerSettings/printerSettings31.bin"/><Relationship Id="rId6" Type="http://schemas.openxmlformats.org/officeDocument/2006/relationships/vmlDrawing" Target="../drawings/vmlDrawing31.vml"/><Relationship Id="rId5" Type="http://schemas.openxmlformats.org/officeDocument/2006/relationships/drawing" Target="../drawings/drawing20.xml"/><Relationship Id="rId4" Type="http://schemas.openxmlformats.org/officeDocument/2006/relationships/customProperty" Target="../customProperty93.bin"/><Relationship Id="rId9"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95.bin"/><Relationship Id="rId2" Type="http://schemas.openxmlformats.org/officeDocument/2006/relationships/customProperty" Target="../customProperty94.bin"/><Relationship Id="rId1" Type="http://schemas.openxmlformats.org/officeDocument/2006/relationships/printerSettings" Target="../printerSettings/printerSettings32.bin"/><Relationship Id="rId6" Type="http://schemas.openxmlformats.org/officeDocument/2006/relationships/comments" Target="../comments32.xml"/><Relationship Id="rId5" Type="http://schemas.openxmlformats.org/officeDocument/2006/relationships/vmlDrawing" Target="../drawings/vmlDrawing32.vml"/><Relationship Id="rId4" Type="http://schemas.openxmlformats.org/officeDocument/2006/relationships/customProperty" Target="../customProperty96.bin"/></Relationships>
</file>

<file path=xl/worksheets/_rels/sheet33.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customProperty" Target="../customProperty98.bin"/><Relationship Id="rId7" Type="http://schemas.openxmlformats.org/officeDocument/2006/relationships/control" Target="../activeX/activeX20.xml"/><Relationship Id="rId2" Type="http://schemas.openxmlformats.org/officeDocument/2006/relationships/customProperty" Target="../customProperty97.bin"/><Relationship Id="rId1" Type="http://schemas.openxmlformats.org/officeDocument/2006/relationships/printerSettings" Target="../printerSettings/printerSettings33.bin"/><Relationship Id="rId6" Type="http://schemas.openxmlformats.org/officeDocument/2006/relationships/vmlDrawing" Target="../drawings/vmlDrawing33.vml"/><Relationship Id="rId5" Type="http://schemas.openxmlformats.org/officeDocument/2006/relationships/drawing" Target="../drawings/drawing21.xml"/><Relationship Id="rId4" Type="http://schemas.openxmlformats.org/officeDocument/2006/relationships/customProperty" Target="../customProperty99.bin"/><Relationship Id="rId9"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customProperty" Target="../customProperty101.bin"/><Relationship Id="rId7" Type="http://schemas.openxmlformats.org/officeDocument/2006/relationships/control" Target="../activeX/activeX21.xml"/><Relationship Id="rId2" Type="http://schemas.openxmlformats.org/officeDocument/2006/relationships/customProperty" Target="../customProperty100.bin"/><Relationship Id="rId1" Type="http://schemas.openxmlformats.org/officeDocument/2006/relationships/printerSettings" Target="../printerSettings/printerSettings34.bin"/><Relationship Id="rId6" Type="http://schemas.openxmlformats.org/officeDocument/2006/relationships/vmlDrawing" Target="../drawings/vmlDrawing34.vml"/><Relationship Id="rId5" Type="http://schemas.openxmlformats.org/officeDocument/2006/relationships/drawing" Target="../drawings/drawing22.xml"/><Relationship Id="rId4" Type="http://schemas.openxmlformats.org/officeDocument/2006/relationships/customProperty" Target="../customProperty102.bin"/><Relationship Id="rId9" Type="http://schemas.openxmlformats.org/officeDocument/2006/relationships/comments" Target="../comments34.xml"/></Relationships>
</file>

<file path=xl/worksheets/_rels/sheet35.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customProperty" Target="../customProperty104.bin"/><Relationship Id="rId7" Type="http://schemas.openxmlformats.org/officeDocument/2006/relationships/control" Target="../activeX/activeX22.xml"/><Relationship Id="rId2" Type="http://schemas.openxmlformats.org/officeDocument/2006/relationships/customProperty" Target="../customProperty103.bin"/><Relationship Id="rId1" Type="http://schemas.openxmlformats.org/officeDocument/2006/relationships/printerSettings" Target="../printerSettings/printerSettings35.bin"/><Relationship Id="rId6" Type="http://schemas.openxmlformats.org/officeDocument/2006/relationships/vmlDrawing" Target="../drawings/vmlDrawing35.vml"/><Relationship Id="rId5" Type="http://schemas.openxmlformats.org/officeDocument/2006/relationships/drawing" Target="../drawings/drawing23.xml"/><Relationship Id="rId4" Type="http://schemas.openxmlformats.org/officeDocument/2006/relationships/customProperty" Target="../customProperty105.bin"/><Relationship Id="rId9"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customProperty" Target="../customProperty107.bin"/><Relationship Id="rId7" Type="http://schemas.openxmlformats.org/officeDocument/2006/relationships/control" Target="../activeX/activeX23.xml"/><Relationship Id="rId2" Type="http://schemas.openxmlformats.org/officeDocument/2006/relationships/customProperty" Target="../customProperty106.bin"/><Relationship Id="rId1" Type="http://schemas.openxmlformats.org/officeDocument/2006/relationships/printerSettings" Target="../printerSettings/printerSettings36.bin"/><Relationship Id="rId6" Type="http://schemas.openxmlformats.org/officeDocument/2006/relationships/vmlDrawing" Target="../drawings/vmlDrawing36.vml"/><Relationship Id="rId5" Type="http://schemas.openxmlformats.org/officeDocument/2006/relationships/drawing" Target="../drawings/drawing24.xml"/><Relationship Id="rId4" Type="http://schemas.openxmlformats.org/officeDocument/2006/relationships/customProperty" Target="../customProperty108.bin"/><Relationship Id="rId9" Type="http://schemas.openxmlformats.org/officeDocument/2006/relationships/comments" Target="../comments36.xml"/></Relationships>
</file>

<file path=xl/worksheets/_rels/sheet37.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customProperty" Target="../customProperty110.bin"/><Relationship Id="rId7" Type="http://schemas.openxmlformats.org/officeDocument/2006/relationships/control" Target="../activeX/activeX24.xml"/><Relationship Id="rId2" Type="http://schemas.openxmlformats.org/officeDocument/2006/relationships/customProperty" Target="../customProperty109.bin"/><Relationship Id="rId1" Type="http://schemas.openxmlformats.org/officeDocument/2006/relationships/printerSettings" Target="../printerSettings/printerSettings37.bin"/><Relationship Id="rId6" Type="http://schemas.openxmlformats.org/officeDocument/2006/relationships/vmlDrawing" Target="../drawings/vmlDrawing37.vml"/><Relationship Id="rId5" Type="http://schemas.openxmlformats.org/officeDocument/2006/relationships/drawing" Target="../drawings/drawing25.xml"/><Relationship Id="rId4" Type="http://schemas.openxmlformats.org/officeDocument/2006/relationships/customProperty" Target="../customProperty111.bin"/><Relationship Id="rId9" Type="http://schemas.openxmlformats.org/officeDocument/2006/relationships/comments" Target="../comments37.xml"/></Relationships>
</file>

<file path=xl/worksheets/_rels/sheet38.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customProperty" Target="../customProperty113.bin"/><Relationship Id="rId7" Type="http://schemas.openxmlformats.org/officeDocument/2006/relationships/control" Target="../activeX/activeX25.xml"/><Relationship Id="rId2" Type="http://schemas.openxmlformats.org/officeDocument/2006/relationships/customProperty" Target="../customProperty112.bin"/><Relationship Id="rId1" Type="http://schemas.openxmlformats.org/officeDocument/2006/relationships/printerSettings" Target="../printerSettings/printerSettings38.bin"/><Relationship Id="rId6" Type="http://schemas.openxmlformats.org/officeDocument/2006/relationships/vmlDrawing" Target="../drawings/vmlDrawing38.vml"/><Relationship Id="rId5" Type="http://schemas.openxmlformats.org/officeDocument/2006/relationships/drawing" Target="../drawings/drawing26.xml"/><Relationship Id="rId4" Type="http://schemas.openxmlformats.org/officeDocument/2006/relationships/customProperty" Target="../customProperty114.bin"/><Relationship Id="rId9" Type="http://schemas.openxmlformats.org/officeDocument/2006/relationships/comments" Target="../comments38.xml"/></Relationships>
</file>

<file path=xl/worksheets/_rels/sheet39.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customProperty" Target="../customProperty116.bin"/><Relationship Id="rId7" Type="http://schemas.openxmlformats.org/officeDocument/2006/relationships/control" Target="../activeX/activeX26.xml"/><Relationship Id="rId2" Type="http://schemas.openxmlformats.org/officeDocument/2006/relationships/customProperty" Target="../customProperty115.bin"/><Relationship Id="rId1" Type="http://schemas.openxmlformats.org/officeDocument/2006/relationships/printerSettings" Target="../printerSettings/printerSettings39.bin"/><Relationship Id="rId6" Type="http://schemas.openxmlformats.org/officeDocument/2006/relationships/vmlDrawing" Target="../drawings/vmlDrawing39.vml"/><Relationship Id="rId5" Type="http://schemas.openxmlformats.org/officeDocument/2006/relationships/drawing" Target="../drawings/drawing27.xml"/><Relationship Id="rId4" Type="http://schemas.openxmlformats.org/officeDocument/2006/relationships/customProperty" Target="../customProperty117.bin"/><Relationship Id="rId9" Type="http://schemas.openxmlformats.org/officeDocument/2006/relationships/comments" Target="../comments39.xml"/></Relationships>
</file>

<file path=xl/worksheets/_rels/sheet40.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customProperty" Target="../customProperty119.bin"/><Relationship Id="rId7" Type="http://schemas.openxmlformats.org/officeDocument/2006/relationships/control" Target="../activeX/activeX27.xml"/><Relationship Id="rId2" Type="http://schemas.openxmlformats.org/officeDocument/2006/relationships/customProperty" Target="../customProperty118.bin"/><Relationship Id="rId1" Type="http://schemas.openxmlformats.org/officeDocument/2006/relationships/printerSettings" Target="../printerSettings/printerSettings40.bin"/><Relationship Id="rId6" Type="http://schemas.openxmlformats.org/officeDocument/2006/relationships/vmlDrawing" Target="../drawings/vmlDrawing40.vml"/><Relationship Id="rId5" Type="http://schemas.openxmlformats.org/officeDocument/2006/relationships/drawing" Target="../drawings/drawing28.xml"/><Relationship Id="rId4" Type="http://schemas.openxmlformats.org/officeDocument/2006/relationships/customProperty" Target="../customProperty120.bin"/><Relationship Id="rId9" Type="http://schemas.openxmlformats.org/officeDocument/2006/relationships/comments" Target="../comments40.xml"/></Relationships>
</file>

<file path=xl/worksheets/_rels/sheet41.x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customProperty" Target="../customProperty122.bin"/><Relationship Id="rId7" Type="http://schemas.openxmlformats.org/officeDocument/2006/relationships/control" Target="../activeX/activeX28.xml"/><Relationship Id="rId2" Type="http://schemas.openxmlformats.org/officeDocument/2006/relationships/customProperty" Target="../customProperty121.bin"/><Relationship Id="rId1" Type="http://schemas.openxmlformats.org/officeDocument/2006/relationships/printerSettings" Target="../printerSettings/printerSettings41.bin"/><Relationship Id="rId6" Type="http://schemas.openxmlformats.org/officeDocument/2006/relationships/vmlDrawing" Target="../drawings/vmlDrawing41.vml"/><Relationship Id="rId5" Type="http://schemas.openxmlformats.org/officeDocument/2006/relationships/drawing" Target="../drawings/drawing29.xml"/><Relationship Id="rId4" Type="http://schemas.openxmlformats.org/officeDocument/2006/relationships/customProperty" Target="../customProperty123.bin"/><Relationship Id="rId9" Type="http://schemas.openxmlformats.org/officeDocument/2006/relationships/comments" Target="../comments41.xml"/></Relationships>
</file>

<file path=xl/worksheets/_rels/sheet42.xml.rels><?xml version="1.0" encoding="UTF-8" standalone="yes"?>
<Relationships xmlns="http://schemas.openxmlformats.org/package/2006/relationships"><Relationship Id="rId3" Type="http://schemas.openxmlformats.org/officeDocument/2006/relationships/customProperty" Target="../customProperty125.bin"/><Relationship Id="rId2" Type="http://schemas.openxmlformats.org/officeDocument/2006/relationships/customProperty" Target="../customProperty124.bin"/><Relationship Id="rId1" Type="http://schemas.openxmlformats.org/officeDocument/2006/relationships/printerSettings" Target="../printerSettings/printerSettings42.bin"/><Relationship Id="rId6" Type="http://schemas.openxmlformats.org/officeDocument/2006/relationships/comments" Target="../comments42.xml"/><Relationship Id="rId5" Type="http://schemas.openxmlformats.org/officeDocument/2006/relationships/vmlDrawing" Target="../drawings/vmlDrawing42.vml"/><Relationship Id="rId4" Type="http://schemas.openxmlformats.org/officeDocument/2006/relationships/customProperty" Target="../customProperty126.bin"/></Relationships>
</file>

<file path=xl/worksheets/_rels/sheet43.x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customProperty" Target="../customProperty128.bin"/><Relationship Id="rId7" Type="http://schemas.openxmlformats.org/officeDocument/2006/relationships/control" Target="../activeX/activeX29.xml"/><Relationship Id="rId2" Type="http://schemas.openxmlformats.org/officeDocument/2006/relationships/customProperty" Target="../customProperty127.bin"/><Relationship Id="rId1" Type="http://schemas.openxmlformats.org/officeDocument/2006/relationships/printerSettings" Target="../printerSettings/printerSettings43.bin"/><Relationship Id="rId6" Type="http://schemas.openxmlformats.org/officeDocument/2006/relationships/vmlDrawing" Target="../drawings/vmlDrawing43.vml"/><Relationship Id="rId5" Type="http://schemas.openxmlformats.org/officeDocument/2006/relationships/drawing" Target="../drawings/drawing30.xml"/><Relationship Id="rId4" Type="http://schemas.openxmlformats.org/officeDocument/2006/relationships/customProperty" Target="../customProperty129.bin"/><Relationship Id="rId9" Type="http://schemas.openxmlformats.org/officeDocument/2006/relationships/comments" Target="../comments43.xml"/></Relationships>
</file>

<file path=xl/worksheets/_rels/sheet44.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customProperty" Target="../customProperty131.bin"/><Relationship Id="rId7" Type="http://schemas.openxmlformats.org/officeDocument/2006/relationships/control" Target="../activeX/activeX30.xml"/><Relationship Id="rId2" Type="http://schemas.openxmlformats.org/officeDocument/2006/relationships/customProperty" Target="../customProperty130.bin"/><Relationship Id="rId1" Type="http://schemas.openxmlformats.org/officeDocument/2006/relationships/printerSettings" Target="../printerSettings/printerSettings44.bin"/><Relationship Id="rId6" Type="http://schemas.openxmlformats.org/officeDocument/2006/relationships/vmlDrawing" Target="../drawings/vmlDrawing44.vml"/><Relationship Id="rId5" Type="http://schemas.openxmlformats.org/officeDocument/2006/relationships/drawing" Target="../drawings/drawing31.xml"/><Relationship Id="rId4" Type="http://schemas.openxmlformats.org/officeDocument/2006/relationships/customProperty" Target="../customProperty132.bin"/><Relationship Id="rId9" Type="http://schemas.openxmlformats.org/officeDocument/2006/relationships/comments" Target="../comments44.xml"/></Relationships>
</file>

<file path=xl/worksheets/_rels/sheet45.x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customProperty" Target="../customProperty134.bin"/><Relationship Id="rId7" Type="http://schemas.openxmlformats.org/officeDocument/2006/relationships/control" Target="../activeX/activeX31.xml"/><Relationship Id="rId2" Type="http://schemas.openxmlformats.org/officeDocument/2006/relationships/customProperty" Target="../customProperty133.bin"/><Relationship Id="rId1" Type="http://schemas.openxmlformats.org/officeDocument/2006/relationships/printerSettings" Target="../printerSettings/printerSettings45.bin"/><Relationship Id="rId6" Type="http://schemas.openxmlformats.org/officeDocument/2006/relationships/vmlDrawing" Target="../drawings/vmlDrawing45.vml"/><Relationship Id="rId5" Type="http://schemas.openxmlformats.org/officeDocument/2006/relationships/drawing" Target="../drawings/drawing32.xml"/><Relationship Id="rId4" Type="http://schemas.openxmlformats.org/officeDocument/2006/relationships/customProperty" Target="../customProperty135.bin"/><Relationship Id="rId9" Type="http://schemas.openxmlformats.org/officeDocument/2006/relationships/comments" Target="../comments45.xml"/></Relationships>
</file>

<file path=xl/worksheets/_rels/sheet46.xml.rels><?xml version="1.0" encoding="UTF-8" standalone="yes"?>
<Relationships xmlns="http://schemas.openxmlformats.org/package/2006/relationships"><Relationship Id="rId8" Type="http://schemas.openxmlformats.org/officeDocument/2006/relationships/image" Target="../media/image36.emf"/><Relationship Id="rId3" Type="http://schemas.openxmlformats.org/officeDocument/2006/relationships/customProperty" Target="../customProperty137.bin"/><Relationship Id="rId7" Type="http://schemas.openxmlformats.org/officeDocument/2006/relationships/control" Target="../activeX/activeX32.xml"/><Relationship Id="rId2" Type="http://schemas.openxmlformats.org/officeDocument/2006/relationships/customProperty" Target="../customProperty136.bin"/><Relationship Id="rId1" Type="http://schemas.openxmlformats.org/officeDocument/2006/relationships/printerSettings" Target="../printerSettings/printerSettings46.bin"/><Relationship Id="rId6" Type="http://schemas.openxmlformats.org/officeDocument/2006/relationships/vmlDrawing" Target="../drawings/vmlDrawing46.vml"/><Relationship Id="rId5" Type="http://schemas.openxmlformats.org/officeDocument/2006/relationships/drawing" Target="../drawings/drawing33.xml"/><Relationship Id="rId4" Type="http://schemas.openxmlformats.org/officeDocument/2006/relationships/customProperty" Target="../customProperty138.bin"/><Relationship Id="rId9" Type="http://schemas.openxmlformats.org/officeDocument/2006/relationships/comments" Target="../comments46.xml"/></Relationships>
</file>

<file path=xl/worksheets/_rels/sheet47.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ustomProperty" Target="../customProperty140.bin"/><Relationship Id="rId7" Type="http://schemas.openxmlformats.org/officeDocument/2006/relationships/control" Target="../activeX/activeX33.xml"/><Relationship Id="rId2" Type="http://schemas.openxmlformats.org/officeDocument/2006/relationships/customProperty" Target="../customProperty139.bin"/><Relationship Id="rId1" Type="http://schemas.openxmlformats.org/officeDocument/2006/relationships/printerSettings" Target="../printerSettings/printerSettings47.bin"/><Relationship Id="rId6" Type="http://schemas.openxmlformats.org/officeDocument/2006/relationships/vmlDrawing" Target="../drawings/vmlDrawing47.vml"/><Relationship Id="rId5" Type="http://schemas.openxmlformats.org/officeDocument/2006/relationships/drawing" Target="../drawings/drawing34.xml"/><Relationship Id="rId4" Type="http://schemas.openxmlformats.org/officeDocument/2006/relationships/customProperty" Target="../customProperty141.bin"/><Relationship Id="rId9" Type="http://schemas.openxmlformats.org/officeDocument/2006/relationships/comments" Target="../comments47.xml"/></Relationships>
</file>

<file path=xl/worksheets/_rels/sheet48.x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customProperty" Target="../customProperty143.bin"/><Relationship Id="rId7" Type="http://schemas.openxmlformats.org/officeDocument/2006/relationships/control" Target="../activeX/activeX34.xml"/><Relationship Id="rId2" Type="http://schemas.openxmlformats.org/officeDocument/2006/relationships/customProperty" Target="../customProperty142.bin"/><Relationship Id="rId1" Type="http://schemas.openxmlformats.org/officeDocument/2006/relationships/printerSettings" Target="../printerSettings/printerSettings48.bin"/><Relationship Id="rId6" Type="http://schemas.openxmlformats.org/officeDocument/2006/relationships/vmlDrawing" Target="../drawings/vmlDrawing48.vml"/><Relationship Id="rId5" Type="http://schemas.openxmlformats.org/officeDocument/2006/relationships/drawing" Target="../drawings/drawing35.xml"/><Relationship Id="rId4" Type="http://schemas.openxmlformats.org/officeDocument/2006/relationships/customProperty" Target="../customProperty144.bin"/><Relationship Id="rId9" Type="http://schemas.openxmlformats.org/officeDocument/2006/relationships/comments" Target="../comments48.xml"/></Relationships>
</file>

<file path=xl/worksheets/_rels/sheet49.x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customProperty" Target="../customProperty146.bin"/><Relationship Id="rId7" Type="http://schemas.openxmlformats.org/officeDocument/2006/relationships/control" Target="../activeX/activeX35.xml"/><Relationship Id="rId2" Type="http://schemas.openxmlformats.org/officeDocument/2006/relationships/customProperty" Target="../customProperty145.bin"/><Relationship Id="rId1" Type="http://schemas.openxmlformats.org/officeDocument/2006/relationships/printerSettings" Target="../printerSettings/printerSettings49.bin"/><Relationship Id="rId6" Type="http://schemas.openxmlformats.org/officeDocument/2006/relationships/vmlDrawing" Target="../drawings/vmlDrawing49.vml"/><Relationship Id="rId5" Type="http://schemas.openxmlformats.org/officeDocument/2006/relationships/drawing" Target="../drawings/drawing36.xml"/><Relationship Id="rId4" Type="http://schemas.openxmlformats.org/officeDocument/2006/relationships/customProperty" Target="../customProperty147.bin"/><Relationship Id="rId9" Type="http://schemas.openxmlformats.org/officeDocument/2006/relationships/comments" Target="../comments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54"/>
  <sheetViews>
    <sheetView topLeftCell="A3" zoomScale="85" zoomScaleNormal="85" workbookViewId="0">
      <selection activeCell="E32" sqref="E32"/>
    </sheetView>
  </sheetViews>
  <sheetFormatPr defaultColWidth="9.1796875" defaultRowHeight="14.5" outlineLevelRow="1" outlineLevelCol="1" x14ac:dyDescent="0.35"/>
  <cols>
    <col min="1" max="1" width="4.7265625" style="3" customWidth="1"/>
    <col min="2" max="2" width="2.7265625" style="3" customWidth="1"/>
    <col min="3" max="3" width="21.453125" style="3" bestFit="1" customWidth="1"/>
    <col min="4" max="4" width="16.7265625" style="3" customWidth="1"/>
    <col min="5" max="5" width="24.7265625" style="3" customWidth="1"/>
    <col min="6" max="6" width="21.26953125" style="3" bestFit="1" customWidth="1"/>
    <col min="7" max="7" width="16.7265625" style="3" customWidth="1"/>
    <col min="8" max="8" width="22.7265625" style="3" customWidth="1"/>
    <col min="9" max="9" width="21.7265625" style="3" customWidth="1"/>
    <col min="10" max="10" width="16.7265625" style="3" customWidth="1"/>
    <col min="11" max="11" width="24.7265625" style="3" customWidth="1"/>
    <col min="12" max="12" width="2.7265625" style="3" customWidth="1"/>
    <col min="13" max="13" width="5.7265625" style="3" customWidth="1"/>
    <col min="14" max="14" width="2.7265625" style="3" customWidth="1"/>
    <col min="15" max="15" width="9.1796875" style="3"/>
    <col min="16" max="16" width="17.7265625" style="3" customWidth="1"/>
    <col min="17" max="17" width="14.7265625" style="3" customWidth="1"/>
    <col min="18" max="18" width="2.7265625" style="3" customWidth="1"/>
    <col min="19" max="19" width="14.26953125" style="3" hidden="1" customWidth="1" outlineLevel="1"/>
    <col min="20" max="20" width="0" style="3" hidden="1" customWidth="1" outlineLevel="1"/>
    <col min="21" max="21" width="9.1796875" style="3" collapsed="1"/>
    <col min="22" max="16384" width="9.1796875" style="3"/>
  </cols>
  <sheetData>
    <row r="1" spans="1:23" hidden="1" outlineLevel="1" x14ac:dyDescent="0.35">
      <c r="A1" s="9"/>
      <c r="B1" s="9"/>
      <c r="C1" s="10" t="str">
        <f>IF(_epmOfflineCondition_,"20210100",_xll.EVPRO("FINANCE","CURRENT","STARTMTH"))</f>
        <v>20210100</v>
      </c>
      <c r="D1" s="10" t="str">
        <f>LEFT($C$1,4)&amp;".TOTAL"</f>
        <v>2021.TOTAL</v>
      </c>
      <c r="E1" s="11" t="s">
        <v>114</v>
      </c>
      <c r="F1" s="10" t="str">
        <f>IF(_epmOfflineCondition_,"2020.TOTAL",_xll.EVTIM("FINANCE",$D$1,-1,"YEAR"))</f>
        <v>2020.TOTAL</v>
      </c>
      <c r="G1" s="11" t="s">
        <v>114</v>
      </c>
      <c r="H1" s="9"/>
      <c r="I1" s="9"/>
      <c r="J1" s="9"/>
      <c r="K1" s="9"/>
      <c r="L1" s="9"/>
      <c r="M1" s="9"/>
      <c r="N1" s="9"/>
      <c r="O1" s="10" t="b">
        <v>0</v>
      </c>
      <c r="P1" s="11" t="s">
        <v>114</v>
      </c>
      <c r="Q1" s="9"/>
      <c r="R1" s="9"/>
      <c r="S1" s="9"/>
      <c r="T1" s="9"/>
      <c r="U1" s="9"/>
      <c r="V1" s="9"/>
      <c r="W1" s="9"/>
    </row>
    <row r="2" spans="1:23" hidden="1" outlineLevel="1" x14ac:dyDescent="0.35">
      <c r="A2" s="9"/>
      <c r="B2" s="9"/>
      <c r="C2" s="11"/>
      <c r="D2" s="11"/>
      <c r="E2" s="11"/>
      <c r="F2" s="9"/>
      <c r="G2" s="9"/>
      <c r="H2" s="9"/>
      <c r="I2" s="9"/>
      <c r="J2" s="9"/>
      <c r="K2" s="9"/>
      <c r="L2" s="9"/>
      <c r="M2" s="9"/>
      <c r="N2" s="9"/>
      <c r="O2" s="9"/>
      <c r="P2" s="9"/>
      <c r="Q2" s="9"/>
      <c r="R2" s="9"/>
      <c r="S2" s="9"/>
      <c r="T2" s="9"/>
      <c r="U2" s="9"/>
      <c r="V2" s="9"/>
      <c r="W2" s="9"/>
    </row>
    <row r="3" spans="1:23" ht="15" collapsed="1" thickBot="1" x14ac:dyDescent="0.4">
      <c r="A3" s="9"/>
      <c r="B3" s="9"/>
      <c r="C3" s="9"/>
      <c r="D3" s="9"/>
      <c r="E3" s="9"/>
      <c r="F3" s="9"/>
      <c r="G3" s="9"/>
      <c r="H3" s="9"/>
      <c r="I3" s="9"/>
      <c r="J3" s="9"/>
      <c r="K3" s="9"/>
      <c r="L3" s="9"/>
      <c r="M3" s="9"/>
      <c r="N3" s="9"/>
      <c r="O3" s="9"/>
      <c r="P3" s="9"/>
      <c r="Q3" s="9"/>
      <c r="R3" s="9"/>
      <c r="S3" s="9"/>
      <c r="T3" s="9"/>
      <c r="U3" s="9"/>
      <c r="V3" s="9"/>
      <c r="W3" s="9"/>
    </row>
    <row r="4" spans="1:23" x14ac:dyDescent="0.35">
      <c r="A4" s="9"/>
      <c r="B4" s="12" t="s">
        <v>113</v>
      </c>
      <c r="C4" s="13"/>
      <c r="D4" s="14"/>
      <c r="E4" s="14"/>
      <c r="F4" s="15"/>
      <c r="G4" s="15"/>
      <c r="H4" s="15"/>
      <c r="I4" s="15"/>
      <c r="J4" s="15"/>
      <c r="K4" s="15"/>
      <c r="L4" s="16"/>
      <c r="M4" s="9"/>
      <c r="N4" s="17" t="s">
        <v>113</v>
      </c>
      <c r="O4" s="18"/>
      <c r="P4" s="15"/>
      <c r="Q4" s="15"/>
      <c r="R4" s="16"/>
      <c r="S4" s="9"/>
      <c r="T4" s="9"/>
      <c r="U4" s="9"/>
      <c r="V4" s="9"/>
      <c r="W4" s="9"/>
    </row>
    <row r="5" spans="1:23" x14ac:dyDescent="0.35">
      <c r="A5" s="9"/>
      <c r="B5" s="19"/>
      <c r="C5" s="20"/>
      <c r="D5" s="21"/>
      <c r="E5" s="21"/>
      <c r="F5" s="22"/>
      <c r="G5" s="22"/>
      <c r="H5" s="20"/>
      <c r="I5" s="20"/>
      <c r="J5" s="20"/>
      <c r="K5" s="20"/>
      <c r="L5" s="23"/>
      <c r="M5" s="9"/>
      <c r="N5" s="19"/>
      <c r="O5" s="20"/>
      <c r="P5" s="20"/>
      <c r="Q5" s="20"/>
      <c r="R5" s="23"/>
      <c r="S5" s="9"/>
      <c r="T5" s="9"/>
      <c r="U5" s="9"/>
      <c r="V5" s="9"/>
      <c r="W5" s="9"/>
    </row>
    <row r="6" spans="1:23" x14ac:dyDescent="0.35">
      <c r="A6" s="9"/>
      <c r="B6" s="19"/>
      <c r="C6" s="620" t="s">
        <v>627</v>
      </c>
      <c r="D6" s="24" t="str">
        <f>IF(_epmOfflineCondition_,"CURRENT",_xll.EPMSelectMember("FINANCE","[CATEGORY].[H1].[CURRENT]","FCFILTER1=Y","",FALSE))</f>
        <v>CURRENT</v>
      </c>
      <c r="E6" s="20" t="s">
        <v>112</v>
      </c>
      <c r="F6" s="620" t="s">
        <v>629</v>
      </c>
      <c r="G6" s="24" t="str">
        <f>IF(_epmOfflineCondition_,"BUDGET",_xll.EVMBR("FINANCE","BUDGET","FCFILTER1=Y"))</f>
        <v>BUDGET</v>
      </c>
      <c r="H6" s="20" t="s">
        <v>112</v>
      </c>
      <c r="I6" s="620" t="s">
        <v>630</v>
      </c>
      <c r="J6" s="24" t="str">
        <f>IF(_epmOfflineCondition_,"ACTUAL_CON",_xll.EPMSelectMember("FINANCE","[CATEGORY].[H1].[ACTUAL_CON]","FCFILTER1=Y","",FALSE))</f>
        <v>ACTUAL_CON</v>
      </c>
      <c r="K6" s="20" t="s">
        <v>112</v>
      </c>
      <c r="L6" s="23"/>
      <c r="M6" s="9"/>
      <c r="N6" s="19"/>
      <c r="O6" s="20"/>
      <c r="P6" s="20" t="s">
        <v>632</v>
      </c>
      <c r="Q6" s="24" t="str">
        <f>IF(_epmOfflineCondition_,"2014.DEC",_xll.EVMBR("FINANCE","2014.DEC","LEVEL=MONTH;YEAR&lt;&gt;NONE"))</f>
        <v>2014.DEC</v>
      </c>
      <c r="R6" s="23"/>
      <c r="S6" s="9"/>
      <c r="T6" s="9"/>
      <c r="U6" s="9"/>
      <c r="V6" s="9"/>
      <c r="W6" s="9"/>
    </row>
    <row r="7" spans="1:23" ht="15" customHeight="1" x14ac:dyDescent="0.35">
      <c r="A7" s="9"/>
      <c r="B7" s="19"/>
      <c r="C7" s="621"/>
      <c r="D7" s="24" t="str">
        <f>IF(_epmOfflineCondition_,"2020.TOTAL",_xll.EPMSelectMember("FINANCE","[TIME].[H1].[2020.TOTAL]","LEVEL=YEAR;YEAR&lt;&gt;NONE","",FALSE))</f>
        <v>2020.TOTAL</v>
      </c>
      <c r="E7" s="20" t="s">
        <v>628</v>
      </c>
      <c r="F7" s="621"/>
      <c r="G7" s="24" t="str">
        <f>IF(_epmOfflineCondition_,"2020.TOTAL",_xll.EPMSelectMember("FINANCE","[TIME].[H1].[2020.TOTAL]","LEVEL=YEAR;YEAR&lt;&gt;NONE","",FALSE))</f>
        <v>2020.TOTAL</v>
      </c>
      <c r="H7" s="20" t="s">
        <v>628</v>
      </c>
      <c r="I7" s="621"/>
      <c r="J7" s="24" t="str">
        <f>IF(_epmOfflineCondition_,"2019.TOTAL",_xll.EPMSelectMember("FINANCE","[TIME].[H1].[2019.TOTAL]","LEVEL=YEAR;YEAR&lt;&gt;NONE","",FALSE))</f>
        <v>2019.TOTAL</v>
      </c>
      <c r="K7" s="20" t="s">
        <v>628</v>
      </c>
      <c r="L7" s="23"/>
      <c r="M7" s="9"/>
      <c r="N7" s="25" t="s">
        <v>633</v>
      </c>
      <c r="O7" s="26"/>
      <c r="P7" s="26"/>
      <c r="Q7" s="26"/>
      <c r="R7" s="23"/>
      <c r="S7" s="9"/>
      <c r="T7" s="9"/>
      <c r="U7" s="9"/>
      <c r="V7" s="9"/>
      <c r="W7" s="9"/>
    </row>
    <row r="8" spans="1:23" ht="15" customHeight="1" x14ac:dyDescent="0.35">
      <c r="A8" s="9"/>
      <c r="B8" s="19"/>
      <c r="C8" s="27" t="s">
        <v>792</v>
      </c>
      <c r="D8" s="24" t="s">
        <v>825</v>
      </c>
      <c r="E8" s="20" t="s">
        <v>793</v>
      </c>
      <c r="F8" s="28"/>
      <c r="G8" s="29"/>
      <c r="H8" s="20"/>
      <c r="I8" s="28"/>
      <c r="J8" s="29"/>
      <c r="K8" s="20"/>
      <c r="L8" s="23"/>
      <c r="M8" s="9"/>
      <c r="N8" s="25" t="s">
        <v>635</v>
      </c>
      <c r="O8" s="26"/>
      <c r="P8" s="26"/>
      <c r="Q8" s="26"/>
      <c r="R8" s="23"/>
      <c r="S8" s="9"/>
      <c r="T8" s="9"/>
      <c r="U8" s="9"/>
      <c r="V8" s="9"/>
      <c r="W8" s="9"/>
    </row>
    <row r="9" spans="1:23" x14ac:dyDescent="0.35">
      <c r="A9" s="9"/>
      <c r="B9" s="19"/>
      <c r="C9" s="30"/>
      <c r="D9" s="20"/>
      <c r="E9" s="20"/>
      <c r="F9" s="20"/>
      <c r="G9" s="20"/>
      <c r="H9" s="20"/>
      <c r="I9" s="20"/>
      <c r="J9" s="20"/>
      <c r="K9" s="20"/>
      <c r="L9" s="23"/>
      <c r="M9" s="9"/>
      <c r="N9" s="25" t="s">
        <v>634</v>
      </c>
      <c r="O9" s="26"/>
      <c r="P9" s="26"/>
      <c r="Q9" s="26"/>
      <c r="R9" s="23"/>
      <c r="S9" s="9"/>
      <c r="T9" s="9"/>
      <c r="U9" s="9"/>
      <c r="V9" s="9"/>
      <c r="W9" s="9"/>
    </row>
    <row r="10" spans="1:23" x14ac:dyDescent="0.35">
      <c r="A10" s="9"/>
      <c r="B10" s="19"/>
      <c r="C10" s="31" t="s">
        <v>780</v>
      </c>
      <c r="D10" s="24" t="str">
        <f>IF(_epmOfflineCondition_,"LC",_xll.EVMBR("FINANCE","LC"))</f>
        <v>LC</v>
      </c>
      <c r="E10" s="20" t="s">
        <v>781</v>
      </c>
      <c r="F10" s="20"/>
      <c r="G10" s="20"/>
      <c r="H10" s="20"/>
      <c r="I10" s="20"/>
      <c r="J10" s="20"/>
      <c r="K10" s="20"/>
      <c r="L10" s="23"/>
      <c r="M10" s="9"/>
      <c r="N10" s="25"/>
      <c r="O10" s="26"/>
      <c r="P10" s="26"/>
      <c r="Q10" s="26"/>
      <c r="R10" s="23"/>
      <c r="S10" s="9"/>
      <c r="T10" s="9"/>
      <c r="U10" s="9"/>
      <c r="V10" s="9"/>
      <c r="W10" s="9"/>
    </row>
    <row r="11" spans="1:23" ht="15" thickBot="1" x14ac:dyDescent="0.4">
      <c r="A11" s="9"/>
      <c r="B11" s="32"/>
      <c r="C11" s="33"/>
      <c r="D11" s="34"/>
      <c r="E11" s="35"/>
      <c r="F11" s="35"/>
      <c r="G11" s="35"/>
      <c r="H11" s="35"/>
      <c r="I11" s="35"/>
      <c r="J11" s="35"/>
      <c r="K11" s="35"/>
      <c r="L11" s="36"/>
      <c r="M11" s="9"/>
      <c r="N11" s="32"/>
      <c r="O11" s="37"/>
      <c r="P11" s="37"/>
      <c r="Q11" s="37"/>
      <c r="R11" s="38"/>
      <c r="S11" s="9"/>
      <c r="T11" s="9"/>
      <c r="U11" s="9"/>
      <c r="V11" s="9"/>
      <c r="W11" s="9"/>
    </row>
    <row r="12" spans="1:23" ht="15" thickBot="1" x14ac:dyDescent="0.4">
      <c r="A12" s="9"/>
      <c r="B12" s="20"/>
      <c r="C12" s="21"/>
      <c r="D12" s="20"/>
      <c r="E12" s="39"/>
      <c r="F12" s="39"/>
      <c r="G12" s="39"/>
      <c r="H12" s="39"/>
      <c r="I12" s="39"/>
      <c r="J12" s="39"/>
      <c r="K12" s="39"/>
      <c r="L12" s="39"/>
      <c r="M12" s="9"/>
      <c r="N12" s="20"/>
      <c r="O12" s="20"/>
      <c r="P12" s="20"/>
      <c r="Q12" s="20"/>
      <c r="R12" s="20"/>
      <c r="S12" s="9"/>
      <c r="T12" s="9"/>
      <c r="U12" s="9"/>
      <c r="V12" s="9"/>
      <c r="W12" s="9"/>
    </row>
    <row r="13" spans="1:23" ht="40.5" customHeight="1" thickBot="1" x14ac:dyDescent="0.4">
      <c r="A13" s="9"/>
      <c r="B13" s="9"/>
      <c r="C13" s="40" t="str">
        <f>IF(_epmOfflineCondition_,"Expand All",_xll.EPMExecuteAPI("ExpandActiveWorkBook","Expand All"))</f>
        <v>Expand All</v>
      </c>
      <c r="D13" s="41" t="s">
        <v>784</v>
      </c>
      <c r="E13" s="9"/>
      <c r="F13" s="9"/>
      <c r="G13" s="9"/>
      <c r="H13" s="9"/>
      <c r="I13" s="9"/>
      <c r="J13" s="9"/>
      <c r="K13" s="9"/>
      <c r="L13" s="9"/>
      <c r="M13" s="9"/>
      <c r="N13" s="9"/>
      <c r="O13" s="9"/>
      <c r="P13" s="9"/>
      <c r="Q13" s="9"/>
      <c r="R13" s="9"/>
      <c r="S13" s="9"/>
      <c r="T13" s="9"/>
      <c r="U13" s="9"/>
      <c r="V13" s="9"/>
      <c r="W13" s="9"/>
    </row>
    <row r="14" spans="1:23" x14ac:dyDescent="0.35">
      <c r="A14" s="9"/>
      <c r="B14" s="9"/>
      <c r="C14" s="9"/>
      <c r="D14" s="9"/>
      <c r="E14" s="9"/>
      <c r="F14" s="9"/>
      <c r="G14" s="9"/>
      <c r="H14" s="9"/>
      <c r="I14" s="9"/>
      <c r="J14" s="9"/>
      <c r="K14" s="9"/>
      <c r="L14" s="9"/>
      <c r="M14" s="9"/>
      <c r="N14" s="9"/>
      <c r="O14" s="9"/>
      <c r="P14" s="9"/>
      <c r="Q14" s="9"/>
      <c r="R14" s="9"/>
      <c r="S14" s="9"/>
      <c r="T14" s="9"/>
      <c r="U14" s="9"/>
      <c r="V14" s="9"/>
      <c r="W14" s="9"/>
    </row>
    <row r="15" spans="1:23" x14ac:dyDescent="0.35">
      <c r="A15" s="9"/>
      <c r="B15" s="9"/>
      <c r="C15" s="9"/>
      <c r="D15" s="9"/>
      <c r="E15" s="9"/>
      <c r="F15" s="9"/>
      <c r="G15" s="9"/>
      <c r="H15" s="9"/>
      <c r="I15" s="9"/>
      <c r="J15" s="9"/>
      <c r="K15" s="9"/>
      <c r="L15" s="9"/>
      <c r="M15" s="9"/>
      <c r="N15" s="9"/>
      <c r="O15" s="9"/>
      <c r="P15" s="9"/>
      <c r="Q15" s="9"/>
      <c r="R15" s="9"/>
      <c r="S15" s="9"/>
      <c r="T15" s="9"/>
      <c r="U15" s="9"/>
      <c r="V15" s="9"/>
      <c r="W15" s="9"/>
    </row>
    <row r="16" spans="1:23" x14ac:dyDescent="0.35">
      <c r="A16" s="9"/>
      <c r="B16" s="9"/>
      <c r="C16" s="9"/>
      <c r="D16" s="9"/>
      <c r="E16" s="9"/>
      <c r="F16" s="9"/>
      <c r="G16" s="9"/>
      <c r="H16" s="9"/>
      <c r="I16" s="9"/>
      <c r="J16" s="9"/>
      <c r="K16" s="9"/>
      <c r="L16" s="9"/>
      <c r="M16" s="9"/>
      <c r="N16" s="9"/>
      <c r="O16" s="9"/>
      <c r="P16" s="9"/>
      <c r="Q16" s="9"/>
      <c r="R16" s="9"/>
      <c r="S16" s="9"/>
      <c r="T16" s="9"/>
      <c r="U16" s="9"/>
      <c r="V16" s="9"/>
      <c r="W16" s="9"/>
    </row>
    <row r="17" spans="1:23" x14ac:dyDescent="0.35">
      <c r="A17" s="9"/>
      <c r="B17" s="9"/>
      <c r="C17" s="9"/>
      <c r="D17" s="9"/>
      <c r="E17" s="9"/>
      <c r="F17" s="9"/>
      <c r="G17" s="9"/>
      <c r="H17" s="9"/>
      <c r="I17" s="9"/>
      <c r="J17" s="9"/>
      <c r="K17" s="9"/>
      <c r="L17" s="9"/>
      <c r="M17" s="9"/>
      <c r="N17" s="9"/>
      <c r="O17" s="9"/>
      <c r="P17" s="9"/>
      <c r="Q17" s="9"/>
      <c r="R17" s="9"/>
      <c r="S17" s="9"/>
      <c r="T17" s="9"/>
      <c r="U17" s="9"/>
      <c r="V17" s="9"/>
      <c r="W17" s="9"/>
    </row>
    <row r="18" spans="1:23" x14ac:dyDescent="0.35">
      <c r="A18" s="9"/>
      <c r="B18" s="9"/>
      <c r="C18" s="9"/>
      <c r="D18" s="9"/>
      <c r="E18" s="9"/>
      <c r="F18" s="9"/>
      <c r="G18" s="9"/>
      <c r="H18" s="9"/>
      <c r="I18" s="9"/>
      <c r="J18" s="9"/>
      <c r="K18" s="9"/>
      <c r="L18" s="9"/>
      <c r="M18" s="9"/>
      <c r="N18" s="9"/>
      <c r="O18" s="9"/>
      <c r="P18" s="9"/>
      <c r="Q18" s="9"/>
      <c r="R18" s="9"/>
      <c r="S18" s="9"/>
      <c r="T18" s="9"/>
      <c r="U18" s="9"/>
      <c r="V18" s="9"/>
      <c r="W18" s="9"/>
    </row>
    <row r="19" spans="1:23" x14ac:dyDescent="0.35">
      <c r="A19" s="9"/>
      <c r="B19" s="9"/>
      <c r="C19" s="9"/>
      <c r="D19" s="9"/>
      <c r="E19" s="9"/>
      <c r="F19" s="9"/>
      <c r="G19" s="9"/>
      <c r="H19" s="9"/>
      <c r="I19" s="9"/>
      <c r="J19" s="9"/>
      <c r="K19" s="9"/>
      <c r="L19" s="9"/>
      <c r="M19" s="9"/>
      <c r="N19" s="9"/>
      <c r="O19" s="9"/>
      <c r="P19" s="9"/>
      <c r="Q19" s="9"/>
      <c r="R19" s="9"/>
      <c r="S19" s="9"/>
      <c r="T19" s="9"/>
      <c r="U19" s="9"/>
      <c r="V19" s="9"/>
      <c r="W19" s="9"/>
    </row>
    <row r="20" spans="1:23" x14ac:dyDescent="0.35">
      <c r="A20" s="9"/>
      <c r="B20" s="9"/>
      <c r="C20" s="9"/>
      <c r="D20" s="9"/>
      <c r="E20" s="9"/>
      <c r="F20" s="9"/>
      <c r="G20" s="9"/>
      <c r="H20" s="9"/>
      <c r="I20" s="9"/>
      <c r="J20" s="9"/>
      <c r="K20" s="9"/>
      <c r="L20" s="9"/>
      <c r="M20" s="9"/>
      <c r="N20" s="9"/>
      <c r="O20" s="9"/>
      <c r="P20" s="9"/>
      <c r="Q20" s="9"/>
      <c r="R20" s="9"/>
      <c r="S20" s="9"/>
      <c r="T20" s="9"/>
      <c r="U20" s="9"/>
      <c r="V20" s="9"/>
      <c r="W20" s="9"/>
    </row>
    <row r="21" spans="1:23" x14ac:dyDescent="0.35">
      <c r="A21" s="9"/>
      <c r="B21" s="9"/>
      <c r="C21" s="9"/>
      <c r="D21" s="9"/>
      <c r="E21" s="9"/>
      <c r="F21" s="9"/>
      <c r="G21" s="9"/>
      <c r="H21" s="9"/>
      <c r="I21" s="9"/>
      <c r="J21" s="9"/>
      <c r="K21" s="9"/>
      <c r="L21" s="9"/>
      <c r="M21" s="9"/>
      <c r="N21" s="9"/>
      <c r="O21" s="9"/>
      <c r="P21" s="9"/>
      <c r="Q21" s="9"/>
      <c r="R21" s="9"/>
      <c r="S21" s="9"/>
      <c r="T21" s="9"/>
      <c r="U21" s="9"/>
      <c r="V21" s="9"/>
      <c r="W21" s="9"/>
    </row>
    <row r="22" spans="1:23" x14ac:dyDescent="0.35">
      <c r="A22" s="9"/>
      <c r="B22" s="9"/>
      <c r="C22" s="9"/>
      <c r="D22" s="9"/>
      <c r="E22" s="9"/>
      <c r="F22" s="9"/>
      <c r="G22" s="9"/>
      <c r="H22" s="9"/>
      <c r="I22" s="9"/>
      <c r="J22" s="9"/>
      <c r="K22" s="9"/>
      <c r="L22" s="9"/>
      <c r="M22" s="9"/>
      <c r="N22" s="9"/>
      <c r="O22" s="9"/>
      <c r="P22" s="9"/>
      <c r="Q22" s="9"/>
      <c r="R22" s="9"/>
      <c r="S22" s="9"/>
      <c r="T22" s="9"/>
      <c r="U22" s="9"/>
      <c r="V22" s="9"/>
      <c r="W22" s="9"/>
    </row>
    <row r="23" spans="1:23" x14ac:dyDescent="0.35">
      <c r="A23" s="9"/>
      <c r="B23" s="9"/>
      <c r="C23" s="9"/>
      <c r="D23" s="9"/>
      <c r="E23" s="9"/>
      <c r="F23" s="9"/>
      <c r="G23" s="9"/>
      <c r="H23" s="9"/>
      <c r="I23" s="9"/>
      <c r="J23" s="9"/>
      <c r="K23" s="9"/>
      <c r="L23" s="9"/>
      <c r="M23" s="9"/>
      <c r="N23" s="9"/>
      <c r="O23" s="9"/>
      <c r="P23" s="9"/>
      <c r="Q23" s="9"/>
      <c r="R23" s="9"/>
      <c r="S23" s="9"/>
      <c r="T23" s="9"/>
      <c r="U23" s="9"/>
      <c r="V23" s="9"/>
      <c r="W23" s="9"/>
    </row>
    <row r="24" spans="1:23" x14ac:dyDescent="0.35">
      <c r="A24" s="9"/>
      <c r="B24" s="9"/>
      <c r="C24" s="9"/>
      <c r="D24" s="9"/>
      <c r="E24" s="42" t="str">
        <f>C6</f>
        <v>Monthly Data Columns</v>
      </c>
      <c r="F24" s="43"/>
      <c r="G24" s="44"/>
      <c r="H24" s="9"/>
      <c r="I24" s="45" t="str">
        <f>F6</f>
        <v>Comparison 1 Column</v>
      </c>
      <c r="J24" s="9"/>
      <c r="K24" s="45" t="str">
        <f>I6</f>
        <v>Comparison 2 Column</v>
      </c>
      <c r="L24" s="9"/>
      <c r="M24" s="9"/>
      <c r="N24" s="9"/>
      <c r="O24" s="9"/>
      <c r="P24" s="9"/>
      <c r="Q24" s="9"/>
      <c r="R24" s="9"/>
      <c r="S24" s="9"/>
      <c r="T24" s="9"/>
      <c r="U24" s="9"/>
      <c r="V24" s="9"/>
      <c r="W24" s="9"/>
    </row>
    <row r="25" spans="1:23" ht="15" thickBot="1" x14ac:dyDescent="0.4">
      <c r="A25" s="9"/>
      <c r="B25" s="9"/>
      <c r="C25" s="9"/>
      <c r="D25" s="9"/>
      <c r="E25" s="9"/>
      <c r="F25" s="9"/>
      <c r="G25" s="9"/>
      <c r="H25" s="9"/>
      <c r="I25" s="9"/>
      <c r="J25" s="9"/>
      <c r="K25" s="9"/>
      <c r="L25" s="9"/>
      <c r="M25" s="9"/>
      <c r="N25" s="9"/>
      <c r="O25" s="9"/>
      <c r="P25" s="9"/>
      <c r="Q25" s="9"/>
      <c r="R25" s="9"/>
      <c r="S25" s="9"/>
      <c r="T25" s="9"/>
      <c r="U25" s="9"/>
      <c r="V25" s="9"/>
      <c r="W25" s="9"/>
    </row>
    <row r="26" spans="1:23" x14ac:dyDescent="0.35">
      <c r="A26" s="46"/>
      <c r="B26" s="46"/>
      <c r="C26" s="46"/>
      <c r="D26" s="46"/>
      <c r="E26" s="46"/>
      <c r="F26" s="46"/>
      <c r="G26" s="46"/>
      <c r="H26" s="46"/>
      <c r="I26" s="46"/>
      <c r="J26" s="46"/>
      <c r="K26" s="46"/>
      <c r="L26" s="46"/>
      <c r="M26" s="46"/>
      <c r="N26" s="46"/>
      <c r="O26" s="46"/>
      <c r="P26" s="46"/>
      <c r="Q26" s="46"/>
      <c r="R26" s="46"/>
      <c r="S26" s="46"/>
      <c r="T26" s="46"/>
      <c r="U26" s="46"/>
      <c r="V26" s="46"/>
      <c r="W26" s="46"/>
    </row>
    <row r="27" spans="1:23" ht="15.5" x14ac:dyDescent="0.35">
      <c r="A27" s="9"/>
      <c r="B27" s="47" t="s">
        <v>669</v>
      </c>
      <c r="C27" s="9"/>
      <c r="D27" s="9"/>
      <c r="E27" s="9"/>
      <c r="F27" s="9"/>
      <c r="G27" s="9"/>
      <c r="H27" s="9"/>
      <c r="I27" s="47" t="s">
        <v>670</v>
      </c>
      <c r="J27" s="9"/>
      <c r="K27" s="9"/>
      <c r="L27" s="9"/>
      <c r="M27" s="9"/>
      <c r="N27" s="9"/>
      <c r="O27" s="9"/>
      <c r="P27" s="9"/>
      <c r="Q27" s="9"/>
      <c r="R27" s="9"/>
      <c r="S27" s="9"/>
      <c r="T27" s="9"/>
      <c r="U27" s="9"/>
      <c r="V27" s="9"/>
      <c r="W27" s="9"/>
    </row>
    <row r="28" spans="1:23" ht="15.5" x14ac:dyDescent="0.35">
      <c r="A28" s="9"/>
      <c r="B28" s="48" t="s">
        <v>668</v>
      </c>
      <c r="C28" s="9"/>
      <c r="D28" s="9"/>
      <c r="E28" s="9"/>
      <c r="F28" s="9"/>
      <c r="G28" s="9"/>
      <c r="H28" s="9"/>
      <c r="I28" s="49" t="str">
        <f t="shared" ref="I28:I50" si="0">S28&amp;" - "&amp;T28</f>
        <v>ACTUAL_CON - Actual</v>
      </c>
      <c r="J28" s="50"/>
      <c r="K28" s="49" t="s">
        <v>700</v>
      </c>
      <c r="L28" s="51"/>
      <c r="M28" s="51"/>
      <c r="N28" s="51"/>
      <c r="O28" s="51"/>
      <c r="P28" s="50"/>
      <c r="Q28" s="9"/>
      <c r="R28" s="9"/>
      <c r="S28" s="9" t="s">
        <v>682</v>
      </c>
      <c r="T28" s="9" t="str">
        <f>IF(_epmOfflineCondition_,"Actual",_xll.EVDES(S28))</f>
        <v>Actual</v>
      </c>
      <c r="U28" s="9"/>
      <c r="V28" s="9"/>
      <c r="W28" s="9"/>
    </row>
    <row r="29" spans="1:23" ht="15.5" x14ac:dyDescent="0.35">
      <c r="A29" s="9"/>
      <c r="B29" s="48" t="s">
        <v>776</v>
      </c>
      <c r="C29" s="9"/>
      <c r="D29" s="9"/>
      <c r="E29" s="9"/>
      <c r="F29" s="9"/>
      <c r="G29" s="9"/>
      <c r="H29" s="9"/>
      <c r="I29" s="49" t="str">
        <f t="shared" si="0"/>
        <v>ACTUAL - Actual</v>
      </c>
      <c r="J29" s="50"/>
      <c r="K29" s="49" t="s">
        <v>701</v>
      </c>
      <c r="L29" s="51"/>
      <c r="M29" s="51"/>
      <c r="N29" s="51"/>
      <c r="O29" s="51"/>
      <c r="P29" s="50"/>
      <c r="Q29" s="9"/>
      <c r="R29" s="9"/>
      <c r="S29" s="9" t="s">
        <v>683</v>
      </c>
      <c r="T29" s="9" t="str">
        <f>IF(_epmOfflineCondition_,"Actual",_xll.EVDES(S29))</f>
        <v>Actual</v>
      </c>
      <c r="U29" s="9"/>
      <c r="V29" s="9"/>
      <c r="W29" s="9"/>
    </row>
    <row r="30" spans="1:23" ht="15.5" x14ac:dyDescent="0.35">
      <c r="A30" s="9"/>
      <c r="B30" s="48" t="s">
        <v>777</v>
      </c>
      <c r="C30" s="9"/>
      <c r="D30" s="9"/>
      <c r="E30" s="9"/>
      <c r="F30" s="9"/>
      <c r="G30" s="9"/>
      <c r="H30" s="9"/>
      <c r="I30" s="49" t="str">
        <f t="shared" si="0"/>
        <v>HISTORY - GL History- Pre_Kimpton</v>
      </c>
      <c r="J30" s="50"/>
      <c r="K30" s="49" t="s">
        <v>702</v>
      </c>
      <c r="L30" s="51"/>
      <c r="M30" s="51"/>
      <c r="N30" s="51"/>
      <c r="O30" s="51"/>
      <c r="P30" s="50"/>
      <c r="Q30" s="9"/>
      <c r="R30" s="9"/>
      <c r="S30" s="9" t="s">
        <v>684</v>
      </c>
      <c r="T30" s="9" t="str">
        <f>IF(_epmOfflineCondition_,"GL History- Pre_Kimpton",_xll.EVDES(S30))</f>
        <v>GL History- Pre_Kimpton</v>
      </c>
      <c r="U30" s="9"/>
      <c r="V30" s="9"/>
      <c r="W30" s="9"/>
    </row>
    <row r="31" spans="1:23" ht="15.5" x14ac:dyDescent="0.35">
      <c r="A31" s="9"/>
      <c r="B31" s="48"/>
      <c r="C31" s="48" t="s">
        <v>720</v>
      </c>
      <c r="D31" s="9"/>
      <c r="E31" s="9"/>
      <c r="F31" s="9"/>
      <c r="G31" s="9"/>
      <c r="H31" s="9"/>
      <c r="I31" s="49" t="str">
        <f t="shared" si="0"/>
        <v>BUDGET - Budget</v>
      </c>
      <c r="J31" s="50"/>
      <c r="K31" s="49" t="s">
        <v>703</v>
      </c>
      <c r="L31" s="51"/>
      <c r="M31" s="51"/>
      <c r="N31" s="51"/>
      <c r="O31" s="51"/>
      <c r="P31" s="50"/>
      <c r="Q31" s="9"/>
      <c r="R31" s="9"/>
      <c r="S31" s="9" t="s">
        <v>685</v>
      </c>
      <c r="T31" s="9" t="str">
        <f>IF(_epmOfflineCondition_,"Budget",_xll.EVDES(S31))</f>
        <v>Budget</v>
      </c>
      <c r="U31" s="9"/>
      <c r="V31" s="9"/>
      <c r="W31" s="9"/>
    </row>
    <row r="32" spans="1:23" ht="15.5" x14ac:dyDescent="0.35">
      <c r="A32" s="9"/>
      <c r="B32" s="48"/>
      <c r="C32" s="48" t="s">
        <v>773</v>
      </c>
      <c r="D32" s="9"/>
      <c r="E32" s="9"/>
      <c r="F32" s="9"/>
      <c r="G32" s="9"/>
      <c r="H32" s="9"/>
      <c r="I32" s="49" t="str">
        <f t="shared" si="0"/>
        <v>CURRENT - Forecast</v>
      </c>
      <c r="J32" s="50"/>
      <c r="K32" s="49" t="s">
        <v>704</v>
      </c>
      <c r="L32" s="51"/>
      <c r="M32" s="51"/>
      <c r="N32" s="51"/>
      <c r="O32" s="51"/>
      <c r="P32" s="50"/>
      <c r="Q32" s="9"/>
      <c r="R32" s="9"/>
      <c r="S32" s="9" t="s">
        <v>255</v>
      </c>
      <c r="T32" s="9" t="str">
        <f>IF(_epmOfflineCondition_,"Forecast",_xll.EVDES(S32))</f>
        <v>Forecast</v>
      </c>
      <c r="U32" s="9"/>
      <c r="V32" s="9"/>
      <c r="W32" s="9"/>
    </row>
    <row r="33" spans="1:23" ht="15.5" x14ac:dyDescent="0.35">
      <c r="A33" s="9"/>
      <c r="B33" s="48"/>
      <c r="C33" s="48" t="s">
        <v>721</v>
      </c>
      <c r="D33" s="9"/>
      <c r="E33" s="9"/>
      <c r="F33" s="9"/>
      <c r="G33" s="9"/>
      <c r="H33" s="9"/>
      <c r="I33" s="49" t="str">
        <f t="shared" si="0"/>
        <v>BUD_PROOF - Budget Proof</v>
      </c>
      <c r="J33" s="50"/>
      <c r="K33" s="49" t="s">
        <v>705</v>
      </c>
      <c r="L33" s="51"/>
      <c r="M33" s="51"/>
      <c r="N33" s="51"/>
      <c r="O33" s="51"/>
      <c r="P33" s="50"/>
      <c r="Q33" s="9"/>
      <c r="R33" s="9"/>
      <c r="S33" s="9" t="s">
        <v>686</v>
      </c>
      <c r="T33" s="9" t="str">
        <f>IF(_epmOfflineCondition_,"Budget Proof",_xll.EVDES(S33))</f>
        <v>Budget Proof</v>
      </c>
      <c r="U33" s="9"/>
      <c r="V33" s="9"/>
      <c r="W33" s="9"/>
    </row>
    <row r="34" spans="1:23" ht="15.5" x14ac:dyDescent="0.35">
      <c r="A34" s="9"/>
      <c r="B34" s="48"/>
      <c r="C34" s="52" t="s">
        <v>794</v>
      </c>
      <c r="D34" s="9"/>
      <c r="E34" s="9"/>
      <c r="F34" s="9"/>
      <c r="G34" s="9"/>
      <c r="H34" s="9"/>
      <c r="I34" s="49" t="str">
        <f t="shared" si="0"/>
        <v>JANFORECAST - JANUARY FORECAST</v>
      </c>
      <c r="J34" s="50"/>
      <c r="K34" s="49" t="s">
        <v>724</v>
      </c>
      <c r="L34" s="51"/>
      <c r="M34" s="51"/>
      <c r="N34" s="51"/>
      <c r="O34" s="51"/>
      <c r="P34" s="50"/>
      <c r="Q34" s="9"/>
      <c r="R34" s="9"/>
      <c r="S34" s="9" t="s">
        <v>687</v>
      </c>
      <c r="T34" s="9" t="str">
        <f>IF(_epmOfflineCondition_,"JANUARY FORECAST",_xll.EVDES(S34))</f>
        <v>JANUARY FORECAST</v>
      </c>
      <c r="U34" s="9"/>
      <c r="V34" s="9"/>
      <c r="W34" s="9"/>
    </row>
    <row r="35" spans="1:23" ht="15.5" x14ac:dyDescent="0.35">
      <c r="A35" s="9"/>
      <c r="B35" s="48"/>
      <c r="C35" s="48" t="s">
        <v>722</v>
      </c>
      <c r="D35" s="9"/>
      <c r="E35" s="9"/>
      <c r="F35" s="9"/>
      <c r="G35" s="9"/>
      <c r="H35" s="9"/>
      <c r="I35" s="49" t="str">
        <f t="shared" si="0"/>
        <v>FEBFORECAST - FEBRUARY FORECAST</v>
      </c>
      <c r="J35" s="50"/>
      <c r="K35" s="49" t="s">
        <v>714</v>
      </c>
      <c r="L35" s="51"/>
      <c r="M35" s="51"/>
      <c r="N35" s="51"/>
      <c r="O35" s="51"/>
      <c r="P35" s="50"/>
      <c r="Q35" s="9"/>
      <c r="R35" s="9"/>
      <c r="S35" s="9" t="s">
        <v>688</v>
      </c>
      <c r="T35" s="9" t="str">
        <f>IF(_epmOfflineCondition_,"FEBRUARY FORECAST",_xll.EVDES(S35))</f>
        <v>FEBRUARY FORECAST</v>
      </c>
      <c r="U35" s="9"/>
      <c r="V35" s="9"/>
      <c r="W35" s="9"/>
    </row>
    <row r="36" spans="1:23" ht="15.5" x14ac:dyDescent="0.35">
      <c r="A36" s="9"/>
      <c r="B36" s="48" t="s">
        <v>778</v>
      </c>
      <c r="C36" s="48"/>
      <c r="D36" s="9"/>
      <c r="E36" s="9"/>
      <c r="F36" s="9"/>
      <c r="G36" s="9"/>
      <c r="H36" s="9"/>
      <c r="I36" s="49" t="str">
        <f t="shared" si="0"/>
        <v>MARFORECAST - MARCH FORECAST</v>
      </c>
      <c r="J36" s="50"/>
      <c r="K36" s="49" t="s">
        <v>706</v>
      </c>
      <c r="L36" s="51"/>
      <c r="M36" s="51"/>
      <c r="N36" s="51"/>
      <c r="O36" s="51"/>
      <c r="P36" s="50"/>
      <c r="Q36" s="9"/>
      <c r="R36" s="9"/>
      <c r="S36" s="9" t="s">
        <v>689</v>
      </c>
      <c r="T36" s="9" t="str">
        <f>IF(_epmOfflineCondition_,"MARCH FORECAST",_xll.EVDES(S36))</f>
        <v>MARCH FORECAST</v>
      </c>
      <c r="U36" s="9"/>
      <c r="V36" s="9"/>
      <c r="W36" s="9"/>
    </row>
    <row r="37" spans="1:23" ht="15.5" x14ac:dyDescent="0.35">
      <c r="A37" s="9"/>
      <c r="B37" s="48"/>
      <c r="C37" s="48" t="s">
        <v>785</v>
      </c>
      <c r="D37" s="9"/>
      <c r="E37" s="9"/>
      <c r="F37" s="9"/>
      <c r="G37" s="9"/>
      <c r="H37" s="9"/>
      <c r="I37" s="49" t="str">
        <f t="shared" si="0"/>
        <v>APRFORECAST - APRIL FORECAST</v>
      </c>
      <c r="J37" s="50"/>
      <c r="K37" s="49" t="s">
        <v>707</v>
      </c>
      <c r="L37" s="51"/>
      <c r="M37" s="51"/>
      <c r="N37" s="51"/>
      <c r="O37" s="51"/>
      <c r="P37" s="50"/>
      <c r="Q37" s="9"/>
      <c r="R37" s="9"/>
      <c r="S37" s="9" t="s">
        <v>690</v>
      </c>
      <c r="T37" s="9" t="str">
        <f>IF(_epmOfflineCondition_,"APRIL FORECAST",_xll.EVDES(S37))</f>
        <v>APRIL FORECAST</v>
      </c>
      <c r="U37" s="9"/>
      <c r="V37" s="9"/>
      <c r="W37" s="9"/>
    </row>
    <row r="38" spans="1:23" ht="15.5" x14ac:dyDescent="0.35">
      <c r="A38" s="9"/>
      <c r="B38" s="48"/>
      <c r="C38" s="48" t="s">
        <v>723</v>
      </c>
      <c r="D38" s="9"/>
      <c r="E38" s="9"/>
      <c r="F38" s="9"/>
      <c r="G38" s="9"/>
      <c r="H38" s="9"/>
      <c r="I38" s="49" t="str">
        <f t="shared" si="0"/>
        <v>MAYFORECAST - MAY FORECAST</v>
      </c>
      <c r="J38" s="50"/>
      <c r="K38" s="49" t="s">
        <v>708</v>
      </c>
      <c r="L38" s="51"/>
      <c r="M38" s="51"/>
      <c r="N38" s="51"/>
      <c r="O38" s="51"/>
      <c r="P38" s="50"/>
      <c r="Q38" s="9"/>
      <c r="R38" s="9"/>
      <c r="S38" s="9" t="s">
        <v>691</v>
      </c>
      <c r="T38" s="9" t="str">
        <f>IF(_epmOfflineCondition_,"MAY FORECAST",_xll.EVDES(S38))</f>
        <v>MAY FORECAST</v>
      </c>
      <c r="U38" s="9"/>
      <c r="V38" s="9"/>
      <c r="W38" s="9"/>
    </row>
    <row r="39" spans="1:23" ht="15.5" x14ac:dyDescent="0.35">
      <c r="A39" s="9"/>
      <c r="B39" s="48" t="s">
        <v>779</v>
      </c>
      <c r="C39" s="9"/>
      <c r="D39" s="9"/>
      <c r="E39" s="9"/>
      <c r="F39" s="9"/>
      <c r="G39" s="9"/>
      <c r="H39" s="9"/>
      <c r="I39" s="49" t="str">
        <f t="shared" si="0"/>
        <v>JUNFORECAST - JUNE FORECAST</v>
      </c>
      <c r="J39" s="50"/>
      <c r="K39" s="49" t="s">
        <v>709</v>
      </c>
      <c r="L39" s="51"/>
      <c r="M39" s="51"/>
      <c r="N39" s="51"/>
      <c r="O39" s="51"/>
      <c r="P39" s="50"/>
      <c r="Q39" s="9"/>
      <c r="R39" s="9"/>
      <c r="S39" s="9" t="s">
        <v>692</v>
      </c>
      <c r="T39" s="9" t="str">
        <f>IF(_epmOfflineCondition_,"JUNE FORECAST",_xll.EVDES(S39))</f>
        <v>JUNE FORECAST</v>
      </c>
      <c r="U39" s="9"/>
      <c r="V39" s="9"/>
      <c r="W39" s="9"/>
    </row>
    <row r="40" spans="1:23" ht="15.5" x14ac:dyDescent="0.35">
      <c r="A40" s="9"/>
      <c r="B40" s="48" t="s">
        <v>783</v>
      </c>
      <c r="C40" s="48"/>
      <c r="D40" s="9"/>
      <c r="E40" s="9"/>
      <c r="F40" s="9"/>
      <c r="G40" s="9"/>
      <c r="H40" s="9"/>
      <c r="I40" s="49" t="str">
        <f t="shared" si="0"/>
        <v>JULFORECAST - JULY FORECAST</v>
      </c>
      <c r="J40" s="50"/>
      <c r="K40" s="49" t="s">
        <v>710</v>
      </c>
      <c r="L40" s="51"/>
      <c r="M40" s="51"/>
      <c r="N40" s="51"/>
      <c r="O40" s="51"/>
      <c r="P40" s="50"/>
      <c r="Q40" s="9"/>
      <c r="R40" s="9"/>
      <c r="S40" s="9" t="s">
        <v>693</v>
      </c>
      <c r="T40" s="9" t="str">
        <f>IF(_epmOfflineCondition_,"JULY FORECAST",_xll.EVDES(S40))</f>
        <v>JULY FORECAST</v>
      </c>
      <c r="U40" s="9"/>
      <c r="V40" s="9"/>
      <c r="W40" s="9"/>
    </row>
    <row r="41" spans="1:23" ht="15.5" x14ac:dyDescent="0.35">
      <c r="A41" s="9"/>
      <c r="B41" s="9"/>
      <c r="C41" s="9"/>
      <c r="D41" s="9"/>
      <c r="E41" s="9"/>
      <c r="F41" s="9"/>
      <c r="G41" s="9"/>
      <c r="H41" s="9"/>
      <c r="I41" s="49" t="str">
        <f t="shared" si="0"/>
        <v>AUGFORECAST - AUGUST FORECAST</v>
      </c>
      <c r="J41" s="50"/>
      <c r="K41" s="49" t="s">
        <v>711</v>
      </c>
      <c r="L41" s="51"/>
      <c r="M41" s="51"/>
      <c r="N41" s="51"/>
      <c r="O41" s="51"/>
      <c r="P41" s="50"/>
      <c r="Q41" s="9"/>
      <c r="R41" s="9"/>
      <c r="S41" s="9" t="s">
        <v>694</v>
      </c>
      <c r="T41" s="9" t="str">
        <f>IF(_epmOfflineCondition_,"AUGUST FORECAST",_xll.EVDES(S41))</f>
        <v>AUGUST FORECAST</v>
      </c>
      <c r="U41" s="9"/>
      <c r="V41" s="9"/>
      <c r="W41" s="9"/>
    </row>
    <row r="42" spans="1:23" ht="15.5" x14ac:dyDescent="0.35">
      <c r="A42" s="9"/>
      <c r="B42" s="47" t="s">
        <v>671</v>
      </c>
      <c r="C42" s="48"/>
      <c r="D42" s="9"/>
      <c r="E42" s="9"/>
      <c r="F42" s="9"/>
      <c r="G42" s="9"/>
      <c r="H42" s="9"/>
      <c r="I42" s="49" t="str">
        <f t="shared" si="0"/>
        <v>SEPFORECAST - SEPTEMBER FORECAST</v>
      </c>
      <c r="J42" s="50"/>
      <c r="K42" s="49" t="s">
        <v>712</v>
      </c>
      <c r="L42" s="51"/>
      <c r="M42" s="51"/>
      <c r="N42" s="51"/>
      <c r="O42" s="51"/>
      <c r="P42" s="50"/>
      <c r="Q42" s="9"/>
      <c r="R42" s="9"/>
      <c r="S42" s="9" t="s">
        <v>695</v>
      </c>
      <c r="T42" s="9" t="str">
        <f>IF(_epmOfflineCondition_,"SEPTEMBER FORECAST",_xll.EVDES(S42))</f>
        <v>SEPTEMBER FORECAST</v>
      </c>
      <c r="U42" s="9"/>
      <c r="V42" s="9"/>
      <c r="W42" s="9"/>
    </row>
    <row r="43" spans="1:23" ht="15.5" x14ac:dyDescent="0.35">
      <c r="A43" s="9"/>
      <c r="B43" s="48" t="s">
        <v>681</v>
      </c>
      <c r="C43" s="48"/>
      <c r="D43" s="9"/>
      <c r="E43" s="9"/>
      <c r="F43" s="9"/>
      <c r="G43" s="9"/>
      <c r="H43" s="9"/>
      <c r="I43" s="49" t="str">
        <f t="shared" si="0"/>
        <v>OCTFORECAST - OCTOBER FORECAST</v>
      </c>
      <c r="J43" s="50"/>
      <c r="K43" s="49" t="s">
        <v>713</v>
      </c>
      <c r="L43" s="51"/>
      <c r="M43" s="51"/>
      <c r="N43" s="51"/>
      <c r="O43" s="51"/>
      <c r="P43" s="50"/>
      <c r="Q43" s="9"/>
      <c r="R43" s="9"/>
      <c r="S43" s="9" t="s">
        <v>696</v>
      </c>
      <c r="T43" s="9" t="str">
        <f>IF(_epmOfflineCondition_,"OCTOBER FORECAST",_xll.EVDES(S43))</f>
        <v>OCTOBER FORECAST</v>
      </c>
      <c r="U43" s="9"/>
      <c r="V43" s="9"/>
      <c r="W43" s="9"/>
    </row>
    <row r="44" spans="1:23" ht="15.5" x14ac:dyDescent="0.35">
      <c r="A44" s="9"/>
      <c r="B44" s="48" t="s">
        <v>715</v>
      </c>
      <c r="C44" s="48"/>
      <c r="D44" s="9"/>
      <c r="E44" s="9"/>
      <c r="F44" s="9"/>
      <c r="G44" s="9"/>
      <c r="H44" s="9"/>
      <c r="I44" s="49" t="str">
        <f t="shared" si="0"/>
        <v>NOVFORECAST - NOVEMBER FORECAST</v>
      </c>
      <c r="J44" s="50"/>
      <c r="K44" s="49" t="s">
        <v>716</v>
      </c>
      <c r="L44" s="51"/>
      <c r="M44" s="51"/>
      <c r="N44" s="51"/>
      <c r="O44" s="51"/>
      <c r="P44" s="50"/>
      <c r="Q44" s="9"/>
      <c r="R44" s="9"/>
      <c r="S44" s="9" t="s">
        <v>697</v>
      </c>
      <c r="T44" s="9" t="str">
        <f>IF(_epmOfflineCondition_,"NOVEMBER FORECAST",_xll.EVDES(S44))</f>
        <v>NOVEMBER FORECAST</v>
      </c>
      <c r="U44" s="9"/>
      <c r="V44" s="9"/>
      <c r="W44" s="9"/>
    </row>
    <row r="45" spans="1:23" ht="15.5" x14ac:dyDescent="0.35">
      <c r="A45" s="9"/>
      <c r="B45" s="48" t="s">
        <v>672</v>
      </c>
      <c r="C45" s="48"/>
      <c r="D45" s="9"/>
      <c r="E45" s="9"/>
      <c r="F45" s="9"/>
      <c r="G45" s="9"/>
      <c r="H45" s="9"/>
      <c r="I45" s="49" t="str">
        <f t="shared" si="0"/>
        <v>DECFORECAST - DECEMBER FORECAST</v>
      </c>
      <c r="J45" s="50"/>
      <c r="K45" s="49" t="s">
        <v>717</v>
      </c>
      <c r="L45" s="51"/>
      <c r="M45" s="51"/>
      <c r="N45" s="51"/>
      <c r="O45" s="51"/>
      <c r="P45" s="50"/>
      <c r="Q45" s="9"/>
      <c r="R45" s="9"/>
      <c r="S45" s="9" t="s">
        <v>698</v>
      </c>
      <c r="T45" s="9" t="str">
        <f>IF(_epmOfflineCondition_,"DECEMBER FORECAST",_xll.EVDES(S45))</f>
        <v>DECEMBER FORECAST</v>
      </c>
      <c r="U45" s="9"/>
      <c r="V45" s="9"/>
      <c r="W45" s="9"/>
    </row>
    <row r="46" spans="1:23" ht="15.5" x14ac:dyDescent="0.35">
      <c r="A46" s="9"/>
      <c r="B46" s="48" t="s">
        <v>678</v>
      </c>
      <c r="C46" s="48"/>
      <c r="D46" s="9"/>
      <c r="E46" s="9"/>
      <c r="F46" s="9"/>
      <c r="G46" s="9"/>
      <c r="H46" s="9"/>
      <c r="I46" s="49" t="str">
        <f t="shared" si="0"/>
        <v>BUDSNAP - Forecast Snapshot</v>
      </c>
      <c r="J46" s="50"/>
      <c r="K46" s="49" t="s">
        <v>718</v>
      </c>
      <c r="L46" s="51"/>
      <c r="M46" s="51"/>
      <c r="N46" s="51"/>
      <c r="O46" s="51"/>
      <c r="P46" s="50"/>
      <c r="Q46" s="9"/>
      <c r="R46" s="9"/>
      <c r="S46" s="9" t="s">
        <v>699</v>
      </c>
      <c r="T46" s="9" t="str">
        <f>IF(_epmOfflineCondition_,"Forecast Snapshot",_xll.EVDES(S46))</f>
        <v>Forecast Snapshot</v>
      </c>
      <c r="U46" s="9"/>
      <c r="V46" s="9"/>
      <c r="W46" s="9"/>
    </row>
    <row r="47" spans="1:23" ht="15.5" x14ac:dyDescent="0.35">
      <c r="A47" s="9"/>
      <c r="B47" s="48" t="s">
        <v>673</v>
      </c>
      <c r="C47" s="48"/>
      <c r="D47" s="9"/>
      <c r="E47" s="9"/>
      <c r="F47" s="9"/>
      <c r="G47" s="9"/>
      <c r="H47" s="9"/>
      <c r="I47" s="49" t="str">
        <f t="shared" si="0"/>
        <v>ALT1 - Scenario 1</v>
      </c>
      <c r="J47" s="50"/>
      <c r="K47" s="49" t="s">
        <v>795</v>
      </c>
      <c r="L47" s="51"/>
      <c r="M47" s="51"/>
      <c r="N47" s="51"/>
      <c r="O47" s="51"/>
      <c r="P47" s="50"/>
      <c r="Q47" s="9"/>
      <c r="R47" s="9"/>
      <c r="S47" s="9" t="s">
        <v>796</v>
      </c>
      <c r="T47" s="9" t="str">
        <f>IF(_epmOfflineCondition_,"Scenario 1",_xll.EVDES(S47))</f>
        <v>Scenario 1</v>
      </c>
      <c r="U47" s="9"/>
      <c r="V47" s="9"/>
      <c r="W47" s="9"/>
    </row>
    <row r="48" spans="1:23" ht="15.5" x14ac:dyDescent="0.35">
      <c r="A48" s="9"/>
      <c r="B48" s="48" t="s">
        <v>674</v>
      </c>
      <c r="C48" s="48"/>
      <c r="D48" s="9"/>
      <c r="E48" s="9"/>
      <c r="F48" s="9"/>
      <c r="G48" s="9"/>
      <c r="H48" s="9"/>
      <c r="I48" s="49" t="str">
        <f t="shared" si="0"/>
        <v>ALT2 - Scenario 2</v>
      </c>
      <c r="J48" s="50"/>
      <c r="K48" s="49" t="s">
        <v>795</v>
      </c>
      <c r="L48" s="51"/>
      <c r="M48" s="51"/>
      <c r="N48" s="51"/>
      <c r="O48" s="51"/>
      <c r="P48" s="50"/>
      <c r="Q48" s="9"/>
      <c r="R48" s="9"/>
      <c r="S48" s="9" t="s">
        <v>797</v>
      </c>
      <c r="T48" s="9" t="str">
        <f>IF(_epmOfflineCondition_,"Scenario 2",_xll.EVDES(S48))</f>
        <v>Scenario 2</v>
      </c>
      <c r="U48" s="9"/>
      <c r="V48" s="9"/>
      <c r="W48" s="9"/>
    </row>
    <row r="49" spans="1:23" ht="15.5" x14ac:dyDescent="0.35">
      <c r="A49" s="9"/>
      <c r="B49" s="48"/>
      <c r="C49" s="48" t="s">
        <v>675</v>
      </c>
      <c r="D49" s="9"/>
      <c r="E49" s="9"/>
      <c r="F49" s="9"/>
      <c r="G49" s="9"/>
      <c r="H49" s="9"/>
      <c r="I49" s="49" t="str">
        <f t="shared" si="0"/>
        <v>ALT3 - Scenario 3</v>
      </c>
      <c r="J49" s="50"/>
      <c r="K49" s="49" t="s">
        <v>795</v>
      </c>
      <c r="L49" s="51"/>
      <c r="M49" s="51"/>
      <c r="N49" s="51"/>
      <c r="O49" s="51"/>
      <c r="P49" s="50"/>
      <c r="Q49" s="9"/>
      <c r="R49" s="9"/>
      <c r="S49" s="9" t="s">
        <v>798</v>
      </c>
      <c r="T49" s="9" t="str">
        <f>IF(_epmOfflineCondition_,"Scenario 3",_xll.EVDES(S49))</f>
        <v>Scenario 3</v>
      </c>
      <c r="U49" s="9"/>
      <c r="V49" s="9"/>
      <c r="W49" s="9"/>
    </row>
    <row r="50" spans="1:23" ht="15.5" x14ac:dyDescent="0.35">
      <c r="A50" s="9"/>
      <c r="B50" s="48"/>
      <c r="C50" s="48" t="s">
        <v>676</v>
      </c>
      <c r="D50" s="9"/>
      <c r="E50" s="9"/>
      <c r="F50" s="9"/>
      <c r="G50" s="9"/>
      <c r="H50" s="9"/>
      <c r="I50" s="49" t="str">
        <f t="shared" si="0"/>
        <v>ALT4 - Scenario 4</v>
      </c>
      <c r="J50" s="50"/>
      <c r="K50" s="49" t="s">
        <v>795</v>
      </c>
      <c r="L50" s="51"/>
      <c r="M50" s="51"/>
      <c r="N50" s="51"/>
      <c r="O50" s="51"/>
      <c r="P50" s="50"/>
      <c r="Q50" s="9"/>
      <c r="R50" s="9"/>
      <c r="S50" s="9" t="s">
        <v>799</v>
      </c>
      <c r="T50" s="9" t="str">
        <f>IF(_epmOfflineCondition_,"Scenario 4",_xll.EVDES(S50))</f>
        <v>Scenario 4</v>
      </c>
      <c r="U50" s="9"/>
      <c r="V50" s="9"/>
      <c r="W50" s="9"/>
    </row>
    <row r="51" spans="1:23" ht="15.5" x14ac:dyDescent="0.35">
      <c r="A51" s="9"/>
      <c r="B51" s="48"/>
      <c r="C51" s="48" t="s">
        <v>719</v>
      </c>
      <c r="D51" s="9"/>
      <c r="E51" s="9"/>
      <c r="F51" s="9"/>
      <c r="G51" s="9"/>
      <c r="H51" s="9"/>
      <c r="I51" s="9"/>
      <c r="J51" s="9"/>
      <c r="K51" s="9"/>
      <c r="L51" s="9"/>
      <c r="M51" s="9"/>
      <c r="N51" s="9"/>
      <c r="O51" s="9"/>
      <c r="P51" s="9"/>
      <c r="Q51" s="9"/>
      <c r="R51" s="9"/>
      <c r="S51" s="9"/>
      <c r="T51" s="9"/>
      <c r="U51" s="9"/>
      <c r="V51" s="9"/>
      <c r="W51" s="9"/>
    </row>
    <row r="52" spans="1:23" ht="15.5" x14ac:dyDescent="0.35">
      <c r="A52" s="9"/>
      <c r="B52" s="48"/>
      <c r="C52" s="48" t="s">
        <v>677</v>
      </c>
      <c r="D52" s="9"/>
      <c r="E52" s="9"/>
      <c r="F52" s="9"/>
      <c r="G52" s="9"/>
      <c r="H52" s="9"/>
      <c r="I52" s="9"/>
      <c r="J52" s="9"/>
      <c r="K52" s="9"/>
      <c r="L52" s="9"/>
      <c r="M52" s="9"/>
      <c r="N52" s="9"/>
      <c r="O52" s="9"/>
      <c r="P52" s="9"/>
      <c r="Q52" s="9"/>
      <c r="R52" s="9"/>
      <c r="S52" s="9"/>
      <c r="T52" s="9"/>
      <c r="U52" s="9"/>
      <c r="V52" s="9"/>
      <c r="W52" s="9"/>
    </row>
    <row r="53" spans="1:23" ht="15.5" x14ac:dyDescent="0.35">
      <c r="A53" s="9"/>
      <c r="B53" s="48" t="s">
        <v>679</v>
      </c>
      <c r="C53" s="48"/>
      <c r="D53" s="9"/>
      <c r="E53" s="9"/>
      <c r="F53" s="9"/>
      <c r="G53" s="9"/>
      <c r="H53" s="9"/>
      <c r="I53" s="9"/>
      <c r="J53" s="9"/>
      <c r="K53" s="9"/>
      <c r="L53" s="9"/>
      <c r="M53" s="9"/>
      <c r="N53" s="9"/>
      <c r="O53" s="9"/>
      <c r="P53" s="9"/>
      <c r="Q53" s="9"/>
      <c r="R53" s="9"/>
      <c r="S53" s="9"/>
      <c r="T53" s="9"/>
      <c r="U53" s="9"/>
      <c r="V53" s="9"/>
      <c r="W53" s="9"/>
    </row>
    <row r="54" spans="1:23" ht="15.5" x14ac:dyDescent="0.35">
      <c r="A54" s="9"/>
      <c r="B54" s="48" t="s">
        <v>680</v>
      </c>
      <c r="C54" s="48"/>
      <c r="D54" s="9"/>
      <c r="E54" s="9"/>
      <c r="F54" s="9"/>
      <c r="G54" s="9"/>
      <c r="H54" s="9"/>
      <c r="I54" s="9"/>
      <c r="J54" s="9"/>
      <c r="K54" s="9"/>
      <c r="L54" s="9"/>
      <c r="M54" s="9"/>
      <c r="N54" s="9"/>
      <c r="O54" s="9"/>
      <c r="P54" s="9"/>
      <c r="Q54" s="9"/>
      <c r="R54" s="9"/>
      <c r="S54" s="9"/>
      <c r="T54" s="9"/>
      <c r="U54" s="9"/>
      <c r="V54" s="9"/>
      <c r="W54" s="9"/>
    </row>
  </sheetData>
  <sheetProtection algorithmName="SHA-512" hashValue="rgtWS+zSJSsA5yegJfsAmBFOZgEQHrna8QhZEEt82xzcdJecrduSj8TERA+l31ZPSGBFxdQ9TmVhXu2EXWht2g==" saltValue="XorIKZ9JDwGqPotmeRwuaw==" spinCount="100000" sheet="1" scenarios="1"/>
  <mergeCells count="3">
    <mergeCell ref="C6:C7"/>
    <mergeCell ref="F6:F7"/>
    <mergeCell ref="I6:I7"/>
  </mergeCells>
  <conditionalFormatting sqref="C8:D8">
    <cfRule type="expression" dxfId="180" priority="1">
      <formula>LEFT($D$6,3)&lt;&gt;"ALT"</formula>
    </cfRule>
  </conditionalFormatting>
  <dataValidations count="1">
    <dataValidation type="list" showInputMessage="1" showErrorMessage="1" sqref="D8" xr:uid="{00000000-0002-0000-0000-000000000000}">
      <formula1>"BUD,FCST"</formula1>
    </dataValidation>
  </dataValidations>
  <pageMargins left="0.25" right="0.25" top="0.5" bottom="0.5" header="0.3" footer="0.3"/>
  <pageSetup scale="42"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31" r:id="rId7" name="FPMExcelClientSheetOptionstb1">
          <controlPr defaultSize="0" autoLine="0" r:id="rId8">
            <anchor moveWithCells="1" sizeWithCells="1">
              <from>
                <xdr:col>0</xdr:col>
                <xdr:colOff>0</xdr:colOff>
                <xdr:row>0</xdr:row>
                <xdr:rowOff>0</xdr:rowOff>
              </from>
              <to>
                <xdr:col>2</xdr:col>
                <xdr:colOff>419100</xdr:colOff>
                <xdr:row>0</xdr:row>
                <xdr:rowOff>0</xdr:rowOff>
              </to>
            </anchor>
          </controlPr>
        </control>
      </mc:Choice>
      <mc:Fallback>
        <control shapeId="5131" r:id="rId7" name="FPMExcelClientSheetOptionstb1"/>
      </mc:Fallback>
    </mc:AlternateContent>
    <mc:AlternateContent xmlns:mc="http://schemas.openxmlformats.org/markup-compatibility/2006">
      <mc:Choice Requires="x14">
        <control shapeId="5130" r:id="rId9" name="Check Box 10">
          <controlPr defaultSize="0" print="0" autoFill="0" autoLine="0" autoPict="0">
            <anchor moveWithCells="1">
              <from>
                <xdr:col>14</xdr:col>
                <xdr:colOff>50800</xdr:colOff>
                <xdr:row>4</xdr:row>
                <xdr:rowOff>171450</xdr:rowOff>
              </from>
              <to>
                <xdr:col>15</xdr:col>
                <xdr:colOff>0</xdr:colOff>
                <xdr:row>6</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dimension ref="A1:AO114"/>
  <sheetViews>
    <sheetView tabSelected="1"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O42" sqref="O42"/>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38.7265625" style="1" customWidth="1" collapsed="1"/>
    <col min="14" max="25" width="11.7265625" style="1" customWidth="1" outlineLevel="1"/>
    <col min="26" max="26" width="12.7265625" style="1" customWidth="1"/>
    <col min="27" max="27" width="7.7265625" style="1" customWidth="1"/>
    <col min="28" max="28" width="1.7265625" style="1" customWidth="1"/>
    <col min="29" max="29" width="12.7265625" style="1" customWidth="1"/>
    <col min="30" max="30" width="7.7265625" style="1" customWidth="1"/>
    <col min="31" max="31" width="11.7265625" style="1" customWidth="1"/>
    <col min="32" max="32" width="12.7265625" style="1" customWidth="1"/>
    <col min="33" max="33" width="7.7265625" style="1" customWidth="1"/>
    <col min="34" max="34" width="11.7265625" style="1" customWidth="1"/>
    <col min="35" max="38" width="9.1796875" style="1" hidden="1" customWidth="1" outlineLevel="1"/>
    <col min="39" max="39" width="9.1796875" style="1" collapsed="1"/>
    <col min="40" max="40" width="14.26953125" style="1" bestFit="1" customWidth="1"/>
    <col min="41"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55"/>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499</v>
      </c>
      <c r="C6" s="11" t="str">
        <f>IF(_epmOfflineCondition_,"Consolidated Hotel &amp; F&amp;B Departments",_xll.EVDES(B6,$B$1))</f>
        <v>Consolidated Hotel &amp; F&amp;B Departments</v>
      </c>
      <c r="D6" s="11"/>
      <c r="E6" s="58" t="str">
        <f>IF(_epmOfflineCondition_,"",_xll.EVPRO($B$1,$B$6,$F$6))</f>
        <v/>
      </c>
      <c r="F6" s="11" t="s">
        <v>278</v>
      </c>
      <c r="G6" s="11"/>
      <c r="H6" s="11"/>
      <c r="I6" s="59"/>
      <c r="J6" s="59"/>
      <c r="K6" s="11"/>
      <c r="L6" s="59"/>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8" t="str">
        <f>IF(LEFT(SetUp!$D$6,3)="ALT","Y","N")</f>
        <v>N</v>
      </c>
      <c r="M11" s="11" t="s">
        <v>800</v>
      </c>
      <c r="N11" s="60" t="str">
        <f>IF(_epmOfflineCondition_,"ACTUAL_CON",IF(N13&lt;$F$4,_xll.EVPRO($B$1,$B$4,"COMPARISON"),$B$4))</f>
        <v>ACTUAL_CON</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11"/>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11" t="s">
        <v>597</v>
      </c>
      <c r="N12" s="4" t="str">
        <f>IF(_epmOfflineCondition_,"Y",_xll.EVPRO($B$1,N$16,$M$12))</f>
        <v>Y</v>
      </c>
      <c r="O12" s="4" t="str">
        <f>IF(_epmOfflineCondition_,"Y",_xll.EVPRO($B$1,O$16,$M$12))</f>
        <v>Y</v>
      </c>
      <c r="P12" s="4" t="str">
        <f>IF(_epmOfflineCondition_,"Y",_xll.EVPRO($B$1,P$16,$M$12))</f>
        <v>Y</v>
      </c>
      <c r="Q12" s="4" t="str">
        <f>IF(_epmOfflineCondition_,"Y",_xll.EVPRO($B$1,Q$16,$M$12))</f>
        <v>Y</v>
      </c>
      <c r="R12" s="4" t="str">
        <f>IF(_epmOfflineCondition_,"Y",_xll.EVPRO($B$1,R$16,$M$12))</f>
        <v>Y</v>
      </c>
      <c r="S12" s="4" t="str">
        <f>IF(_epmOfflineCondition_,"Y",_xll.EVPRO($B$1,S$16,$M$12))</f>
        <v>Y</v>
      </c>
      <c r="T12" s="4" t="str">
        <f>IF(_epmOfflineCondition_,"Y",_xll.EVPRO($B$1,T$16,$M$12))</f>
        <v>Y</v>
      </c>
      <c r="U12" s="4" t="str">
        <f>IF(_epmOfflineCondition_,"Y",_xll.EVPRO($B$1,U$16,$M$12))</f>
        <v>Y</v>
      </c>
      <c r="V12" s="4" t="str">
        <f>IF(_epmOfflineCondition_,"Y",_xll.EVPRO($B$1,V$16,$M$12))</f>
        <v>Y</v>
      </c>
      <c r="W12" s="4" t="str">
        <f>IF(_epmOfflineCondition_,"Y",_xll.EVPRO($B$1,W$16,$M$12))</f>
        <v>Y</v>
      </c>
      <c r="X12" s="4" t="str">
        <f>IF(_epmOfflineCondition_,"Y",_xll.EVPRO($B$1,X$16,$M$12))</f>
        <v>Y</v>
      </c>
      <c r="Y12" s="4" t="str">
        <f>IF(_epmOfflineCondition_,"Y",_xll.EVPRO($B$1,Y$16,$M$12))</f>
        <v>Y</v>
      </c>
      <c r="Z12" s="4" t="str">
        <f>IF(_epmOfflineCondition_,"",_xll.EVPRO($B$1,Z$16,$M$12))</f>
        <v/>
      </c>
      <c r="AA12" s="11"/>
      <c r="AB12" s="11"/>
      <c r="AC12" s="4" t="str">
        <f>IF(_epmOfflineCondition_,"",_xll.EVPRO($B$1,AC$16,$M$12))</f>
        <v/>
      </c>
      <c r="AD12" s="11"/>
      <c r="AE12" s="11"/>
      <c r="AF12" s="4" t="str">
        <f>IF(_epmOfflineCondition_,"",_xll.EVPRO($B$1,AF$16,$M$12))</f>
        <v/>
      </c>
      <c r="AG12" s="11"/>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11" t="s">
        <v>598</v>
      </c>
      <c r="N13" s="5" t="str">
        <f>IF(_epmOfflineCondition_,"20200100",_xll.EVPRO($B$1,N16,"TIMEID"))</f>
        <v>20200100</v>
      </c>
      <c r="O13" s="5" t="str">
        <f>IF(_epmOfflineCondition_,"20200200",_xll.EVPRO($B$1,O16,"TIMEID"))</f>
        <v>20200200</v>
      </c>
      <c r="P13" s="5" t="str">
        <f>IF(_epmOfflineCondition_,"20200300",_xll.EVPRO($B$1,P16,"TIMEID"))</f>
        <v>20200300</v>
      </c>
      <c r="Q13" s="5" t="str">
        <f>IF(_epmOfflineCondition_,"20200400",_xll.EVPRO($B$1,Q16,"TIMEID"))</f>
        <v>20200400</v>
      </c>
      <c r="R13" s="5" t="str">
        <f>IF(_epmOfflineCondition_,"20200500",_xll.EVPRO($B$1,R16,"TIMEID"))</f>
        <v>20200500</v>
      </c>
      <c r="S13" s="5" t="str">
        <f>IF(_epmOfflineCondition_,"20200600",_xll.EVPRO($B$1,S16,"TIMEID"))</f>
        <v>20200600</v>
      </c>
      <c r="T13" s="5" t="str">
        <f>IF(_epmOfflineCondition_,"20200700",_xll.EVPRO($B$1,T16,"TIMEID"))</f>
        <v>20200700</v>
      </c>
      <c r="U13" s="5" t="str">
        <f>IF(_epmOfflineCondition_,"20200800",_xll.EVPRO($B$1,U16,"TIMEID"))</f>
        <v>20200800</v>
      </c>
      <c r="V13" s="5" t="str">
        <f>IF(_epmOfflineCondition_,"20200900",_xll.EVPRO($B$1,V16,"TIMEID"))</f>
        <v>20200900</v>
      </c>
      <c r="W13" s="5" t="str">
        <f>IF(_epmOfflineCondition_,"20201000",_xll.EVPRO($B$1,W16,"TIMEID"))</f>
        <v>20201000</v>
      </c>
      <c r="X13" s="5" t="str">
        <f>IF(_epmOfflineCondition_,"20201100",_xll.EVPRO($B$1,X16,"TIMEID"))</f>
        <v>20201100</v>
      </c>
      <c r="Y13" s="5" t="str">
        <f>IF(_epmOfflineCondition_,"20201200",_xll.EVPRO($B$1,Y16,"TIMEID"))</f>
        <v>20201200</v>
      </c>
      <c r="Z13" s="5" t="str">
        <f>IF(_epmOfflineCondition_,"10000159",_xll.EVPRO($B$1,Z16,"TIMEID"))</f>
        <v>10000159</v>
      </c>
      <c r="AA13" s="11"/>
      <c r="AB13" s="11"/>
      <c r="AC13" s="5" t="str">
        <f>IF(_epmOfflineCondition_,"10000159",_xll.EVPRO($B$1,AC16,"TIMEID"))</f>
        <v>10000159</v>
      </c>
      <c r="AD13" s="11"/>
      <c r="AE13" s="11"/>
      <c r="AF13" s="5" t="str">
        <f>IF(_epmOfflineCondition_,"10000149",_xll.EVPRO($B$1,AF16,"TIMEID"))</f>
        <v>10000149</v>
      </c>
      <c r="AG13" s="11"/>
      <c r="AH13" s="11"/>
      <c r="AI13" s="11"/>
      <c r="AJ13" s="11"/>
      <c r="AK13" s="11"/>
      <c r="AL13" s="11"/>
      <c r="AM13" s="11"/>
      <c r="AN13" s="11"/>
      <c r="AO13" s="11"/>
    </row>
    <row r="14" spans="1:41" hidden="1" outlineLevel="1" x14ac:dyDescent="0.35">
      <c r="A14" s="61" t="str">
        <f>IF(_epmOfflineCondition_,"Evdre:Ok",_xll.EVDRE($B$1,A17:B24))</f>
        <v>Evdre:Ok</v>
      </c>
      <c r="B14" s="11"/>
      <c r="C14" s="11"/>
      <c r="D14" s="11"/>
      <c r="E14" s="11"/>
      <c r="F14" s="11"/>
      <c r="G14" s="11"/>
      <c r="H14" s="11"/>
      <c r="I14" s="59"/>
      <c r="J14" s="59"/>
      <c r="K14" s="11"/>
      <c r="L14" s="59"/>
      <c r="M14" s="11" t="s">
        <v>599</v>
      </c>
      <c r="N14" s="5" t="s">
        <v>603</v>
      </c>
      <c r="O14" s="5" t="s">
        <v>604</v>
      </c>
      <c r="P14" s="5" t="s">
        <v>605</v>
      </c>
      <c r="Q14" s="5" t="s">
        <v>606</v>
      </c>
      <c r="R14" s="5" t="s">
        <v>607</v>
      </c>
      <c r="S14" s="5" t="s">
        <v>608</v>
      </c>
      <c r="T14" s="5" t="s">
        <v>609</v>
      </c>
      <c r="U14" s="5" t="s">
        <v>610</v>
      </c>
      <c r="V14" s="5" t="s">
        <v>611</v>
      </c>
      <c r="W14" s="5" t="s">
        <v>612</v>
      </c>
      <c r="X14" s="5" t="s">
        <v>613</v>
      </c>
      <c r="Y14" s="5" t="s">
        <v>614</v>
      </c>
      <c r="Z14" s="5" t="s">
        <v>116</v>
      </c>
      <c r="AA14" s="11"/>
      <c r="AB14" s="11"/>
      <c r="AC14" s="5" t="s">
        <v>116</v>
      </c>
      <c r="AD14" s="11"/>
      <c r="AE14" s="11"/>
      <c r="AF14" s="5" t="s">
        <v>116</v>
      </c>
      <c r="AG14" s="11"/>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11" t="s">
        <v>600</v>
      </c>
      <c r="N15" s="6" t="s">
        <v>615</v>
      </c>
      <c r="O15" s="6" t="s">
        <v>616</v>
      </c>
      <c r="P15" s="7" t="s">
        <v>617</v>
      </c>
      <c r="Q15" s="7" t="s">
        <v>618</v>
      </c>
      <c r="R15" s="7" t="s">
        <v>619</v>
      </c>
      <c r="S15" s="7" t="s">
        <v>620</v>
      </c>
      <c r="T15" s="7" t="s">
        <v>621</v>
      </c>
      <c r="U15" s="7" t="s">
        <v>622</v>
      </c>
      <c r="V15" s="7" t="s">
        <v>623</v>
      </c>
      <c r="W15" s="7" t="s">
        <v>624</v>
      </c>
      <c r="X15" s="7" t="s">
        <v>625</v>
      </c>
      <c r="Y15" s="7" t="s">
        <v>626</v>
      </c>
      <c r="Z15" s="5" t="s">
        <v>116</v>
      </c>
      <c r="AA15" s="11"/>
      <c r="AB15" s="11"/>
      <c r="AC15" s="5" t="s">
        <v>116</v>
      </c>
      <c r="AD15" s="11"/>
      <c r="AE15" s="11"/>
      <c r="AF15" s="5" t="s">
        <v>116</v>
      </c>
      <c r="AG15" s="11"/>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11" t="s">
        <v>18</v>
      </c>
      <c r="N16" s="60" t="str">
        <f>IF(_epmOfflineCondition_,"2020.JAN",IF(SetUp!$O$1=TRUE,_xll.EVTIM($B$1,O16,-1),IF($D$10="FY",LEFT($B$10,6)&amp;"."&amp;N15,$B$12&amp;"."&amp;N14)))</f>
        <v>2020.JAN</v>
      </c>
      <c r="O16" s="60" t="str">
        <f>IF(_epmOfflineCondition_,"2020.FEB",IF(SetUp!$O$1=TRUE,_xll.EVTIM($B$1,P16,-1),IF($D$10="FY",LEFT($B$10,6)&amp;"."&amp;O15,$B$12&amp;"."&amp;O14)))</f>
        <v>2020.FEB</v>
      </c>
      <c r="P16" s="60" t="str">
        <f>IF(_epmOfflineCondition_,"2020.MAR",IF(SetUp!$O$1=TRUE,_xll.EVTIM($B$1,Q16,-1),IF($D$10="FY",LEFT($B$10,6)&amp;"."&amp;P15,$B$12&amp;"."&amp;P14)))</f>
        <v>2020.MAR</v>
      </c>
      <c r="Q16" s="60" t="str">
        <f>IF(_epmOfflineCondition_,"2020.APR",IF(SetUp!$O$1=TRUE,_xll.EVTIM($B$1,R16,-1),IF($D$10="FY",LEFT($B$10,6)&amp;"."&amp;Q15,$B$12&amp;"."&amp;Q14)))</f>
        <v>2020.APR</v>
      </c>
      <c r="R16" s="60" t="str">
        <f>IF(_epmOfflineCondition_,"2020.MAY",IF(SetUp!$O$1=TRUE,_xll.EVTIM($B$1,S16,-1),IF($D$10="FY",LEFT($B$10,6)&amp;"."&amp;R15,$B$12&amp;"."&amp;R14)))</f>
        <v>2020.MAY</v>
      </c>
      <c r="S16" s="60" t="str">
        <f>IF(_epmOfflineCondition_,"2020.JUN",IF(SetUp!$O$1=TRUE,_xll.EVTIM($B$1,T16,-1),IF($D$10="FY",LEFT($B$10,6)&amp;"."&amp;S15,$B$12&amp;"."&amp;S14)))</f>
        <v>2020.JUN</v>
      </c>
      <c r="T16" s="60" t="str">
        <f>IF(_epmOfflineCondition_,"2020.JUL",IF(SetUp!$O$1=TRUE,_xll.EVTIM($B$1,U16,-1),IF($D$10="FY",LEFT($B$10,6)&amp;"."&amp;T15,$B$12&amp;"."&amp;T14)))</f>
        <v>2020.JUL</v>
      </c>
      <c r="U16" s="60" t="str">
        <f>IF(_epmOfflineCondition_,"2020.AUG",IF(SetUp!$O$1=TRUE,_xll.EVTIM($B$1,V16,-1),IF($D$10="FY",LEFT($B$10,6)&amp;"."&amp;U15,$B$12&amp;"."&amp;U14)))</f>
        <v>2020.AUG</v>
      </c>
      <c r="V16" s="60" t="str">
        <f>IF(_epmOfflineCondition_,"2020.SEP",IF(SetUp!$O$1=TRUE,_xll.EVTIM($B$1,W16,-1),IF($D$10="FY",LEFT($B$10,6)&amp;"."&amp;V15,$B$12&amp;"."&amp;V14)))</f>
        <v>2020.SEP</v>
      </c>
      <c r="W16" s="60" t="str">
        <f>IF(_epmOfflineCondition_,"2020.OCT",IF(SetUp!$O$1=TRUE,_xll.EVTIM($B$1,X16,-1),IF($D$10="FY",LEFT($B$10,6)&amp;"."&amp;W15,$B$12&amp;"."&amp;W14)))</f>
        <v>2020.OCT</v>
      </c>
      <c r="X16" s="60" t="str">
        <f>IF(_epmOfflineCondition_,"2020.NOV",IF(SetUp!$O$1=TRUE,_xll.EVTIM($B$1,Y16,-1),IF($D$10="FY",LEFT($B$10,6)&amp;"."&amp;X15,$B$12&amp;"."&amp;X14)))</f>
        <v>2020.NOV</v>
      </c>
      <c r="Y16" s="60" t="str">
        <f>IF(SetUp!$O$1=TRUE,SetUp!$Q$6,IF($D$10="FY",LEFT($B$10,6)&amp;"."&amp;Y15,$B$12&amp;"."&amp;Y14))</f>
        <v>2020.DEC</v>
      </c>
      <c r="Z16" s="60" t="str">
        <f>IF($D$10="FY",LEFT($B$10,6)&amp;"."&amp;Z15,$B$12&amp;"."&amp;Z14)</f>
        <v>2020.TOTAL</v>
      </c>
      <c r="AA16" s="64"/>
      <c r="AB16" s="64"/>
      <c r="AC16" s="60" t="str">
        <f>IF(SetUp!$O$1=TRUE,SetUp!$Q$6,SetUp!$G$7)</f>
        <v>2020.TOTAL</v>
      </c>
      <c r="AD16" s="64"/>
      <c r="AE16" s="64"/>
      <c r="AF16" s="60" t="str">
        <f>IF(_epmOfflineCondition_,"2019.TOTAL",IF(SetUp!$O$1=TRUE,_xll.EVTIM($B$1,AC16,-1,"YEAR"),SetUp!$J$7))</f>
        <v>2019.TOTAL</v>
      </c>
      <c r="AG16" s="64"/>
      <c r="AH16" s="64"/>
      <c r="AI16" s="11"/>
      <c r="AJ16" s="11"/>
      <c r="AK16" s="11"/>
      <c r="AL16" s="11"/>
      <c r="AM16" s="11"/>
      <c r="AN16" s="11"/>
      <c r="AO16" s="11"/>
    </row>
    <row r="17" spans="1:41" hidden="1" outlineLevel="1" x14ac:dyDescent="0.35">
      <c r="A17" s="65" t="s">
        <v>2</v>
      </c>
      <c r="B17" s="66" t="str">
        <f>IF(_epmOfflineCondition_,"'Summary'!$B$2:$B$10",_xll.EVRNG($B$2:$B$10))</f>
        <v>'Summary'!$B$2:$B$10</v>
      </c>
      <c r="C17" s="11"/>
      <c r="D17" s="11"/>
      <c r="E17" s="11"/>
      <c r="F17" s="11"/>
      <c r="G17" s="11"/>
      <c r="H17" s="11"/>
      <c r="I17" s="59"/>
      <c r="J17" s="59"/>
      <c r="K17" s="11"/>
      <c r="L17" s="59"/>
      <c r="M17" s="11" t="s">
        <v>19</v>
      </c>
      <c r="N17" s="60" t="str">
        <f>IF(_epmOfflineCondition_,"ACTUAL_CON",IF($L$11="Y",N11,IF(N13&lt;$E$4,_xll.EVPRO($B$1,$B$4,"COMPARISON"),$B$4)))</f>
        <v>ACTUAL_CON</v>
      </c>
      <c r="O17" s="60" t="str">
        <f>IF(_epmOfflineCondition_,"ACTUAL_CON",IF($L$11="y",O11,IF(O13&lt;$E$4,_xll.EVPRO($B$1,$B$4,"COMPARISON"),$B$4)))</f>
        <v>ACTUAL_CON</v>
      </c>
      <c r="P17" s="60" t="str">
        <f>IF(_epmOfflineCondition_,"ACTUAL_CON",IF($L$11="y",P11,IF(P13&lt;$E$4,_xll.EVPRO($B$1,$B$4,"COMPARISON"),$B$4)))</f>
        <v>ACTUAL_CON</v>
      </c>
      <c r="Q17" s="60" t="str">
        <f>IF(_epmOfflineCondition_,"ACTUAL_CON",IF($L$11="y",Q11,IF(Q13&lt;$E$4,_xll.EVPRO($B$1,$B$4,"COMPARISON"),$B$4)))</f>
        <v>ACTUAL_CON</v>
      </c>
      <c r="R17" s="60" t="str">
        <f>IF(_epmOfflineCondition_,"ACTUAL_CON",IF($L$11="y",R11,IF(R13&lt;$E$4,_xll.EVPRO($B$1,$B$4,"COMPARISON"),$B$4)))</f>
        <v>ACTUAL_CON</v>
      </c>
      <c r="S17" s="60" t="str">
        <f>IF(_epmOfflineCondition_,"ACTUAL_CON",IF($L$11="y",S11,IF(S13&lt;$E$4,_xll.EVPRO($B$1,$B$4,"COMPARISON"),$B$4)))</f>
        <v>ACTUAL_CON</v>
      </c>
      <c r="T17" s="60" t="str">
        <f>IF(_epmOfflineCondition_,"ACTUAL_CON",IF($L$11="y",T11,IF(T13&lt;$E$4,_xll.EVPRO($B$1,$B$4,"COMPARISON"),$B$4)))</f>
        <v>ACTUAL_CON</v>
      </c>
      <c r="U17" s="60" t="str">
        <f>IF(_epmOfflineCondition_,"ACTUAL_CON",IF($L$11="y",U11,IF(U13&lt;$E$4,_xll.EVPRO($B$1,$B$4,"COMPARISON"),$B$4)))</f>
        <v>ACTUAL_CON</v>
      </c>
      <c r="V17" s="60" t="str">
        <f>IF(_epmOfflineCondition_,"ACTUAL_CON",IF($L$11="y",V11,IF(V13&lt;$E$4,_xll.EVPRO($B$1,$B$4,"COMPARISON"),$B$4)))</f>
        <v>ACTUAL_CON</v>
      </c>
      <c r="W17" s="60" t="str">
        <f>IF(_epmOfflineCondition_,"ACTUAL_CON",IF($L$11="y",W11,IF(W13&lt;$E$4,_xll.EVPRO($B$1,$B$4,"COMPARISON"),$B$4)))</f>
        <v>ACTUAL_CON</v>
      </c>
      <c r="X17" s="60" t="str">
        <f>IF(_epmOfflineCondition_,"ACTUAL_CON",IF($L$11="y",X11,IF(X13&lt;$E$4,_xll.EVPRO($B$1,$B$4,"COMPARISON"),$B$4)))</f>
        <v>ACTUAL_CON</v>
      </c>
      <c r="Y17" s="60" t="str">
        <f>IF(_epmOfflineCondition_,"ACTUAL_CON",IF($L$11="y",Y11,IF(Y13&lt;$E$4,_xll.EVPRO($B$1,$B$4,"COMPARISON"),$B$4)))</f>
        <v>ACTUAL_CON</v>
      </c>
      <c r="Z17" s="60"/>
      <c r="AA17" s="64"/>
      <c r="AB17" s="64"/>
      <c r="AC17" s="60" t="str">
        <f>SetUp!$G$6</f>
        <v>BUDGET</v>
      </c>
      <c r="AD17" s="64"/>
      <c r="AE17" s="64"/>
      <c r="AF17" s="60" t="str">
        <f>SetUp!$J$6</f>
        <v>ACTUAL_CON</v>
      </c>
      <c r="AG17" s="64"/>
      <c r="AH17" s="64"/>
      <c r="AI17" s="11"/>
      <c r="AJ17" s="11"/>
      <c r="AK17" s="11"/>
      <c r="AL17" s="11"/>
      <c r="AM17" s="11"/>
      <c r="AN17" s="11"/>
      <c r="AO17" s="11"/>
    </row>
    <row r="18" spans="1:41" hidden="1" outlineLevel="1" x14ac:dyDescent="0.35">
      <c r="A18" s="65" t="s">
        <v>3</v>
      </c>
      <c r="B18" s="66" t="str">
        <f>IF(_epmOfflineCondition_,"'Summary'!$N$16:$AH$18",_xll.EVRNG(N16:AH18))</f>
        <v>'Summary'!$N$16:$AH$18</v>
      </c>
      <c r="C18" s="11"/>
      <c r="D18" s="11"/>
      <c r="E18" s="11"/>
      <c r="F18" s="11"/>
      <c r="G18" s="11"/>
      <c r="H18" s="11"/>
      <c r="I18" s="59"/>
      <c r="J18" s="59"/>
      <c r="K18" s="11"/>
      <c r="L18" s="59"/>
      <c r="M18" s="11" t="s">
        <v>601</v>
      </c>
      <c r="N18" s="64" t="s">
        <v>55</v>
      </c>
      <c r="O18" s="64" t="s">
        <v>55</v>
      </c>
      <c r="P18" s="64" t="s">
        <v>55</v>
      </c>
      <c r="Q18" s="64" t="s">
        <v>55</v>
      </c>
      <c r="R18" s="64" t="s">
        <v>55</v>
      </c>
      <c r="S18" s="64" t="s">
        <v>55</v>
      </c>
      <c r="T18" s="64" t="s">
        <v>55</v>
      </c>
      <c r="U18" s="64" t="s">
        <v>55</v>
      </c>
      <c r="V18" s="64" t="s">
        <v>55</v>
      </c>
      <c r="W18" s="64" t="s">
        <v>55</v>
      </c>
      <c r="X18" s="64" t="s">
        <v>55</v>
      </c>
      <c r="Y18" s="64" t="s">
        <v>55</v>
      </c>
      <c r="Z18" s="64"/>
      <c r="AA18" s="64"/>
      <c r="AB18" s="64"/>
      <c r="AC18" s="60" t="str">
        <f>IF(SetUp!$O$1=TRUE,"TRAILING12",IF(AC17="CURRENT","ROLLINGFORECAST","PERIODIC"))</f>
        <v>PERIODIC</v>
      </c>
      <c r="AD18" s="64"/>
      <c r="AE18" s="64"/>
      <c r="AF18" s="60" t="str">
        <f>IF(SetUp!$O$1=TRUE,"TRAILING12",IF(AF17="CURRENT","ROLLINGFORECAST","PERIODIC"))</f>
        <v>PERIODIC</v>
      </c>
      <c r="AG18" s="64"/>
      <c r="AH18" s="64"/>
      <c r="AI18" s="11"/>
      <c r="AJ18" s="11"/>
      <c r="AK18" s="11"/>
      <c r="AL18" s="11"/>
      <c r="AM18" s="11"/>
      <c r="AN18" s="11"/>
      <c r="AO18" s="11"/>
    </row>
    <row r="19" spans="1:41" hidden="1" outlineLevel="1" x14ac:dyDescent="0.35">
      <c r="A19" s="65" t="s">
        <v>4</v>
      </c>
      <c r="B19" s="66" t="str">
        <f>IF(_epmOfflineCondition_,"'Summary'!$G$33:$H$88",_xll.EVRNG(G33:H88))</f>
        <v>'Summary'!$G$33:$H$88</v>
      </c>
      <c r="C19" s="11"/>
      <c r="D19" s="11"/>
      <c r="E19" s="11"/>
      <c r="F19" s="11"/>
      <c r="G19" s="67" t="s">
        <v>499</v>
      </c>
      <c r="H19" s="67">
        <v>400000</v>
      </c>
      <c r="I19" s="68"/>
      <c r="J19" s="68"/>
      <c r="K19" s="67"/>
      <c r="L19" s="68"/>
      <c r="M19" s="67" t="str">
        <f>IF(_epmOfflineCondition_,"Total Revenue",_xll.EVDES(H19))</f>
        <v>Total Revenue</v>
      </c>
      <c r="N19" s="69">
        <f>IF(_epmOfflineCondition_,1402767.85,_xll.EVGTS($B$1,1,$B$3,$B$5,$B$7,$B$9,N$16,N$17,N$18,$G$19,$H$19))</f>
        <v>1402767.85</v>
      </c>
      <c r="O19" s="69">
        <f>IF(_epmOfflineCondition_,1432947.85,_xll.EVGTS($B$1,1,$B$3,$B$5,$B$7,$B$9,O$16,O$17,O$18,$G$19,$H$19))</f>
        <v>1432947.85</v>
      </c>
      <c r="P19" s="69">
        <f>IF(_epmOfflineCondition_,524910.65,_xll.EVGTS($B$1,1,$B$3,$B$5,$B$7,$B$9,P$16,P$17,P$18,$G$19,$H$19))</f>
        <v>524910.65</v>
      </c>
      <c r="Q19" s="69">
        <f>IF(_epmOfflineCondition_,-4075.52,_xll.EVGTS($B$1,1,$B$3,$B$5,$B$7,$B$9,Q$16,Q$17,Q$18,$G$19,$H$19))</f>
        <v>-4075.52</v>
      </c>
      <c r="R19" s="69">
        <f>IF(_epmOfflineCondition_,-25541.39,_xll.EVGTS($B$1,1,$B$3,$B$5,$B$7,$B$9,R$16,R$17,R$18,$G$19,$H$19))</f>
        <v>-25541.39</v>
      </c>
      <c r="S19" s="69">
        <f>IF(_epmOfflineCondition_,101426.34,_xll.EVGTS($B$1,1,$B$3,$B$5,$B$7,$B$9,S$16,S$17,S$18,$G$19,$H$19))</f>
        <v>101426.34</v>
      </c>
      <c r="T19" s="69">
        <f>IF(_epmOfflineCondition_,87019.91,_xll.EVGTS($B$1,1,$B$3,$B$5,$B$7,$B$9,T$16,T$17,T$18,$G$19,$H$19))</f>
        <v>87019.91</v>
      </c>
      <c r="U19" s="69">
        <f>IF(_epmOfflineCondition_,150728.28,_xll.EVGTS($B$1,1,$B$3,$B$5,$B$7,$B$9,U$16,U$17,U$18,$G$19,$H$19))</f>
        <v>150728.28</v>
      </c>
      <c r="V19" s="69">
        <f>IF(_epmOfflineCondition_,271204.92,_xll.EVGTS($B$1,1,$B$3,$B$5,$B$7,$B$9,V$16,V$17,V$18,$G$19,$H$19))</f>
        <v>271204.92</v>
      </c>
      <c r="W19" s="69">
        <f>IF(_epmOfflineCondition_,335346.22,_xll.EVGTS($B$1,1,$B$3,$B$5,$B$7,$B$9,W$16,W$17,W$18,$G$19,$H$19))</f>
        <v>335346.21999999997</v>
      </c>
      <c r="X19" s="69">
        <f>IF(_epmOfflineCondition_,335793.25,_xll.EVGTS($B$1,1,$B$3,$B$5,$B$7,$B$9,X$16,X$17,X$18,$G$19,$H$19))</f>
        <v>335793.25</v>
      </c>
      <c r="Y19" s="69">
        <f>IF(_epmOfflineCondition_,600817.11,_xll.EVGTS($B$1,1,$B$3,$B$5,$B$7,$B$9,Y$16,Y$17,Y$18,$G$19,$H$19))</f>
        <v>600817.11</v>
      </c>
      <c r="Z19" s="69">
        <f>SUM(N19:Y19)</f>
        <v>5213345.47</v>
      </c>
      <c r="AA19" s="67"/>
      <c r="AB19" s="67"/>
      <c r="AC19" s="69">
        <f>IF(_epmOfflineCondition_,12971751.078574,_xll.EVGTS($B$1,1,$B$3,$B$5,$B$7,$B$9,AC$16,AC$17,AC$18,$G$19,$H$19))</f>
        <v>12971751.078574</v>
      </c>
      <c r="AD19" s="67"/>
      <c r="AE19" s="67"/>
      <c r="AF19" s="69">
        <f>IF(_epmOfflineCondition_,8385989.81,_xll.EVGTS($B$1,1,$B$3,$B$5,$B$7,$B$9,AF$16,AF$17,AF$18,$G$19,$H$19))</f>
        <v>8385989.8099999996</v>
      </c>
      <c r="AG19" s="67"/>
      <c r="AH19" s="67"/>
      <c r="AI19" s="11"/>
      <c r="AJ19" s="11"/>
      <c r="AK19" s="11"/>
      <c r="AL19" s="11"/>
      <c r="AM19" s="11"/>
      <c r="AN19" s="11"/>
      <c r="AO19" s="11"/>
    </row>
    <row r="20" spans="1:41" hidden="1" outlineLevel="1" x14ac:dyDescent="0.35">
      <c r="A20" s="65" t="s">
        <v>5</v>
      </c>
      <c r="B20" s="66"/>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IF(_epmOfflineCondition_,"'Summary'!$A$58:$B$79",_xll.EVRNG($A$58:$B$79))</f>
        <v>'Summary'!$A$58:$B$79</v>
      </c>
      <c r="C23" s="11"/>
      <c r="D23" s="11"/>
      <c r="E23" s="11"/>
      <c r="F23" s="11"/>
      <c r="G23" s="11"/>
      <c r="H23" s="11"/>
      <c r="I23" s="59"/>
      <c r="J23" s="59"/>
      <c r="K23" s="6"/>
      <c r="L23" s="59"/>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70" t="str">
        <f>IF(_epmOfflineCondition_,"Anglers Boutique Resorts LLC",IF(_xll.EVDES(B3,$B$1)="#NODATA","",_xll.EVDES(B3,$B$1)))</f>
        <v>Anglers Boutique Resorts LLC</v>
      </c>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71" t="str">
        <f>IF(_epmOfflineCondition_,"Consolidated Hotel &amp; F&amp;B Departments",IF(_xll.EVDES(B6,$B$1)="#NODATA","",_xll.EVDES(B6,$B$1)))</f>
        <v>Consolidated Hotel &amp; F&amp;B Departments</v>
      </c>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72" t="str">
        <f>IF(_epmOfflineCondition_,"For the Period ended 2020 TOTAL","For the Period ended"&amp;" "&amp;IF(_xll.EVDES($B$10,$B$1)="#NODATA","",_xll.EVDES($B$10,$B$1)))</f>
        <v>For the Period ended 2020 TOTAL</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293</v>
      </c>
      <c r="C29" s="11"/>
      <c r="D29" s="11"/>
      <c r="E29" s="11"/>
      <c r="F29" s="11"/>
      <c r="G29" s="11"/>
      <c r="H29" s="11"/>
      <c r="I29" s="59"/>
      <c r="J29" s="59"/>
      <c r="K29" s="11"/>
      <c r="L29" s="59"/>
      <c r="M29" s="72" t="str">
        <f>IF(_epmOfflineCondition_,"Local Currency",_xll.EVDES(B9,B1))</f>
        <v>Local Currency</v>
      </c>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11"/>
      <c r="N30" s="73"/>
      <c r="O30" s="74"/>
      <c r="P30" s="74"/>
      <c r="Q30" s="74"/>
      <c r="R30" s="74"/>
      <c r="S30" s="74"/>
      <c r="T30" s="74"/>
      <c r="U30" s="74"/>
      <c r="V30" s="74"/>
      <c r="W30" s="74"/>
      <c r="X30" s="74"/>
      <c r="Y30" s="74"/>
      <c r="Z30" s="74"/>
      <c r="AA30" s="75"/>
      <c r="AB30" s="11"/>
      <c r="AC30" s="74"/>
      <c r="AD30" s="74"/>
      <c r="AE30" s="74"/>
      <c r="AF30" s="74"/>
      <c r="AG30" s="74"/>
      <c r="AH30" s="74"/>
      <c r="AI30" s="73"/>
      <c r="AJ30" s="74"/>
      <c r="AK30" s="74"/>
      <c r="AL30" s="75"/>
      <c r="AM30" s="11"/>
      <c r="AN30" s="11"/>
      <c r="AO30" s="11"/>
    </row>
    <row r="31" spans="1:41" x14ac:dyDescent="0.35">
      <c r="A31" s="65" t="s">
        <v>15</v>
      </c>
      <c r="B31" s="66"/>
      <c r="C31" s="11"/>
      <c r="D31" s="11"/>
      <c r="E31" s="11"/>
      <c r="F31" s="11"/>
      <c r="G31" s="76"/>
      <c r="H31" s="11"/>
      <c r="I31" s="59"/>
      <c r="J31" s="59"/>
      <c r="K31" s="11"/>
      <c r="L31" s="59"/>
      <c r="M31" s="11"/>
      <c r="N31" s="77" t="str">
        <f>IF(_epmOfflineCondition_,"JAN",IF($D$10="FY",_xll.EVPRO($B$1,N$16,"PERIOD")&amp;" "&amp;LEFT(N$13,4),_xll.EVPRO($B$1,N$16,"PERIOD")))</f>
        <v>JAN</v>
      </c>
      <c r="O31" s="77" t="str">
        <f>IF(_epmOfflineCondition_,"FEB",IF($D$10="FY",_xll.EVPRO($B$1,O$16,"PERIOD")&amp;" "&amp;LEFT(O$13,4),_xll.EVPRO($B$1,O$16,"PERIOD")))</f>
        <v>FEB</v>
      </c>
      <c r="P31" s="77" t="str">
        <f>IF(_epmOfflineCondition_,"MAR",IF($D$10="FY",_xll.EVPRO($B$1,P$16,"PERIOD")&amp;" "&amp;LEFT(P$13,4),_xll.EVPRO($B$1,P$16,"PERIOD")))</f>
        <v>MAR</v>
      </c>
      <c r="Q31" s="77" t="str">
        <f>IF(_epmOfflineCondition_,"APR",IF($D$10="FY",_xll.EVPRO($B$1,Q$16,"PERIOD")&amp;" "&amp;LEFT(Q$13,4),_xll.EVPRO($B$1,Q$16,"PERIOD")))</f>
        <v>APR</v>
      </c>
      <c r="R31" s="77" t="str">
        <f>IF(_epmOfflineCondition_,"MAY",IF($D$10="FY",_xll.EVPRO($B$1,R$16,"PERIOD")&amp;" "&amp;LEFT(R$13,4),_xll.EVPRO($B$1,R$16,"PERIOD")))</f>
        <v>MAY</v>
      </c>
      <c r="S31" s="77" t="str">
        <f>IF(_epmOfflineCondition_,"JUN",IF($D$10="FY",_xll.EVPRO($B$1,S$16,"PERIOD")&amp;" "&amp;LEFT(S$13,4),_xll.EVPRO($B$1,S$16,"PERIOD")))</f>
        <v>JUN</v>
      </c>
      <c r="T31" s="77" t="str">
        <f>IF(_epmOfflineCondition_,"JUL",IF($D$10="FY",_xll.EVPRO($B$1,T$16,"PERIOD")&amp;" "&amp;LEFT(T$13,4),_xll.EVPRO($B$1,T$16,"PERIOD")))</f>
        <v>JUL</v>
      </c>
      <c r="U31" s="77" t="str">
        <f>IF(_epmOfflineCondition_,"AUG",IF($D$10="FY",_xll.EVPRO($B$1,U$16,"PERIOD")&amp;" "&amp;LEFT(U$13,4),_xll.EVPRO($B$1,U$16,"PERIOD")))</f>
        <v>AUG</v>
      </c>
      <c r="V31" s="77" t="str">
        <f>IF(_epmOfflineCondition_,"SEP",IF($D$10="FY",_xll.EVPRO($B$1,V$16,"PERIOD")&amp;" "&amp;LEFT(V$13,4),_xll.EVPRO($B$1,V$16,"PERIOD")))</f>
        <v>SEP</v>
      </c>
      <c r="W31" s="77" t="str">
        <f>IF(_epmOfflineCondition_,"OCT",IF($D$10="FY",_xll.EVPRO($B$1,W$16,"PERIOD")&amp;" "&amp;LEFT(W$13,4),_xll.EVPRO($B$1,W$16,"PERIOD")))</f>
        <v>OCT</v>
      </c>
      <c r="X31" s="77" t="str">
        <f>IF(_epmOfflineCondition_,"NOV",IF($D$10="FY",_xll.EVPRO($B$1,X$16,"PERIOD")&amp;" "&amp;LEFT(X$13,4),_xll.EVPRO($B$1,X$16,"PERIOD")))</f>
        <v>NOV</v>
      </c>
      <c r="Y31" s="77" t="str">
        <f>IF(_epmOfflineCondition_,"DEC",IF($D$10="FY",_xll.EVPRO($B$1,Y$16,"PERIOD")&amp;" "&amp;LEFT(Y$13,4),_xll.EVPRO($B$1,Y$16,"PERIOD")))</f>
        <v>DEC</v>
      </c>
      <c r="Z31" s="77" t="str">
        <f>Z14</f>
        <v>TOTAL</v>
      </c>
      <c r="AA31" s="78"/>
      <c r="AB31" s="11"/>
      <c r="AC31" s="633" t="str">
        <f>IF(_epmOfflineCondition_,"2020 TOTAL",IF(_xll.EVDES(AC16,$B$1)="#NODATA","",_xll.EVDES(AC16,$B$1)))</f>
        <v>2020 TOTAL</v>
      </c>
      <c r="AD31" s="634"/>
      <c r="AE31" s="77" t="s">
        <v>631</v>
      </c>
      <c r="AF31" s="633" t="str">
        <f>IF(_epmOfflineCondition_,"2019 TOTAL",IF(_xll.EVDES(AF16,$B$1)="#NODATA","",_xll.EVDES(AF16,$B$1)))</f>
        <v>2019 TOTAL</v>
      </c>
      <c r="AG31" s="634"/>
      <c r="AH31" s="77" t="s">
        <v>631</v>
      </c>
      <c r="AI31" s="79" t="str">
        <f>IF(_epmOfflineCondition_,"2020 vs 2020",_xll.EVPRO($B$1,Z$16,"YEAR")&amp;" vs "&amp;_xll.EVPRO($B$1,AC$16,"YEAR"))</f>
        <v>2020 vs 2020</v>
      </c>
      <c r="AJ31" s="80"/>
      <c r="AK31" s="79" t="str">
        <f>IF(_epmOfflineCondition_,"2020 vs 2019",_xll.EVPRO($B$1,Z$16,"YEAR")&amp;" vs "&amp;_xll.EVPRO($B$1,AF$16,"YEAR"))</f>
        <v>2020 vs 2019</v>
      </c>
      <c r="AL31" s="80"/>
      <c r="AM31" s="11"/>
      <c r="AN31" s="11"/>
      <c r="AO31" s="11"/>
    </row>
    <row r="32" spans="1:41" s="8" customFormat="1" ht="30" customHeight="1" x14ac:dyDescent="0.35">
      <c r="A32" s="81" t="s">
        <v>16</v>
      </c>
      <c r="B32" s="82"/>
      <c r="C32" s="83"/>
      <c r="D32" s="83"/>
      <c r="E32" s="83"/>
      <c r="F32" s="83"/>
      <c r="G32" s="83"/>
      <c r="H32" s="84"/>
      <c r="I32" s="85"/>
      <c r="J32" s="85"/>
      <c r="K32" s="83"/>
      <c r="L32" s="85"/>
      <c r="M32" s="86"/>
      <c r="N32" s="87" t="str">
        <f>IF(_epmOfflineCondition_,"Actual",IF(_xll.EVDES(N17,$B$1)="#NODATA","",_xll.EVDES(N17,$B$1)))</f>
        <v>Actual</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0"/>
      <c r="AA32" s="80" t="s">
        <v>58</v>
      </c>
      <c r="AB32" s="83"/>
      <c r="AC32" s="87" t="str">
        <f>IF(_epmOfflineCondition_,"Budget",IF(_xll.EVDES(AC17,$B$1)="#NODATA","",_xll.EVDES(AC17,$B$1)))</f>
        <v>Budget</v>
      </c>
      <c r="AD32" s="80" t="s">
        <v>58</v>
      </c>
      <c r="AE32" s="87" t="s">
        <v>57</v>
      </c>
      <c r="AF32" s="87" t="str">
        <f>IF(_epmOfflineCondition_,"Actual",IF(_xll.EVDES(AF17,$B$1)="#NODATA","",_xll.EVDES(AF17,$B$1)))</f>
        <v>Actual</v>
      </c>
      <c r="AG32" s="80" t="s">
        <v>58</v>
      </c>
      <c r="AH32" s="87" t="s">
        <v>57</v>
      </c>
      <c r="AI32" s="80" t="s">
        <v>750</v>
      </c>
      <c r="AJ32" s="80"/>
      <c r="AK32" s="80" t="s">
        <v>750</v>
      </c>
      <c r="AL32" s="80"/>
      <c r="AM32" s="83"/>
      <c r="AN32" s="83"/>
      <c r="AO32" s="83"/>
    </row>
    <row r="33" spans="1:41" x14ac:dyDescent="0.35">
      <c r="A33" s="65" t="s">
        <v>17</v>
      </c>
      <c r="B33" s="66"/>
      <c r="C33" s="11"/>
      <c r="D33" s="11"/>
      <c r="E33" s="11"/>
      <c r="F33" s="11"/>
      <c r="G33" s="88" t="s">
        <v>60</v>
      </c>
      <c r="H33" s="88" t="s">
        <v>211</v>
      </c>
      <c r="I33" s="89" t="str">
        <f>IF(_epmOfflineCondition_,"N",_xll.EVPRO($B$1,$H33,"STYLE"))</f>
        <v>N</v>
      </c>
      <c r="J33" s="89" t="str">
        <f>IF(_epmOfflineCondition_,"N",_xll.EVPRO($B$1,$H33,"CALC"))</f>
        <v>N</v>
      </c>
      <c r="K33" s="11"/>
      <c r="L33" s="59"/>
      <c r="M33" s="90" t="str">
        <f>IF(_epmOfflineCondition_,"Available rooms",IF(_xll.EVDES(H33,$B$1)="#NODATA","",_xll.EVDES(H33,$B$1)))</f>
        <v>Available rooms</v>
      </c>
      <c r="N33" s="143">
        <v>4092</v>
      </c>
      <c r="O33" s="143">
        <v>3828</v>
      </c>
      <c r="P33" s="143">
        <v>4092</v>
      </c>
      <c r="Q33" s="143">
        <v>3960</v>
      </c>
      <c r="R33" s="143">
        <v>4092</v>
      </c>
      <c r="S33" s="143">
        <v>3960</v>
      </c>
      <c r="T33" s="143">
        <v>4092</v>
      </c>
      <c r="U33" s="143">
        <v>4092</v>
      </c>
      <c r="V33" s="143">
        <v>3960</v>
      </c>
      <c r="W33" s="143">
        <v>4092</v>
      </c>
      <c r="X33" s="143">
        <v>3960</v>
      </c>
      <c r="Y33" s="143">
        <v>4092</v>
      </c>
      <c r="Z33" s="143">
        <f>SUM(N33:Y33)</f>
        <v>48312</v>
      </c>
      <c r="AA33" s="146"/>
      <c r="AB33" s="140"/>
      <c r="AC33" s="143">
        <v>48312</v>
      </c>
      <c r="AD33" s="146"/>
      <c r="AE33" s="145">
        <f>IF(AND($Z33="",AC33=""),"",$Z33-AC33)</f>
        <v>0</v>
      </c>
      <c r="AF33" s="143">
        <v>48180</v>
      </c>
      <c r="AG33" s="146"/>
      <c r="AH33" s="145">
        <f>IF(AND($Z33="",AF33=""),"",$Z33-AF33)</f>
        <v>132</v>
      </c>
      <c r="AI33" s="93"/>
      <c r="AJ33" s="94"/>
      <c r="AK33" s="93"/>
      <c r="AL33" s="94"/>
      <c r="AM33" s="11"/>
      <c r="AN33" s="11"/>
      <c r="AO33" s="11"/>
    </row>
    <row r="34" spans="1:41" x14ac:dyDescent="0.35">
      <c r="A34" s="11"/>
      <c r="B34" s="11"/>
      <c r="C34" s="11"/>
      <c r="D34" s="11"/>
      <c r="E34" s="11"/>
      <c r="F34" s="11"/>
      <c r="G34" s="88" t="s">
        <v>60</v>
      </c>
      <c r="H34" s="88" t="s">
        <v>257</v>
      </c>
      <c r="I34" s="89" t="str">
        <f>IF(_epmOfflineCondition_,"T2",_xll.EVPRO($B$1,$H34,"STYLE"))</f>
        <v>T2</v>
      </c>
      <c r="J34" s="89" t="str">
        <f>IF(_epmOfflineCondition_,"Y",_xll.EVPRO($B$1,$H34,"CALC"))</f>
        <v>Y</v>
      </c>
      <c r="K34" s="11"/>
      <c r="L34" s="59"/>
      <c r="M34" s="90" t="str">
        <f>IF(_epmOfflineCondition_,"Total Rooms Sold",IF(_xll.EVDES(H34,$B$1)="#NODATA","",_xll.EVDES(H34,$B$1)))</f>
        <v>Total Rooms Sold</v>
      </c>
      <c r="N34" s="143">
        <v>3561</v>
      </c>
      <c r="O34" s="143">
        <v>3350</v>
      </c>
      <c r="P34" s="143">
        <v>1624</v>
      </c>
      <c r="Q34" s="143"/>
      <c r="R34" s="143"/>
      <c r="S34" s="143">
        <v>718</v>
      </c>
      <c r="T34" s="143">
        <v>536</v>
      </c>
      <c r="U34" s="143">
        <v>1045</v>
      </c>
      <c r="V34" s="143">
        <v>1878</v>
      </c>
      <c r="W34" s="143">
        <v>2165</v>
      </c>
      <c r="X34" s="143">
        <v>2053</v>
      </c>
      <c r="Y34" s="143">
        <v>2933</v>
      </c>
      <c r="Z34" s="143">
        <f>SUM(N34:Y34)</f>
        <v>19863</v>
      </c>
      <c r="AA34" s="146"/>
      <c r="AB34" s="140"/>
      <c r="AC34" s="143">
        <v>37710</v>
      </c>
      <c r="AD34" s="146"/>
      <c r="AE34" s="145">
        <f>IF(AND($Z34="",AC34=""),"",$Z34-AC34)</f>
        <v>-17847</v>
      </c>
      <c r="AF34" s="143">
        <v>32564</v>
      </c>
      <c r="AG34" s="146"/>
      <c r="AH34" s="145">
        <f>IF(AND($Z34="",AF34=""),"",$Z34-AF34)</f>
        <v>-12701</v>
      </c>
      <c r="AI34" s="95">
        <f>IFERROR((Z34-AC34)/AC34,0)</f>
        <v>-0.47326968973747019</v>
      </c>
      <c r="AJ34" s="96" t="s">
        <v>753</v>
      </c>
      <c r="AK34" s="95">
        <f>IFERROR((Z34-AF34)/AF34,0)</f>
        <v>-0.39003193710846334</v>
      </c>
      <c r="AL34" s="96" t="s">
        <v>753</v>
      </c>
      <c r="AM34" s="11"/>
      <c r="AN34" s="11"/>
      <c r="AO34" s="11"/>
    </row>
    <row r="35" spans="1:41" x14ac:dyDescent="0.35">
      <c r="A35" s="97" t="s">
        <v>92</v>
      </c>
      <c r="B35" s="98" t="s">
        <v>93</v>
      </c>
      <c r="C35" s="98" t="s">
        <v>94</v>
      </c>
      <c r="D35" s="98" t="s">
        <v>95</v>
      </c>
      <c r="E35" s="98" t="s">
        <v>96</v>
      </c>
      <c r="F35" s="99" t="s">
        <v>97</v>
      </c>
      <c r="G35" s="88" t="s">
        <v>60</v>
      </c>
      <c r="H35" s="88" t="s">
        <v>495</v>
      </c>
      <c r="I35" s="89" t="str">
        <f>IF(_epmOfflineCondition_,"T2",_xll.EVPRO($B$1,$H35,"STYLE"))</f>
        <v>T2</v>
      </c>
      <c r="J35" s="89" t="str">
        <f>IF(_epmOfflineCondition_,"Y",_xll.EVPRO($B$1,$H35,"CALC"))</f>
        <v>Y</v>
      </c>
      <c r="K35" s="11"/>
      <c r="L35" s="59"/>
      <c r="M35" s="90" t="str">
        <f>IF(_epmOfflineCondition_,"Total Occupancy",IF(_xll.EVDES(H35,$B$1)="#NODATA","",_xll.EVDES(H35,$B$1)))</f>
        <v>Total Occupancy</v>
      </c>
      <c r="N35" s="144">
        <v>0.87023460410557196</v>
      </c>
      <c r="O35" s="144">
        <v>0.87513061650992696</v>
      </c>
      <c r="P35" s="144">
        <v>0.39687194525904201</v>
      </c>
      <c r="Q35" s="144"/>
      <c r="R35" s="144"/>
      <c r="S35" s="144">
        <v>0.18131313131313101</v>
      </c>
      <c r="T35" s="144">
        <v>0.13098729227761499</v>
      </c>
      <c r="U35" s="144">
        <v>0.255376344086022</v>
      </c>
      <c r="V35" s="144">
        <v>0.47424242424242402</v>
      </c>
      <c r="W35" s="144">
        <v>0.52908113391984402</v>
      </c>
      <c r="X35" s="144">
        <v>0.51843434343434303</v>
      </c>
      <c r="Y35" s="144">
        <v>0.71676441837732197</v>
      </c>
      <c r="Z35" s="144">
        <f>IFERROR(Z34/Z33,"")</f>
        <v>0.41114008941877794</v>
      </c>
      <c r="AA35" s="146"/>
      <c r="AB35" s="140"/>
      <c r="AC35" s="144">
        <v>0.78055141579731702</v>
      </c>
      <c r="AD35" s="146"/>
      <c r="AE35" s="147">
        <f>IF(AND($Z35="",AC35=""),"",$Z35-AC35)</f>
        <v>-0.36941132637853907</v>
      </c>
      <c r="AF35" s="144">
        <v>0.67588210875882104</v>
      </c>
      <c r="AG35" s="146"/>
      <c r="AH35" s="147">
        <f>IF(AND($Z35="",AF35=""),"",$Z35-AF35)</f>
        <v>-0.2647420193400431</v>
      </c>
      <c r="AI35" s="95">
        <f>IFERROR((Z35-AC35)/AC35,0)</f>
        <v>-0.47326968973746986</v>
      </c>
      <c r="AJ35" s="96" t="s">
        <v>753</v>
      </c>
      <c r="AK35" s="95">
        <f>IFERROR((Z35-AF35)/AF35,0)</f>
        <v>-0.39169851651527077</v>
      </c>
      <c r="AL35" s="96" t="s">
        <v>753</v>
      </c>
      <c r="AM35" s="11"/>
      <c r="AN35" s="101"/>
      <c r="AO35" s="11"/>
    </row>
    <row r="36" spans="1:41" x14ac:dyDescent="0.35">
      <c r="A36" s="11"/>
      <c r="B36" s="11"/>
      <c r="C36" s="11"/>
      <c r="D36" s="11"/>
      <c r="E36" s="11"/>
      <c r="F36" s="11"/>
      <c r="G36" s="88" t="s">
        <v>60</v>
      </c>
      <c r="H36" s="88" t="s">
        <v>208</v>
      </c>
      <c r="I36" s="89" t="str">
        <f>IF(_epmOfflineCondition_,"T2",_xll.EVPRO($B$1,$H36,"STYLE"))</f>
        <v>T2</v>
      </c>
      <c r="J36" s="89" t="str">
        <f>IF(_epmOfflineCondition_,"Y",_xll.EVPRO($B$1,$H36,"CALC"))</f>
        <v>Y</v>
      </c>
      <c r="K36" s="11"/>
      <c r="L36" s="59"/>
      <c r="M36" s="90" t="str">
        <f>IF(_epmOfflineCondition_,"Average Daily Rate",IF(_xll.EVDES(H36,$B$1)="#NODATA","",_xll.EVDES(H36,$B$1)))</f>
        <v>Average Daily Rate</v>
      </c>
      <c r="N36" s="148">
        <v>311.19670317326597</v>
      </c>
      <c r="O36" s="148">
        <v>334.91785970149198</v>
      </c>
      <c r="P36" s="148">
        <v>223.30933497536901</v>
      </c>
      <c r="Q36" s="148"/>
      <c r="R36" s="148"/>
      <c r="S36" s="148">
        <v>125.160710306407</v>
      </c>
      <c r="T36" s="148">
        <v>137.339906716418</v>
      </c>
      <c r="U36" s="148">
        <v>110.253244019139</v>
      </c>
      <c r="V36" s="148">
        <v>112.309137380192</v>
      </c>
      <c r="W36" s="148">
        <v>119.25286836027701</v>
      </c>
      <c r="X36" s="148">
        <v>126.34204091573299</v>
      </c>
      <c r="Y36" s="148">
        <v>165.208929423798</v>
      </c>
      <c r="Z36" s="148">
        <f>IFERROR(Z$39/Z34,"")</f>
        <v>204.82499169309773</v>
      </c>
      <c r="AA36" s="146"/>
      <c r="AB36" s="140"/>
      <c r="AC36" s="148">
        <v>223.464266242376</v>
      </c>
      <c r="AD36" s="146"/>
      <c r="AE36" s="149">
        <f>IF(AND($Z36="",AC36=""),"",$Z36-AC36)</f>
        <v>-18.639274549278269</v>
      </c>
      <c r="AF36" s="148">
        <v>194.69182348605801</v>
      </c>
      <c r="AG36" s="146"/>
      <c r="AH36" s="150">
        <f>IF(AND($Z36="",AF36=""),"",$Z36-AF36)</f>
        <v>10.133168207039716</v>
      </c>
      <c r="AI36" s="95">
        <f>IFERROR((Z36-AC36)/AC36,0)</f>
        <v>-8.341053745506477E-2</v>
      </c>
      <c r="AJ36" s="96" t="s">
        <v>753</v>
      </c>
      <c r="AK36" s="95">
        <f>IFERROR((Z36-AF36)/AF36,0)</f>
        <v>5.2047220194459572E-2</v>
      </c>
      <c r="AL36" s="96" t="s">
        <v>753</v>
      </c>
      <c r="AM36" s="11"/>
      <c r="AN36" s="103"/>
      <c r="AO36" s="11"/>
    </row>
    <row r="37" spans="1:41" x14ac:dyDescent="0.35">
      <c r="A37" s="11" t="s">
        <v>105</v>
      </c>
      <c r="B37" s="11"/>
      <c r="C37" s="104" t="s">
        <v>101</v>
      </c>
      <c r="D37" s="11" t="s">
        <v>106</v>
      </c>
      <c r="E37" s="11"/>
      <c r="F37" s="11" t="s">
        <v>98</v>
      </c>
      <c r="G37" s="88" t="s">
        <v>60</v>
      </c>
      <c r="H37" s="88" t="s">
        <v>582</v>
      </c>
      <c r="I37" s="89" t="str">
        <f>IF(_epmOfflineCondition_,"N",_xll.EVPRO($B$1,$H37,"STYLE"))</f>
        <v>N</v>
      </c>
      <c r="J37" s="89" t="str">
        <f>IF(_epmOfflineCondition_,"Y",_xll.EVPRO($B$1,$H37,"CALC"))</f>
        <v>Y</v>
      </c>
      <c r="K37" s="11"/>
      <c r="L37" s="59"/>
      <c r="M37" s="90" t="str">
        <f>IF(_epmOfflineCondition_,"Revenue Per Available Room",IF(_xll.EVDES(H37,$B$1)="#NODATA","",_xll.EVDES(H37,$B$1)))</f>
        <v>Revenue Per Available Room</v>
      </c>
      <c r="N37" s="148">
        <v>270.81413978494601</v>
      </c>
      <c r="O37" s="148">
        <v>293.09687304075197</v>
      </c>
      <c r="P37" s="148">
        <v>88.625210166177894</v>
      </c>
      <c r="Q37" s="148">
        <v>-1.5800707070707101</v>
      </c>
      <c r="R37" s="148">
        <v>-2.4037145650048899</v>
      </c>
      <c r="S37" s="148">
        <v>22.693280303030299</v>
      </c>
      <c r="T37" s="148">
        <v>17.989782502443799</v>
      </c>
      <c r="U37" s="148">
        <v>28.1560703812317</v>
      </c>
      <c r="V37" s="148">
        <v>53.261757575757599</v>
      </c>
      <c r="W37" s="148">
        <v>63.094442815249302</v>
      </c>
      <c r="X37" s="148">
        <v>65.500053030302993</v>
      </c>
      <c r="Y37" s="148">
        <v>118.41588220918899</v>
      </c>
      <c r="Z37" s="148">
        <f>IFERROR(Z$39/Z33,"")</f>
        <v>84.211765399900642</v>
      </c>
      <c r="AA37" s="146"/>
      <c r="AB37" s="140"/>
      <c r="AC37" s="148">
        <v>174.42534939559499</v>
      </c>
      <c r="AD37" s="146"/>
      <c r="AE37" s="149">
        <f>IF(AND($Z37="",AC37=""),"",$Z37-AC37)</f>
        <v>-90.21358399569435</v>
      </c>
      <c r="AF37" s="148">
        <v>131.58872021585699</v>
      </c>
      <c r="AG37" s="146"/>
      <c r="AH37" s="150">
        <f>IF(AND($Z37="",AF37=""),"",$Z37-AF37)</f>
        <v>-47.376954815956353</v>
      </c>
      <c r="AI37" s="95">
        <f>IFERROR((Z37-AC37)/AC37,0)</f>
        <v>-0.5172045480103401</v>
      </c>
      <c r="AJ37" s="96" t="s">
        <v>753</v>
      </c>
      <c r="AK37" s="95">
        <f>IFERROR((Z37-AF37)/AF37,0)</f>
        <v>-0.36003811525972446</v>
      </c>
      <c r="AL37" s="96" t="s">
        <v>753</v>
      </c>
      <c r="AM37" s="11"/>
      <c r="AN37" s="103"/>
      <c r="AO37" s="101"/>
    </row>
    <row r="38" spans="1:41" x14ac:dyDescent="0.35">
      <c r="A38" s="11" t="s">
        <v>102</v>
      </c>
      <c r="B38" s="11"/>
      <c r="C38" s="104" t="s">
        <v>101</v>
      </c>
      <c r="D38" s="11" t="s">
        <v>106</v>
      </c>
      <c r="E38" s="11"/>
      <c r="F38" s="11" t="s">
        <v>98</v>
      </c>
      <c r="G38" s="11"/>
      <c r="H38" s="11" t="s">
        <v>69</v>
      </c>
      <c r="I38" s="59" t="str">
        <f>IF(_epmOfflineCondition_,"B1",_xll.EVPRO($B$1,$H38,"STYLE"))</f>
        <v>B1</v>
      </c>
      <c r="J38" s="59" t="str">
        <f>IF(_epmOfflineCondition_,"Y",_xll.EVPRO($B$1,$H38,"CALC"))</f>
        <v>Y</v>
      </c>
      <c r="K38" s="11"/>
      <c r="L38" s="59"/>
      <c r="M38" s="105" t="str">
        <f>IF(_epmOfflineCondition_,"Revenues",IF(_xll.EVDES(H38,$B$1)="#NODATA","",_xll.EVDES(H38,$B$1)))</f>
        <v>Revenues</v>
      </c>
      <c r="N38" s="151"/>
      <c r="O38" s="152"/>
      <c r="P38" s="152"/>
      <c r="Q38" s="152"/>
      <c r="R38" s="152"/>
      <c r="S38" s="152"/>
      <c r="T38" s="152"/>
      <c r="U38" s="152"/>
      <c r="V38" s="152"/>
      <c r="W38" s="152"/>
      <c r="X38" s="152"/>
      <c r="Y38" s="152"/>
      <c r="Z38" s="152"/>
      <c r="AA38" s="153"/>
      <c r="AB38" s="140"/>
      <c r="AC38" s="151"/>
      <c r="AD38" s="152"/>
      <c r="AE38" s="153"/>
      <c r="AF38" s="151"/>
      <c r="AG38" s="152"/>
      <c r="AH38" s="153"/>
      <c r="AI38" s="11"/>
      <c r="AJ38" s="11"/>
      <c r="AK38" s="11"/>
      <c r="AL38" s="11"/>
      <c r="AM38" s="11"/>
      <c r="AN38" s="11"/>
      <c r="AO38" s="11"/>
    </row>
    <row r="39" spans="1:41" x14ac:dyDescent="0.35">
      <c r="A39" s="11" t="s">
        <v>108</v>
      </c>
      <c r="B39" s="11"/>
      <c r="C39" s="106" t="s">
        <v>101</v>
      </c>
      <c r="D39" s="11" t="s">
        <v>106</v>
      </c>
      <c r="E39" s="11"/>
      <c r="F39" s="11" t="s">
        <v>98</v>
      </c>
      <c r="G39" s="88" t="s">
        <v>60</v>
      </c>
      <c r="H39" s="88" t="s">
        <v>280</v>
      </c>
      <c r="I39" s="89" t="str">
        <f>IF(_epmOfflineCondition_,"T3",_xll.EVPRO($B$1,$H39,"STYLE"))</f>
        <v>T3</v>
      </c>
      <c r="J39" s="89" t="str">
        <f>IF(_epmOfflineCondition_,"Y",_xll.EVPRO($B$1,$H39,"CALC"))</f>
        <v>Y</v>
      </c>
      <c r="K39" s="107"/>
      <c r="L39" s="106"/>
      <c r="M39" s="90" t="str">
        <f>IF(_epmOfflineCondition_,"Rooms",IF(_xll.EVDES(G39,$B$1)="#NODATA","",_xll.EVDES(G39,$B$1)))</f>
        <v>Rooms</v>
      </c>
      <c r="N39" s="143">
        <v>1108171.46</v>
      </c>
      <c r="O39" s="143">
        <v>1121974.83</v>
      </c>
      <c r="P39" s="143">
        <v>362654.36</v>
      </c>
      <c r="Q39" s="143">
        <v>-6257.08</v>
      </c>
      <c r="R39" s="143">
        <v>-9836</v>
      </c>
      <c r="S39" s="143">
        <v>89865.39</v>
      </c>
      <c r="T39" s="143">
        <v>73614.19</v>
      </c>
      <c r="U39" s="143">
        <v>115214.64</v>
      </c>
      <c r="V39" s="143">
        <v>210916.56</v>
      </c>
      <c r="W39" s="143">
        <v>258182.46</v>
      </c>
      <c r="X39" s="143">
        <v>259380.21</v>
      </c>
      <c r="Y39" s="143">
        <v>484557.79</v>
      </c>
      <c r="Z39" s="143">
        <f>SUM(N39:Y39)</f>
        <v>4068438.81</v>
      </c>
      <c r="AA39" s="144">
        <f>IF(Z39=0,"",IFERROR(Z39/Z$19,""))</f>
        <v>0.78038925933676906</v>
      </c>
      <c r="AB39" s="140"/>
      <c r="AC39" s="143">
        <v>8426837.4800000004</v>
      </c>
      <c r="AD39" s="144">
        <f>IF(AC39=0,"",IFERROR(AC39/AC$19,""))</f>
        <v>0.64962990955931699</v>
      </c>
      <c r="AE39" s="145">
        <f>IF(AND($Z39="",AC39=""),"",$Z39-AC39)</f>
        <v>-4358398.67</v>
      </c>
      <c r="AF39" s="143">
        <v>6339944.54</v>
      </c>
      <c r="AG39" s="144">
        <f>IF(AF39=0,"",IFERROR(AF39/AF$19,""))</f>
        <v>0.75601624657829158</v>
      </c>
      <c r="AH39" s="145">
        <f>IF(AND($Z39="",AF39=""),"",$Z39-AF39)</f>
        <v>-2271505.73</v>
      </c>
      <c r="AI39" s="95">
        <f>IFERROR((Z39-AC39)/AC39,0)</f>
        <v>-0.51720454801034088</v>
      </c>
      <c r="AJ39" s="96" t="s">
        <v>753</v>
      </c>
      <c r="AK39" s="95">
        <f>IFERROR((Z39-AF39)/AF39,0)</f>
        <v>-0.35828479502756028</v>
      </c>
      <c r="AL39" s="96" t="s">
        <v>753</v>
      </c>
      <c r="AM39" s="11"/>
      <c r="AN39" s="108"/>
      <c r="AO39" s="11"/>
    </row>
    <row r="40" spans="1:41" x14ac:dyDescent="0.35">
      <c r="A40" s="11" t="s">
        <v>108</v>
      </c>
      <c r="B40" s="11"/>
      <c r="C40" s="109" t="s">
        <v>101</v>
      </c>
      <c r="D40" s="11" t="s">
        <v>107</v>
      </c>
      <c r="E40" s="11"/>
      <c r="F40" s="11" t="s">
        <v>99</v>
      </c>
      <c r="G40" s="88" t="s">
        <v>358</v>
      </c>
      <c r="H40" s="88" t="s">
        <v>280</v>
      </c>
      <c r="I40" s="89" t="str">
        <f>IF(_epmOfflineCondition_,"T3",_xll.EVPRO($B$1,$H40,"STYLE"))</f>
        <v>T3</v>
      </c>
      <c r="J40" s="89" t="str">
        <f>IF(_epmOfflineCondition_,"Y",_xll.EVPRO($B$1,$H40,"CALC"))</f>
        <v>Y</v>
      </c>
      <c r="K40" s="107"/>
      <c r="L40" s="106"/>
      <c r="M40" s="90" t="str">
        <f>IF(_epmOfflineCondition_,"Food &amp; Beverage",IF(_xll.EVDES(G40,$B$1)="#NODATA","",_xll.EVDES(G40,$B$1)))</f>
        <v>Food &amp; Beverage</v>
      </c>
      <c r="N40" s="143">
        <v>192802.88</v>
      </c>
      <c r="O40" s="143">
        <v>222249.1</v>
      </c>
      <c r="P40" s="143">
        <v>79381.27</v>
      </c>
      <c r="Q40" s="143"/>
      <c r="R40" s="143">
        <v>-15122.49</v>
      </c>
      <c r="S40" s="143">
        <v>911</v>
      </c>
      <c r="T40" s="143">
        <v>4840.53</v>
      </c>
      <c r="U40" s="143">
        <v>9387.86</v>
      </c>
      <c r="V40" s="143">
        <v>15198.3</v>
      </c>
      <c r="W40" s="143">
        <v>25025.279999999999</v>
      </c>
      <c r="X40" s="143">
        <v>27590.53</v>
      </c>
      <c r="Y40" s="143">
        <v>50971.63</v>
      </c>
      <c r="Z40" s="143">
        <f>SUM(N40:Y40)</f>
        <v>613235.89</v>
      </c>
      <c r="AA40" s="144">
        <f>IF(Z40=0,"",IFERROR(Z40/Z$19,""))</f>
        <v>0.11762809380825477</v>
      </c>
      <c r="AB40" s="140"/>
      <c r="AC40" s="143">
        <v>3392242.1310740001</v>
      </c>
      <c r="AD40" s="144">
        <f>IF(AC40=0,"",IFERROR(AC40/AC$19,""))</f>
        <v>0.26150996195703391</v>
      </c>
      <c r="AE40" s="145">
        <f>IF(AND($Z40="",AC40=""),"",$Z40-AC40)</f>
        <v>-2779006.241074</v>
      </c>
      <c r="AF40" s="143">
        <v>1028113.72</v>
      </c>
      <c r="AG40" s="144">
        <f>IF(AF40=0,"",IFERROR(AF40/AF$19,""))</f>
        <v>0.12259897081844892</v>
      </c>
      <c r="AH40" s="145">
        <f>IF(AND($Z40="",AF40=""),"",$Z40-AF40)</f>
        <v>-414877.82999999996</v>
      </c>
      <c r="AI40" s="95">
        <f>IFERROR((Z40-AC40)/AC40,0)</f>
        <v>-0.81922402166326291</v>
      </c>
      <c r="AJ40" s="96" t="s">
        <v>753</v>
      </c>
      <c r="AK40" s="95">
        <f>IFERROR((Z40-AF40)/AF40,0)</f>
        <v>-0.40353301578350687</v>
      </c>
      <c r="AL40" s="96" t="s">
        <v>753</v>
      </c>
      <c r="AM40" s="11"/>
      <c r="AN40" s="108"/>
      <c r="AO40" s="11"/>
    </row>
    <row r="41" spans="1:41" x14ac:dyDescent="0.35">
      <c r="A41" s="11"/>
      <c r="B41" s="11"/>
      <c r="C41" s="11"/>
      <c r="D41" s="11"/>
      <c r="E41" s="11"/>
      <c r="F41" s="11"/>
      <c r="G41" s="88" t="s">
        <v>463</v>
      </c>
      <c r="H41" s="88" t="s">
        <v>280</v>
      </c>
      <c r="I41" s="89" t="str">
        <f>IF(_epmOfflineCondition_,"T3",_xll.EVPRO($B$1,$H41,"STYLE"))</f>
        <v>T3</v>
      </c>
      <c r="J41" s="89" t="str">
        <f>IF(_epmOfflineCondition_,"Y",_xll.EVPRO($B$1,$H41,"CALC"))</f>
        <v>Y</v>
      </c>
      <c r="K41" s="107"/>
      <c r="L41" s="106"/>
      <c r="M41" s="90" t="str">
        <f>IF(_epmOfflineCondition_,"Other Operated Departments",IF(_xll.EVDES(G41,$B$1)="#NODATA","",_xll.EVDES(G41,$B$1)))</f>
        <v>Other Operated Departments</v>
      </c>
      <c r="N41" s="143">
        <v>27910.84</v>
      </c>
      <c r="O41" s="143">
        <v>24134.17</v>
      </c>
      <c r="P41" s="143">
        <v>13133.12</v>
      </c>
      <c r="Q41" s="143">
        <v>71.78</v>
      </c>
      <c r="R41" s="143">
        <v>-72.900000000000006</v>
      </c>
      <c r="S41" s="143">
        <v>181.69</v>
      </c>
      <c r="T41" s="143">
        <v>403.74</v>
      </c>
      <c r="U41" s="143">
        <v>264.17</v>
      </c>
      <c r="V41" s="143">
        <v>1140.21</v>
      </c>
      <c r="W41" s="143">
        <v>863.46</v>
      </c>
      <c r="X41" s="143">
        <v>-32.57</v>
      </c>
      <c r="Y41" s="143">
        <v>415.66</v>
      </c>
      <c r="Z41" s="143">
        <f>SUM(N41:Y41)</f>
        <v>68413.37000000001</v>
      </c>
      <c r="AA41" s="144">
        <f>IF(Z41=0,"",IFERROR(Z41/Z$19,""))</f>
        <v>1.3122738631783022E-2</v>
      </c>
      <c r="AB41" s="140"/>
      <c r="AC41" s="143">
        <v>283462.5</v>
      </c>
      <c r="AD41" s="144">
        <f>IF(AC41=0,"",IFERROR(AC41/AC$19,""))</f>
        <v>2.1852292592031558E-2</v>
      </c>
      <c r="AE41" s="145">
        <f>IF(AND($Z41="",AC41=""),"",$Z41-AC41)</f>
        <v>-215049.13</v>
      </c>
      <c r="AF41" s="143">
        <v>245528.77</v>
      </c>
      <c r="AG41" s="144">
        <f>IF(AF41=0,"",IFERROR(AF41/AF$19,""))</f>
        <v>2.9278448407749735E-2</v>
      </c>
      <c r="AH41" s="145">
        <f>IF(AND($Z41="",AF41=""),"",$Z41-AF41)</f>
        <v>-177115.39999999997</v>
      </c>
      <c r="AI41" s="95">
        <f>IFERROR((Z41-AC41)/AC41,0)</f>
        <v>-0.7586510737751907</v>
      </c>
      <c r="AJ41" s="96" t="s">
        <v>753</v>
      </c>
      <c r="AK41" s="95">
        <f>IFERROR((Z41-AF41)/AF41,0)</f>
        <v>-0.72136312172296535</v>
      </c>
      <c r="AL41" s="96" t="s">
        <v>753</v>
      </c>
      <c r="AM41" s="11"/>
      <c r="AN41" s="108"/>
      <c r="AO41" s="11"/>
    </row>
    <row r="42" spans="1:41" x14ac:dyDescent="0.35">
      <c r="A42" s="11"/>
      <c r="B42" s="11"/>
      <c r="C42" s="11"/>
      <c r="D42" s="11"/>
      <c r="E42" s="11"/>
      <c r="F42" s="11"/>
      <c r="G42" s="88" t="s">
        <v>472</v>
      </c>
      <c r="H42" s="88" t="s">
        <v>280</v>
      </c>
      <c r="I42" s="89" t="str">
        <f>IF(_epmOfflineCondition_,"T3",_xll.EVPRO($B$1,$H42,"STYLE"))</f>
        <v>T3</v>
      </c>
      <c r="J42" s="89" t="str">
        <f>IF(_epmOfflineCondition_,"Y",_xll.EVPRO($B$1,$H42,"CALC"))</f>
        <v>Y</v>
      </c>
      <c r="K42" s="107"/>
      <c r="L42" s="106"/>
      <c r="M42" s="90" t="str">
        <f>IF(_epmOfflineCondition_,"Miscellaneous Income",IF(_xll.EVDES(G42,$B$1)="#NODATA","",_xll.EVDES(G42,$B$1)))</f>
        <v>Miscellaneous Income</v>
      </c>
      <c r="N42" s="143">
        <v>73882.67</v>
      </c>
      <c r="O42" s="143">
        <v>64589.75</v>
      </c>
      <c r="P42" s="143">
        <v>69741.899999999994</v>
      </c>
      <c r="Q42" s="143">
        <v>2109.7800000000002</v>
      </c>
      <c r="R42" s="143">
        <v>-510</v>
      </c>
      <c r="S42" s="143">
        <v>10468.26</v>
      </c>
      <c r="T42" s="143">
        <v>8161.45</v>
      </c>
      <c r="U42" s="143">
        <v>25861.61</v>
      </c>
      <c r="V42" s="143">
        <v>43949.85</v>
      </c>
      <c r="W42" s="143">
        <v>51275.02</v>
      </c>
      <c r="X42" s="143">
        <v>48855.08</v>
      </c>
      <c r="Y42" s="143">
        <v>64872.03</v>
      </c>
      <c r="Z42" s="143">
        <f>SUM(N42:Y42)</f>
        <v>463257.4</v>
      </c>
      <c r="AA42" s="144">
        <f>IF(Z42=0,"",IFERROR(Z42/Z$19,""))</f>
        <v>8.8859908223193201E-2</v>
      </c>
      <c r="AB42" s="140"/>
      <c r="AC42" s="143">
        <v>869208.96750000003</v>
      </c>
      <c r="AD42" s="144">
        <f>IF(AC42=0,"",IFERROR(AC42/AC$19,""))</f>
        <v>6.7007835891617587E-2</v>
      </c>
      <c r="AE42" s="145">
        <f>IF(AND($Z42="",AC42=""),"",$Z42-AC42)</f>
        <v>-405951.5675</v>
      </c>
      <c r="AF42" s="143">
        <v>772402.78</v>
      </c>
      <c r="AG42" s="144">
        <f>IF(AF42=0,"",IFERROR(AF42/AF$19,""))</f>
        <v>9.2106334195509842E-2</v>
      </c>
      <c r="AH42" s="145">
        <f>IF(AND($Z42="",AF42=""),"",$Z42-AF42)</f>
        <v>-309145.38</v>
      </c>
      <c r="AI42" s="110">
        <f>IFERROR((Z42-AC42)/AC42,0)</f>
        <v>-0.46703564123088731</v>
      </c>
      <c r="AJ42" s="111" t="s">
        <v>753</v>
      </c>
      <c r="AK42" s="110">
        <f>IFERROR((Z42-AF42)/AF42,0)</f>
        <v>-0.40023856465146329</v>
      </c>
      <c r="AL42" s="111" t="s">
        <v>753</v>
      </c>
      <c r="AM42" s="11"/>
      <c r="AN42" s="108"/>
      <c r="AO42" s="11"/>
    </row>
    <row r="43" spans="1:41" x14ac:dyDescent="0.35">
      <c r="A43" s="11"/>
      <c r="B43" s="11"/>
      <c r="C43" s="11"/>
      <c r="D43" s="11"/>
      <c r="E43" s="11"/>
      <c r="F43" s="11"/>
      <c r="G43" s="107"/>
      <c r="H43" s="107"/>
      <c r="I43" s="107"/>
      <c r="J43" s="107"/>
      <c r="K43" s="107"/>
      <c r="L43" s="106"/>
      <c r="M43" s="106" t="str">
        <f>"Total "&amp;M38</f>
        <v>Total Revenues</v>
      </c>
      <c r="N43" s="154">
        <f t="shared" ref="N43:Y43" si="0">SUM(N39:N42)</f>
        <v>1402767.8499999999</v>
      </c>
      <c r="O43" s="154">
        <f t="shared" si="0"/>
        <v>1432947.85</v>
      </c>
      <c r="P43" s="154">
        <f t="shared" si="0"/>
        <v>524910.65</v>
      </c>
      <c r="Q43" s="154">
        <f t="shared" si="0"/>
        <v>-4075.52</v>
      </c>
      <c r="R43" s="154">
        <f t="shared" si="0"/>
        <v>-25541.39</v>
      </c>
      <c r="S43" s="154">
        <f t="shared" si="0"/>
        <v>101426.34</v>
      </c>
      <c r="T43" s="154">
        <f t="shared" si="0"/>
        <v>87019.91</v>
      </c>
      <c r="U43" s="154">
        <f t="shared" si="0"/>
        <v>150728.28</v>
      </c>
      <c r="V43" s="154">
        <f t="shared" si="0"/>
        <v>271204.92</v>
      </c>
      <c r="W43" s="154">
        <f t="shared" si="0"/>
        <v>335346.22000000003</v>
      </c>
      <c r="X43" s="154">
        <f t="shared" si="0"/>
        <v>335793.25</v>
      </c>
      <c r="Y43" s="154">
        <f t="shared" si="0"/>
        <v>600817.11</v>
      </c>
      <c r="Z43" s="154">
        <f>SUM(N43:Y43)</f>
        <v>5213345.47</v>
      </c>
      <c r="AA43" s="155">
        <f>IF(Z43=0,"",IFERROR(Z43/Z$19,""))</f>
        <v>1</v>
      </c>
      <c r="AB43" s="140"/>
      <c r="AC43" s="154">
        <f>SUM(AC39:AC42)</f>
        <v>12971751.078574</v>
      </c>
      <c r="AD43" s="155">
        <f>IF(AC43=0,"",IFERROR(AC43/AC$19,""))</f>
        <v>1</v>
      </c>
      <c r="AE43" s="156">
        <f>IF(AND($Z43="",AC43=""),"",$Z43-AC43)</f>
        <v>-7758405.6085740002</v>
      </c>
      <c r="AF43" s="154">
        <f>SUM(AF39:AF42)</f>
        <v>8385989.8099999996</v>
      </c>
      <c r="AG43" s="155">
        <f>IF(AF43=0,"",IFERROR(AF43/AF$19,""))</f>
        <v>1</v>
      </c>
      <c r="AH43" s="156">
        <f>IF(AND($Z43="",AF43=""),"",$Z43-AF43)</f>
        <v>-3172644.34</v>
      </c>
      <c r="AI43" s="115">
        <f>IFERROR((Z43-AC43)/AC43,0)</f>
        <v>-0.59810009932960351</v>
      </c>
      <c r="AJ43" s="116" t="s">
        <v>753</v>
      </c>
      <c r="AK43" s="115">
        <f>IFERROR((Z43-AF43)/AF43,0)</f>
        <v>-0.37832675830546947</v>
      </c>
      <c r="AL43" s="116" t="s">
        <v>753</v>
      </c>
      <c r="AM43" s="11"/>
      <c r="AN43" s="108"/>
      <c r="AO43" s="11"/>
    </row>
    <row r="44" spans="1:41" x14ac:dyDescent="0.35">
      <c r="A44" s="61" t="str">
        <f>IF(_epmOfflineCondition_,"Evdre:Ok",_xll.EVDRE($B$1,A47:B54))</f>
        <v>Evdre:Ok</v>
      </c>
      <c r="B44" s="11"/>
      <c r="C44" s="11"/>
      <c r="D44" s="11"/>
      <c r="E44" s="11"/>
      <c r="F44" s="11"/>
      <c r="G44" s="107"/>
      <c r="H44" s="107"/>
      <c r="I44" s="107"/>
      <c r="J44" s="107"/>
      <c r="K44" s="107"/>
      <c r="L44" s="11">
        <f>COUNTIF(N44:AH44,FALSE)</f>
        <v>0</v>
      </c>
      <c r="M44" s="117" t="str">
        <f>IF(L44=0,"","Revenue - database validation failed")</f>
        <v/>
      </c>
      <c r="N44" s="157" t="str">
        <f t="shared" ref="N44:Z44" si="1">IF(ROUND(N43,2)&lt;&gt;ROUND(N97,2),N43-N97,"")</f>
        <v/>
      </c>
      <c r="O44" s="158" t="str">
        <f t="shared" si="1"/>
        <v/>
      </c>
      <c r="P44" s="158" t="str">
        <f t="shared" si="1"/>
        <v/>
      </c>
      <c r="Q44" s="158" t="str">
        <f t="shared" si="1"/>
        <v/>
      </c>
      <c r="R44" s="158" t="str">
        <f t="shared" si="1"/>
        <v/>
      </c>
      <c r="S44" s="158" t="str">
        <f t="shared" si="1"/>
        <v/>
      </c>
      <c r="T44" s="158" t="str">
        <f t="shared" si="1"/>
        <v/>
      </c>
      <c r="U44" s="158" t="str">
        <f t="shared" si="1"/>
        <v/>
      </c>
      <c r="V44" s="158" t="str">
        <f t="shared" si="1"/>
        <v/>
      </c>
      <c r="W44" s="158" t="str">
        <f t="shared" si="1"/>
        <v/>
      </c>
      <c r="X44" s="158" t="str">
        <f t="shared" si="1"/>
        <v/>
      </c>
      <c r="Y44" s="158" t="str">
        <f t="shared" si="1"/>
        <v/>
      </c>
      <c r="Z44" s="158" t="str">
        <f t="shared" si="1"/>
        <v/>
      </c>
      <c r="AA44" s="159" t="b">
        <f>Z44=""</f>
        <v>1</v>
      </c>
      <c r="AB44" s="140"/>
      <c r="AC44" s="157" t="str">
        <f>IF(ROUND(AC43,2)&lt;&gt;ROUND(AC97,2),AC43-AC97,"")</f>
        <v/>
      </c>
      <c r="AD44" s="160" t="b">
        <f>AC44=""</f>
        <v>1</v>
      </c>
      <c r="AE44" s="161"/>
      <c r="AF44" s="158" t="str">
        <f>IF(ROUND(AF43,2)&lt;&gt;ROUND(AF97,2),AF43-AF97,"")</f>
        <v/>
      </c>
      <c r="AG44" s="160" t="b">
        <f>AF44=""</f>
        <v>1</v>
      </c>
      <c r="AH44" s="161"/>
      <c r="AI44" s="11"/>
      <c r="AJ44" s="11"/>
      <c r="AK44" s="11"/>
      <c r="AL44" s="11"/>
      <c r="AM44" s="11"/>
      <c r="AN44" s="11"/>
      <c r="AO44" s="11"/>
    </row>
    <row r="45" spans="1:41" x14ac:dyDescent="0.35">
      <c r="A45" s="11"/>
      <c r="B45" s="11"/>
      <c r="C45" s="11"/>
      <c r="D45" s="11"/>
      <c r="E45" s="11"/>
      <c r="F45" s="11"/>
      <c r="G45" s="11"/>
      <c r="H45" s="11" t="s">
        <v>564</v>
      </c>
      <c r="I45" s="59" t="str">
        <f>IF(_epmOfflineCondition_,"B1",_xll.EVPRO($B$1,$H45,"STYLE"))</f>
        <v>B1</v>
      </c>
      <c r="J45" s="59" t="str">
        <f>IF(_epmOfflineCondition_,"Y",_xll.EVPRO($B$1,$H45,"CALC"))</f>
        <v>Y</v>
      </c>
      <c r="K45" s="11"/>
      <c r="L45" s="59"/>
      <c r="M45" s="105" t="str">
        <f>IF(_epmOfflineCondition_,"Departmental Expense",IF(_xll.EVDES(H45,$B$1)="#NODATA","",_xll.EVDES(H45,$B$1)))</f>
        <v>Departmental Expense</v>
      </c>
      <c r="N45" s="162"/>
      <c r="O45" s="163"/>
      <c r="P45" s="163"/>
      <c r="Q45" s="163"/>
      <c r="R45" s="163"/>
      <c r="S45" s="163"/>
      <c r="T45" s="163"/>
      <c r="U45" s="163"/>
      <c r="V45" s="163"/>
      <c r="W45" s="163"/>
      <c r="X45" s="163"/>
      <c r="Y45" s="163"/>
      <c r="Z45" s="163"/>
      <c r="AA45" s="164"/>
      <c r="AB45" s="140"/>
      <c r="AC45" s="162"/>
      <c r="AD45" s="163"/>
      <c r="AE45" s="164"/>
      <c r="AF45" s="162"/>
      <c r="AG45" s="163"/>
      <c r="AH45" s="164"/>
      <c r="AI45" s="11"/>
      <c r="AJ45" s="11"/>
      <c r="AK45" s="11"/>
      <c r="AL45" s="11"/>
      <c r="AM45" s="11"/>
      <c r="AN45" s="11"/>
      <c r="AO45" s="11"/>
    </row>
    <row r="46" spans="1:41" x14ac:dyDescent="0.35">
      <c r="A46" s="62" t="s">
        <v>0</v>
      </c>
      <c r="B46" s="63" t="s">
        <v>1</v>
      </c>
      <c r="C46" s="11"/>
      <c r="D46" s="11"/>
      <c r="E46" s="11"/>
      <c r="F46" s="11"/>
      <c r="G46" s="88" t="s">
        <v>60</v>
      </c>
      <c r="H46" s="88" t="s">
        <v>464</v>
      </c>
      <c r="I46" s="89" t="str">
        <f>IF(_epmOfflineCondition_,"T3",_xll.EVPRO($B$1,$H46,"STYLE"))</f>
        <v>T3</v>
      </c>
      <c r="J46" s="89" t="str">
        <f>IF(_epmOfflineCondition_,"Y",_xll.EVPRO($B$1,$H46,"CALC"))</f>
        <v>Y</v>
      </c>
      <c r="K46" s="107"/>
      <c r="L46" s="106"/>
      <c r="M46" s="90" t="str">
        <f>IF(_epmOfflineCondition_,"Rooms",IF(_xll.EVDES(G46,$B$1)="#NODATA","",_xll.EVDES(G46,$B$1)))</f>
        <v>Rooms</v>
      </c>
      <c r="N46" s="143">
        <v>171745.21</v>
      </c>
      <c r="O46" s="143">
        <v>194456.39</v>
      </c>
      <c r="P46" s="143">
        <v>124369.9</v>
      </c>
      <c r="Q46" s="143">
        <v>19311.11</v>
      </c>
      <c r="R46" s="143">
        <v>18005.8</v>
      </c>
      <c r="S46" s="143">
        <v>46823.3</v>
      </c>
      <c r="T46" s="143">
        <v>46628.43</v>
      </c>
      <c r="U46" s="143">
        <v>53961.3</v>
      </c>
      <c r="V46" s="143">
        <v>78564.56</v>
      </c>
      <c r="W46" s="143">
        <v>77900.289999999994</v>
      </c>
      <c r="X46" s="143">
        <v>97462.58</v>
      </c>
      <c r="Y46" s="143">
        <v>110595.93</v>
      </c>
      <c r="Z46" s="143">
        <f>SUM(N46:Y46)</f>
        <v>1039824.8000000003</v>
      </c>
      <c r="AA46" s="144">
        <f>IF(Z46=0,"",IFERROR(Z46/Z39,""))</f>
        <v>0.25558324668523164</v>
      </c>
      <c r="AB46" s="140"/>
      <c r="AC46" s="143">
        <v>1968946.2586163001</v>
      </c>
      <c r="AD46" s="144">
        <f>IF(AC46=0,"",IFERROR(AC46/AC39,""))</f>
        <v>0.2336518608896086</v>
      </c>
      <c r="AE46" s="145">
        <f>IF(AND($Z46="",AC46=""),"",$Z46-AC46)</f>
        <v>-929121.45861629979</v>
      </c>
      <c r="AF46" s="143">
        <v>1763705.53</v>
      </c>
      <c r="AG46" s="144">
        <f>IF(AF46=0,"",IFERROR(AF46/AF39,""))</f>
        <v>0.27818942561286192</v>
      </c>
      <c r="AH46" s="145">
        <f>IF(AND($Z46="",AF46=""),"",$Z46-AF46)</f>
        <v>-723880.72999999975</v>
      </c>
      <c r="AI46" s="623" t="str">
        <f>+IFERROR(ROUND(($AA46-AD46)*100,2)&amp;" pts.",0)</f>
        <v>2.19 pts.</v>
      </c>
      <c r="AJ46" s="624"/>
      <c r="AK46" s="623" t="str">
        <f>+IFERROR(ROUND(($AA46-AG46)*100,2)&amp;" pts.",0)</f>
        <v>-2.26 pts.</v>
      </c>
      <c r="AL46" s="624"/>
      <c r="AM46" s="11"/>
      <c r="AN46" s="11"/>
      <c r="AO46" s="11"/>
    </row>
    <row r="47" spans="1:41" x14ac:dyDescent="0.35">
      <c r="A47" s="65" t="s">
        <v>2</v>
      </c>
      <c r="B47" s="66" t="str">
        <f>IF(_epmOfflineCondition_,"'Summary'!$B$2:$B$10",_xll.EVRNG($B$2:$B$10))</f>
        <v>'Summary'!$B$2:$B$10</v>
      </c>
      <c r="C47" s="11"/>
      <c r="D47" s="11"/>
      <c r="E47" s="11"/>
      <c r="F47" s="11"/>
      <c r="G47" s="88" t="s">
        <v>358</v>
      </c>
      <c r="H47" s="88" t="s">
        <v>464</v>
      </c>
      <c r="I47" s="89" t="str">
        <f>IF(_epmOfflineCondition_,"T3",_xll.EVPRO($B$1,$H47,"STYLE"))</f>
        <v>T3</v>
      </c>
      <c r="J47" s="89" t="str">
        <f>IF(_epmOfflineCondition_,"Y",_xll.EVPRO($B$1,$H47,"CALC"))</f>
        <v>Y</v>
      </c>
      <c r="K47" s="107"/>
      <c r="L47" s="106"/>
      <c r="M47" s="90" t="str">
        <f>IF(_epmOfflineCondition_,"Food &amp; Beverage",IF(_xll.EVDES(G47,$B$1)="#NODATA","",_xll.EVDES(G47,$B$1)))</f>
        <v>Food &amp; Beverage</v>
      </c>
      <c r="N47" s="143">
        <v>200593.92000000001</v>
      </c>
      <c r="O47" s="143">
        <v>242064.23</v>
      </c>
      <c r="P47" s="143">
        <v>153043.31</v>
      </c>
      <c r="Q47" s="143">
        <v>6576.54</v>
      </c>
      <c r="R47" s="143">
        <v>50.05</v>
      </c>
      <c r="S47" s="143">
        <v>3085.81</v>
      </c>
      <c r="T47" s="143">
        <v>21550.46</v>
      </c>
      <c r="U47" s="143">
        <v>15956.98</v>
      </c>
      <c r="V47" s="143">
        <v>19947.61</v>
      </c>
      <c r="W47" s="143">
        <v>16429.740000000002</v>
      </c>
      <c r="X47" s="143">
        <v>33936.03</v>
      </c>
      <c r="Y47" s="143">
        <v>48456.800000000003</v>
      </c>
      <c r="Z47" s="143">
        <f>SUM(N47:Y47)</f>
        <v>761691.4800000001</v>
      </c>
      <c r="AA47" s="144">
        <f>IF(Z47=0,"",IFERROR(Z47/Z40,""))</f>
        <v>1.2420856189614082</v>
      </c>
      <c r="AB47" s="140"/>
      <c r="AC47" s="143">
        <v>2543314.5016031698</v>
      </c>
      <c r="AD47" s="144">
        <f>IF(AC47=0,"",IFERROR(AC47/AC40,""))</f>
        <v>0.74974438832228762</v>
      </c>
      <c r="AE47" s="145">
        <f>IF(AND($Z47="",AC47=""),"",$Z47-AC47)</f>
        <v>-1781623.0216031699</v>
      </c>
      <c r="AF47" s="143">
        <v>1356833.11</v>
      </c>
      <c r="AG47" s="144">
        <f>IF(AF47=0,"",IFERROR(AF47/AF40,""))</f>
        <v>1.3197305741625549</v>
      </c>
      <c r="AH47" s="145">
        <f>IF(AND($Z47="",AF47=""),"",$Z47-AF47)</f>
        <v>-595141.63</v>
      </c>
      <c r="AI47" s="623" t="str">
        <f>+IFERROR(ROUND(($AA47-AD47)*100,2)&amp;" pts.",0)</f>
        <v>49.23 pts.</v>
      </c>
      <c r="AJ47" s="624"/>
      <c r="AK47" s="623" t="str">
        <f>+IFERROR(ROUND(($AA47-AG47)*100,2)&amp;" pts.",0)</f>
        <v>-7.76 pts.</v>
      </c>
      <c r="AL47" s="624"/>
      <c r="AM47" s="11"/>
      <c r="AN47" s="11"/>
      <c r="AO47" s="11"/>
    </row>
    <row r="48" spans="1:41" x14ac:dyDescent="0.35">
      <c r="A48" s="65" t="s">
        <v>3</v>
      </c>
      <c r="B48" s="66" t="str">
        <f>IF(_epmOfflineCondition_,"'Summary'!$N$16:$AH$18",_xll.EVRNG(N16:AH18))</f>
        <v>'Summary'!$N$16:$AH$18</v>
      </c>
      <c r="C48" s="11"/>
      <c r="D48" s="11"/>
      <c r="E48" s="11"/>
      <c r="F48" s="11"/>
      <c r="G48" s="88" t="s">
        <v>463</v>
      </c>
      <c r="H48" s="88" t="s">
        <v>464</v>
      </c>
      <c r="I48" s="89" t="str">
        <f>IF(_epmOfflineCondition_,"T3",_xll.EVPRO($B$1,$H48,"STYLE"))</f>
        <v>T3</v>
      </c>
      <c r="J48" s="89" t="str">
        <f>IF(_epmOfflineCondition_,"Y",_xll.EVPRO($B$1,$H48,"CALC"))</f>
        <v>Y</v>
      </c>
      <c r="K48" s="107"/>
      <c r="L48" s="106"/>
      <c r="M48" s="90" t="str">
        <f>IF(_epmOfflineCondition_,"Other Operated Departments",IF(_xll.EVDES(G48,$B$1)="#NODATA","",_xll.EVDES(G48,$B$1)))</f>
        <v>Other Operated Departments</v>
      </c>
      <c r="N48" s="143">
        <v>27949.41</v>
      </c>
      <c r="O48" s="143">
        <v>19708.86</v>
      </c>
      <c r="P48" s="143">
        <v>13826.15</v>
      </c>
      <c r="Q48" s="143">
        <v>14.4499999999998</v>
      </c>
      <c r="R48" s="143"/>
      <c r="S48" s="143">
        <v>72</v>
      </c>
      <c r="T48" s="143"/>
      <c r="U48" s="143"/>
      <c r="V48" s="143"/>
      <c r="W48" s="143">
        <v>282</v>
      </c>
      <c r="X48" s="143"/>
      <c r="Y48" s="143">
        <v>136.91</v>
      </c>
      <c r="Z48" s="143">
        <f>SUM(N48:Y48)</f>
        <v>61989.780000000006</v>
      </c>
      <c r="AA48" s="144">
        <f>IF(Z48=0,"",IFERROR(Z48/Z41,""))</f>
        <v>0.90610621871134245</v>
      </c>
      <c r="AB48" s="140"/>
      <c r="AC48" s="143">
        <v>265366.490882935</v>
      </c>
      <c r="AD48" s="144">
        <f>IF(AC48=0,"",IFERROR(AC48/AC41,""))</f>
        <v>0.93616083567644748</v>
      </c>
      <c r="AE48" s="145">
        <f>IF(AND($Z48="",AC48=""),"",$Z48-AC48)</f>
        <v>-203376.710882935</v>
      </c>
      <c r="AF48" s="143">
        <v>278331.31</v>
      </c>
      <c r="AG48" s="144">
        <f>IF(AF48=0,"",IFERROR(AF48/AF41,""))</f>
        <v>1.1335995777602763</v>
      </c>
      <c r="AH48" s="145">
        <f>IF(AND($Z48="",AF48=""),"",$Z48-AF48)</f>
        <v>-216341.53</v>
      </c>
      <c r="AI48" s="631" t="str">
        <f>+IFERROR(ROUND(($AA48-AD48)*100,2)&amp;" pts.",0)</f>
        <v>-3.01 pts.</v>
      </c>
      <c r="AJ48" s="632"/>
      <c r="AK48" s="631" t="str">
        <f>+IFERROR(ROUND(($AA48-AG48)*100,2)&amp;" pts.",0)</f>
        <v>-22.75 pts.</v>
      </c>
      <c r="AL48" s="632"/>
      <c r="AM48" s="11"/>
      <c r="AN48" s="11"/>
      <c r="AO48" s="11"/>
    </row>
    <row r="49" spans="1:41" x14ac:dyDescent="0.35">
      <c r="A49" s="65" t="s">
        <v>4</v>
      </c>
      <c r="B49" s="66" t="str">
        <f>IF(_epmOfflineCondition_,"'Summary'!$G$93:$H$105",_xll.EVRNG(G93:H105))</f>
        <v>'Summary'!$G$93:$H$105</v>
      </c>
      <c r="C49" s="11"/>
      <c r="D49" s="11"/>
      <c r="E49" s="11"/>
      <c r="F49" s="11"/>
      <c r="G49" s="11"/>
      <c r="H49" s="11"/>
      <c r="I49" s="11"/>
      <c r="J49" s="11"/>
      <c r="K49" s="11"/>
      <c r="L49" s="11"/>
      <c r="M49" s="106" t="str">
        <f>"Total "&amp;M45</f>
        <v>Total Departmental Expense</v>
      </c>
      <c r="N49" s="154">
        <f t="shared" ref="N49:Y49" si="2">SUM(N46:N48)</f>
        <v>400288.54</v>
      </c>
      <c r="O49" s="154">
        <f t="shared" si="2"/>
        <v>456229.48</v>
      </c>
      <c r="P49" s="154">
        <f t="shared" si="2"/>
        <v>291239.36</v>
      </c>
      <c r="Q49" s="154">
        <f t="shared" si="2"/>
        <v>25902.100000000002</v>
      </c>
      <c r="R49" s="154">
        <f t="shared" si="2"/>
        <v>18055.849999999999</v>
      </c>
      <c r="S49" s="154">
        <f t="shared" si="2"/>
        <v>49981.11</v>
      </c>
      <c r="T49" s="154">
        <f t="shared" si="2"/>
        <v>68178.89</v>
      </c>
      <c r="U49" s="154">
        <f t="shared" si="2"/>
        <v>69918.28</v>
      </c>
      <c r="V49" s="154">
        <f t="shared" si="2"/>
        <v>98512.17</v>
      </c>
      <c r="W49" s="154">
        <f t="shared" si="2"/>
        <v>94612.03</v>
      </c>
      <c r="X49" s="154">
        <f t="shared" si="2"/>
        <v>131398.60999999999</v>
      </c>
      <c r="Y49" s="154">
        <f t="shared" si="2"/>
        <v>159189.63999999998</v>
      </c>
      <c r="Z49" s="154">
        <f>SUM(N49:Y49)</f>
        <v>1863506.0599999998</v>
      </c>
      <c r="AA49" s="155">
        <f>IF(Z49=0,"",IFERROR(Z49/Z$43,""))</f>
        <v>0.35744917936543347</v>
      </c>
      <c r="AB49" s="140"/>
      <c r="AC49" s="154">
        <f>SUM(AC46:AC48)</f>
        <v>4777627.2511024047</v>
      </c>
      <c r="AD49" s="155">
        <f>IF(AC49=0,"",IFERROR(AC49/AC$43,""))</f>
        <v>0.36831012422014614</v>
      </c>
      <c r="AE49" s="156">
        <f>IF(AND($Z49="",AC49=""),"",$Z49-AC49)</f>
        <v>-2914121.1911024051</v>
      </c>
      <c r="AF49" s="154">
        <f>SUM(AF46:AF48)</f>
        <v>3398869.95</v>
      </c>
      <c r="AG49" s="155">
        <f>IF(AF49=0,"",IFERROR(AF49/AF$43,""))</f>
        <v>0.40530337229207775</v>
      </c>
      <c r="AH49" s="156">
        <f>IF(AND($Z49="",AF49=""),"",$Z49-AF49)</f>
        <v>-1535363.8900000004</v>
      </c>
      <c r="AI49" s="627" t="str">
        <f>+IFERROR(ROUND(($AA49-AD49)*100,2)&amp;" pts.",0)</f>
        <v>-1.09 pts.</v>
      </c>
      <c r="AJ49" s="628"/>
      <c r="AK49" s="627" t="str">
        <f>+IFERROR(ROUND(($AA49-AG49)*100,2)&amp;" pts.",0)</f>
        <v>-4.79 pts.</v>
      </c>
      <c r="AL49" s="628"/>
      <c r="AM49" s="11"/>
      <c r="AN49" s="11"/>
      <c r="AO49" s="11"/>
    </row>
    <row r="50" spans="1:41" x14ac:dyDescent="0.35">
      <c r="A50" s="65" t="s">
        <v>5</v>
      </c>
      <c r="B50" s="66"/>
      <c r="C50" s="11"/>
      <c r="D50" s="11"/>
      <c r="E50" s="11"/>
      <c r="F50" s="11"/>
      <c r="G50" s="11"/>
      <c r="H50" s="11"/>
      <c r="I50" s="11"/>
      <c r="J50" s="11"/>
      <c r="K50" s="11"/>
      <c r="L50" s="11">
        <f>COUNTIF(N50:AH50,FALSE)</f>
        <v>0</v>
      </c>
      <c r="M50" s="117" t="str">
        <f>IF(L50=0,"","Expense - database validation failed")</f>
        <v/>
      </c>
      <c r="N50" s="157" t="str">
        <f t="shared" ref="N50:Z50" si="3">IF(ROUND(N49,2)&lt;&gt;ROUND(N98,2),N49-N98,"")</f>
        <v/>
      </c>
      <c r="O50" s="158" t="str">
        <f t="shared" si="3"/>
        <v/>
      </c>
      <c r="P50" s="158" t="str">
        <f t="shared" si="3"/>
        <v/>
      </c>
      <c r="Q50" s="158" t="str">
        <f t="shared" si="3"/>
        <v/>
      </c>
      <c r="R50" s="158" t="str">
        <f t="shared" si="3"/>
        <v/>
      </c>
      <c r="S50" s="158" t="str">
        <f t="shared" si="3"/>
        <v/>
      </c>
      <c r="T50" s="158" t="str">
        <f t="shared" si="3"/>
        <v/>
      </c>
      <c r="U50" s="158" t="str">
        <f t="shared" si="3"/>
        <v/>
      </c>
      <c r="V50" s="158" t="str">
        <f t="shared" si="3"/>
        <v/>
      </c>
      <c r="W50" s="158" t="str">
        <f t="shared" si="3"/>
        <v/>
      </c>
      <c r="X50" s="158" t="str">
        <f t="shared" si="3"/>
        <v/>
      </c>
      <c r="Y50" s="158" t="str">
        <f t="shared" si="3"/>
        <v/>
      </c>
      <c r="Z50" s="158" t="str">
        <f t="shared" si="3"/>
        <v/>
      </c>
      <c r="AA50" s="165" t="b">
        <f>Z50=""</f>
        <v>1</v>
      </c>
      <c r="AB50" s="140"/>
      <c r="AC50" s="157" t="str">
        <f>IF(ROUND(AC49,2)&lt;&gt;ROUND(AC98,2),AC49-AC98,"")</f>
        <v/>
      </c>
      <c r="AD50" s="160" t="b">
        <f>AC50=""</f>
        <v>1</v>
      </c>
      <c r="AE50" s="161"/>
      <c r="AF50" s="157" t="str">
        <f>IF(ROUND(AF49,2)&lt;&gt;ROUND(AF98,2),AF49-AF98,"")</f>
        <v/>
      </c>
      <c r="AG50" s="160" t="b">
        <f>AF50=""</f>
        <v>1</v>
      </c>
      <c r="AH50" s="161"/>
      <c r="AI50" s="11"/>
      <c r="AJ50" s="11"/>
      <c r="AK50" s="11"/>
      <c r="AL50" s="11"/>
      <c r="AM50" s="11"/>
      <c r="AN50" s="11"/>
      <c r="AO50" s="11"/>
    </row>
    <row r="51" spans="1:41" x14ac:dyDescent="0.35">
      <c r="A51" s="65" t="s">
        <v>6</v>
      </c>
      <c r="B51" s="66"/>
      <c r="C51" s="11"/>
      <c r="D51" s="11"/>
      <c r="E51" s="11"/>
      <c r="F51" s="11"/>
      <c r="G51" s="88"/>
      <c r="H51" s="88"/>
      <c r="I51" s="122"/>
      <c r="J51" s="122"/>
      <c r="K51" s="11"/>
      <c r="L51" s="11"/>
      <c r="M51" s="106" t="s">
        <v>471</v>
      </c>
      <c r="N51" s="166">
        <f t="shared" ref="N51:Y51" si="4">N43-N49</f>
        <v>1002479.3099999998</v>
      </c>
      <c r="O51" s="166">
        <f t="shared" si="4"/>
        <v>976718.37000000011</v>
      </c>
      <c r="P51" s="166">
        <f t="shared" si="4"/>
        <v>233671.29000000004</v>
      </c>
      <c r="Q51" s="166">
        <f t="shared" si="4"/>
        <v>-29977.620000000003</v>
      </c>
      <c r="R51" s="166">
        <f t="shared" si="4"/>
        <v>-43597.24</v>
      </c>
      <c r="S51" s="166">
        <f t="shared" si="4"/>
        <v>51445.229999999996</v>
      </c>
      <c r="T51" s="166">
        <f t="shared" si="4"/>
        <v>18841.020000000004</v>
      </c>
      <c r="U51" s="166">
        <f t="shared" si="4"/>
        <v>80810</v>
      </c>
      <c r="V51" s="166">
        <f t="shared" si="4"/>
        <v>172692.75</v>
      </c>
      <c r="W51" s="166">
        <f t="shared" si="4"/>
        <v>240734.19000000003</v>
      </c>
      <c r="X51" s="166">
        <f t="shared" si="4"/>
        <v>204394.64</v>
      </c>
      <c r="Y51" s="166">
        <f t="shared" si="4"/>
        <v>441627.47</v>
      </c>
      <c r="Z51" s="166">
        <f>SUM(N51:Y51)</f>
        <v>3349839.4099999992</v>
      </c>
      <c r="AA51" s="167">
        <f>IF(Z51=0,"",IFERROR(Z51/Z43,""))</f>
        <v>0.64255082063456648</v>
      </c>
      <c r="AB51" s="140"/>
      <c r="AC51" s="166">
        <f>AC43-AC49</f>
        <v>8194123.8274715953</v>
      </c>
      <c r="AD51" s="167">
        <f>IF(AC51=0,"",IFERROR(AC51/AC43,""))</f>
        <v>0.6316898757798538</v>
      </c>
      <c r="AE51" s="168">
        <f>IF(AND($Z51="",AC51=""),"",$Z51-AC51)</f>
        <v>-4844284.417471596</v>
      </c>
      <c r="AF51" s="166">
        <f>AF43-AF49</f>
        <v>4987119.8599999994</v>
      </c>
      <c r="AG51" s="167">
        <f>IF(AF51=0,"",IFERROR(AF51/AF43,""))</f>
        <v>0.5946966277079222</v>
      </c>
      <c r="AH51" s="168">
        <f>IF(AND($Z51="",AF51=""),"",$Z51-AF51)</f>
        <v>-1637280.4500000002</v>
      </c>
      <c r="AI51" s="629" t="str">
        <f>+IFERROR(ROUND(($AA51-AD51)*100,2)&amp;" pts.",0)</f>
        <v>1.09 pts.</v>
      </c>
      <c r="AJ51" s="630"/>
      <c r="AK51" s="629" t="str">
        <f>+IFERROR(ROUND(($AA51-AG51)*100,2)&amp;" pts.",0)</f>
        <v>4.79 pts.</v>
      </c>
      <c r="AL51" s="630"/>
      <c r="AM51" s="11"/>
      <c r="AN51" s="11"/>
      <c r="AO51" s="11"/>
    </row>
    <row r="52" spans="1:41" x14ac:dyDescent="0.35">
      <c r="A52" s="65" t="s">
        <v>7</v>
      </c>
      <c r="B52" s="66"/>
      <c r="C52" s="11"/>
      <c r="D52" s="11"/>
      <c r="E52" s="11"/>
      <c r="F52" s="11"/>
      <c r="G52" s="11"/>
      <c r="H52" s="11"/>
      <c r="I52" s="11"/>
      <c r="J52" s="11"/>
      <c r="K52" s="11"/>
      <c r="L52" s="11">
        <f>COUNTIF(N52:AH52,FALSE)</f>
        <v>0</v>
      </c>
      <c r="M52" s="117" t="str">
        <f>IF(L52=0,"","Profit - database validation failed")</f>
        <v/>
      </c>
      <c r="N52" s="157" t="str">
        <f t="shared" ref="N52:Z52" si="5">IF(ROUND(N51,2)&lt;&gt;ROUND(N99,2),N51-N99,"")</f>
        <v/>
      </c>
      <c r="O52" s="158" t="str">
        <f t="shared" si="5"/>
        <v/>
      </c>
      <c r="P52" s="158" t="str">
        <f t="shared" si="5"/>
        <v/>
      </c>
      <c r="Q52" s="158" t="str">
        <f t="shared" si="5"/>
        <v/>
      </c>
      <c r="R52" s="158" t="str">
        <f t="shared" si="5"/>
        <v/>
      </c>
      <c r="S52" s="158" t="str">
        <f t="shared" si="5"/>
        <v/>
      </c>
      <c r="T52" s="158" t="str">
        <f t="shared" si="5"/>
        <v/>
      </c>
      <c r="U52" s="158" t="str">
        <f t="shared" si="5"/>
        <v/>
      </c>
      <c r="V52" s="158" t="str">
        <f t="shared" si="5"/>
        <v/>
      </c>
      <c r="W52" s="158" t="str">
        <f t="shared" si="5"/>
        <v/>
      </c>
      <c r="X52" s="158" t="str">
        <f t="shared" si="5"/>
        <v/>
      </c>
      <c r="Y52" s="158" t="str">
        <f t="shared" si="5"/>
        <v/>
      </c>
      <c r="Z52" s="158" t="str">
        <f t="shared" si="5"/>
        <v/>
      </c>
      <c r="AA52" s="165" t="b">
        <f>Z52=""</f>
        <v>1</v>
      </c>
      <c r="AB52" s="140"/>
      <c r="AC52" s="157" t="str">
        <f>IF(ROUND(AC51,2)&lt;&gt;ROUND(AC99,2),AC51-AC99,"")</f>
        <v/>
      </c>
      <c r="AD52" s="160" t="b">
        <f>AC52=""</f>
        <v>1</v>
      </c>
      <c r="AE52" s="161"/>
      <c r="AF52" s="157" t="str">
        <f>IF(ROUND(AF51,2)&lt;&gt;ROUND(AF99,2),AF51-AF99,"")</f>
        <v/>
      </c>
      <c r="AG52" s="160" t="b">
        <f>AF52=""</f>
        <v>1</v>
      </c>
      <c r="AH52" s="161"/>
      <c r="AI52" s="11"/>
      <c r="AJ52" s="11"/>
      <c r="AK52" s="11"/>
      <c r="AL52" s="11"/>
      <c r="AM52" s="11"/>
      <c r="AN52" s="11"/>
      <c r="AO52" s="11"/>
    </row>
    <row r="53" spans="1:41" x14ac:dyDescent="0.35">
      <c r="A53" s="65" t="s">
        <v>47</v>
      </c>
      <c r="B53" s="66" t="str">
        <f>IF(_epmOfflineCondition_,"'Summary'!$A$58:$B$79",_xll.EVRNG($A$58:$B$79))</f>
        <v>'Summary'!$A$58:$B$79</v>
      </c>
      <c r="C53" s="11"/>
      <c r="D53" s="11"/>
      <c r="E53" s="11"/>
      <c r="F53" s="11"/>
      <c r="G53" s="11"/>
      <c r="H53" s="11" t="s">
        <v>565</v>
      </c>
      <c r="I53" s="59" t="str">
        <f>IF(_epmOfflineCondition_,"B1",_xll.EVPRO($B$1,$H53,"STYLE"))</f>
        <v>B1</v>
      </c>
      <c r="J53" s="59" t="str">
        <f>IF(_epmOfflineCondition_,"Y",_xll.EVPRO($B$1,$H53,"CALC"))</f>
        <v>Y</v>
      </c>
      <c r="K53" s="11"/>
      <c r="L53" s="11"/>
      <c r="M53" s="105" t="str">
        <f>IF(_epmOfflineCondition_,"Undistributed Expenses",IF(_xll.EVDES(H53,$B$1)="#NODATA","",_xll.EVDES(H53,$B$1)))</f>
        <v>Undistributed Expenses</v>
      </c>
      <c r="N53" s="162"/>
      <c r="O53" s="163"/>
      <c r="P53" s="163"/>
      <c r="Q53" s="163"/>
      <c r="R53" s="163"/>
      <c r="S53" s="163"/>
      <c r="T53" s="163"/>
      <c r="U53" s="163"/>
      <c r="V53" s="163"/>
      <c r="W53" s="163"/>
      <c r="X53" s="163"/>
      <c r="Y53" s="163"/>
      <c r="Z53" s="163"/>
      <c r="AA53" s="164"/>
      <c r="AB53" s="140"/>
      <c r="AC53" s="162"/>
      <c r="AD53" s="163"/>
      <c r="AE53" s="164"/>
      <c r="AF53" s="162"/>
      <c r="AG53" s="163"/>
      <c r="AH53" s="164"/>
      <c r="AI53" s="11"/>
      <c r="AJ53" s="11"/>
      <c r="AK53" s="11"/>
      <c r="AL53" s="11"/>
      <c r="AM53" s="11"/>
      <c r="AN53" s="11"/>
      <c r="AO53" s="11"/>
    </row>
    <row r="54" spans="1:41" x14ac:dyDescent="0.35">
      <c r="A54" s="65" t="s">
        <v>8</v>
      </c>
      <c r="B54" s="66"/>
      <c r="C54" s="11"/>
      <c r="D54" s="11"/>
      <c r="E54" s="11"/>
      <c r="F54" s="11"/>
      <c r="G54" s="88" t="s">
        <v>497</v>
      </c>
      <c r="H54" s="88" t="s">
        <v>464</v>
      </c>
      <c r="I54" s="122" t="str">
        <f>IF(_epmOfflineCondition_,"T3",_xll.EVPRO($B$1,$H54,"STYLE"))</f>
        <v>T3</v>
      </c>
      <c r="J54" s="122" t="str">
        <f>IF(_epmOfflineCondition_,"Y",_xll.EVPRO($B$1,$H54,"CALC"))</f>
        <v>Y</v>
      </c>
      <c r="K54" s="11"/>
      <c r="L54" s="11"/>
      <c r="M54" s="90" t="str">
        <f>IF(_epmOfflineCondition_,"Administrative &amp; General",IF(_xll.EVDES(G54,$B$1)="#NODATA","",_xll.EVDES(G54,$B$1)))</f>
        <v>Administrative &amp; General</v>
      </c>
      <c r="N54" s="143">
        <v>111792.76</v>
      </c>
      <c r="O54" s="143">
        <v>103628.96</v>
      </c>
      <c r="P54" s="143">
        <v>80529.3</v>
      </c>
      <c r="Q54" s="143">
        <v>32504.32</v>
      </c>
      <c r="R54" s="143">
        <v>29732.95</v>
      </c>
      <c r="S54" s="143">
        <v>32906.620000000003</v>
      </c>
      <c r="T54" s="143">
        <v>38001.22</v>
      </c>
      <c r="U54" s="143">
        <v>52852.3</v>
      </c>
      <c r="V54" s="143">
        <v>42093.54</v>
      </c>
      <c r="W54" s="143">
        <v>36837.51</v>
      </c>
      <c r="X54" s="143">
        <v>45466.3</v>
      </c>
      <c r="Y54" s="143">
        <v>67605.320000000007</v>
      </c>
      <c r="Z54" s="143">
        <f t="shared" ref="Z54:Z59" si="6">SUM(N54:Y54)</f>
        <v>673951.10000000009</v>
      </c>
      <c r="AA54" s="144">
        <f t="shared" ref="AA54:AA59" si="7">IF(Z54=0,"",IFERROR(Z54/Z$43,""))</f>
        <v>0.12927420672161979</v>
      </c>
      <c r="AB54" s="140"/>
      <c r="AC54" s="143">
        <v>1204512.54431534</v>
      </c>
      <c r="AD54" s="144">
        <f t="shared" ref="AD54:AD59" si="8">IF(AC54=0,"",IFERROR(AC54/AC$43,""))</f>
        <v>9.2856587905459059E-2</v>
      </c>
      <c r="AE54" s="145">
        <f t="shared" ref="AE54:AE59" si="9">IF(AND($Z54="",AC54=""),"",$Z54-AC54)</f>
        <v>-530561.4443153399</v>
      </c>
      <c r="AF54" s="143">
        <v>1027688.4</v>
      </c>
      <c r="AG54" s="144">
        <f t="shared" ref="AG54:AG59" si="10">IF(AF54=0,"",IFERROR(AF54/AF$43,""))</f>
        <v>0.12254825289371536</v>
      </c>
      <c r="AH54" s="145">
        <f t="shared" ref="AH54:AH59" si="11">IF(AND($Z54="",AF54=""),"",$Z54-AF54)</f>
        <v>-353737.29999999993</v>
      </c>
      <c r="AI54" s="623" t="str">
        <f t="shared" ref="AI54:AI59" si="12">+IFERROR(ROUND(($AA54-AD54)*100,2)&amp;" pts.",0)</f>
        <v>3.64 pts.</v>
      </c>
      <c r="AJ54" s="624"/>
      <c r="AK54" s="623" t="str">
        <f t="shared" ref="AK54:AK59" si="13">+IFERROR(ROUND(($AA54-AG54)*100,2)&amp;" pts.",0)</f>
        <v>0.67 pts.</v>
      </c>
      <c r="AL54" s="624"/>
      <c r="AM54" s="11"/>
      <c r="AN54" s="11"/>
      <c r="AO54" s="11"/>
    </row>
    <row r="55" spans="1:41" x14ac:dyDescent="0.35">
      <c r="A55" s="11"/>
      <c r="B55" s="11"/>
      <c r="C55" s="11"/>
      <c r="D55" s="11" t="s">
        <v>569</v>
      </c>
      <c r="E55" s="11"/>
      <c r="F55" s="11"/>
      <c r="G55" s="88" t="s">
        <v>500</v>
      </c>
      <c r="H55" s="88" t="s">
        <v>464</v>
      </c>
      <c r="I55" s="122" t="str">
        <f>IF(_epmOfflineCondition_,"T3",_xll.EVPRO($B$1,$H55,"STYLE"))</f>
        <v>T3</v>
      </c>
      <c r="J55" s="122" t="str">
        <f>IF(_epmOfflineCondition_,"Y",_xll.EVPRO($B$1,$H55,"CALC"))</f>
        <v>Y</v>
      </c>
      <c r="K55" s="11"/>
      <c r="L55" s="11"/>
      <c r="M55" s="90" t="str">
        <f>IF(_epmOfflineCondition_,"Information &amp; Telecom Systems",IF(_xll.EVDES(G55,$B$1)="#NODATA","",_xll.EVDES(G55,$B$1)))</f>
        <v>Information &amp; Telecom Systems</v>
      </c>
      <c r="N55" s="143">
        <v>20330.12</v>
      </c>
      <c r="O55" s="143">
        <v>20971.55</v>
      </c>
      <c r="P55" s="143">
        <v>11769.67</v>
      </c>
      <c r="Q55" s="143">
        <v>2603.1799999999998</v>
      </c>
      <c r="R55" s="143">
        <v>3641.21</v>
      </c>
      <c r="S55" s="143">
        <v>8711.1299999999992</v>
      </c>
      <c r="T55" s="143">
        <v>4309.97</v>
      </c>
      <c r="U55" s="143">
        <v>8306.7900000000009</v>
      </c>
      <c r="V55" s="143">
        <v>11182.72</v>
      </c>
      <c r="W55" s="143">
        <v>8858.98</v>
      </c>
      <c r="X55" s="143">
        <v>8406.16</v>
      </c>
      <c r="Y55" s="143">
        <v>15262.56</v>
      </c>
      <c r="Z55" s="143">
        <f t="shared" si="6"/>
        <v>124354.04</v>
      </c>
      <c r="AA55" s="144">
        <f t="shared" si="7"/>
        <v>2.3853021196387356E-2</v>
      </c>
      <c r="AB55" s="140"/>
      <c r="AC55" s="143">
        <v>231873.096573205</v>
      </c>
      <c r="AD55" s="144">
        <f t="shared" si="8"/>
        <v>1.7875234821318749E-2</v>
      </c>
      <c r="AE55" s="145">
        <f t="shared" si="9"/>
        <v>-107519.056573205</v>
      </c>
      <c r="AF55" s="143">
        <v>175831.42</v>
      </c>
      <c r="AG55" s="144">
        <f t="shared" si="10"/>
        <v>2.0967282811425215E-2</v>
      </c>
      <c r="AH55" s="145">
        <f t="shared" si="11"/>
        <v>-51477.380000000019</v>
      </c>
      <c r="AI55" s="623" t="str">
        <f t="shared" si="12"/>
        <v>0.6 pts.</v>
      </c>
      <c r="AJ55" s="624"/>
      <c r="AK55" s="623" t="str">
        <f t="shared" si="13"/>
        <v>0.29 pts.</v>
      </c>
      <c r="AL55" s="624"/>
      <c r="AM55" s="11"/>
      <c r="AN55" s="11"/>
      <c r="AO55" s="11"/>
    </row>
    <row r="56" spans="1:41" x14ac:dyDescent="0.35">
      <c r="A56" s="11"/>
      <c r="B56" s="11"/>
      <c r="C56" s="11"/>
      <c r="D56" s="11"/>
      <c r="E56" s="11"/>
      <c r="F56" s="11"/>
      <c r="G56" s="88" t="s">
        <v>512</v>
      </c>
      <c r="H56" s="88" t="s">
        <v>464</v>
      </c>
      <c r="I56" s="122" t="str">
        <f>IF(_epmOfflineCondition_,"T3",_xll.EVPRO($B$1,$H56,"STYLE"))</f>
        <v>T3</v>
      </c>
      <c r="J56" s="122" t="str">
        <f>IF(_epmOfflineCondition_,"Y",_xll.EVPRO($B$1,$H56,"CALC"))</f>
        <v>Y</v>
      </c>
      <c r="K56" s="11"/>
      <c r="L56" s="11"/>
      <c r="M56" s="90" t="str">
        <f>IF(_epmOfflineCondition_,"Sales &amp; Marketing",IF(_xll.EVDES(G56,$B$1)="#NODATA","",_xll.EVDES(G56,$B$1)))</f>
        <v>Sales &amp; Marketing</v>
      </c>
      <c r="N56" s="143">
        <v>125142.41</v>
      </c>
      <c r="O56" s="143">
        <v>115237.57</v>
      </c>
      <c r="P56" s="143">
        <v>64992.31</v>
      </c>
      <c r="Q56" s="143">
        <v>6947.3</v>
      </c>
      <c r="R56" s="143">
        <v>13546.36</v>
      </c>
      <c r="S56" s="143">
        <v>14090.49</v>
      </c>
      <c r="T56" s="143">
        <v>19406.59</v>
      </c>
      <c r="U56" s="143">
        <v>20379.53</v>
      </c>
      <c r="V56" s="143">
        <v>28753.4</v>
      </c>
      <c r="W56" s="143">
        <v>34936.31</v>
      </c>
      <c r="X56" s="143">
        <v>29197.35</v>
      </c>
      <c r="Y56" s="143">
        <v>38642.71</v>
      </c>
      <c r="Z56" s="143">
        <f t="shared" si="6"/>
        <v>511272.33000000007</v>
      </c>
      <c r="AA56" s="144">
        <f t="shared" si="7"/>
        <v>9.8069911718319344E-2</v>
      </c>
      <c r="AB56" s="140"/>
      <c r="AC56" s="143">
        <v>1120416.1066174801</v>
      </c>
      <c r="AD56" s="144">
        <f t="shared" si="8"/>
        <v>8.6373543543255285E-2</v>
      </c>
      <c r="AE56" s="145">
        <f t="shared" si="9"/>
        <v>-609143.77661747998</v>
      </c>
      <c r="AF56" s="143">
        <v>1148505.81</v>
      </c>
      <c r="AG56" s="144">
        <f t="shared" si="10"/>
        <v>0.13695530712790124</v>
      </c>
      <c r="AH56" s="145">
        <f t="shared" si="11"/>
        <v>-637233.48</v>
      </c>
      <c r="AI56" s="623" t="str">
        <f t="shared" si="12"/>
        <v>1.17 pts.</v>
      </c>
      <c r="AJ56" s="624"/>
      <c r="AK56" s="623" t="str">
        <f t="shared" si="13"/>
        <v>-3.89 pts.</v>
      </c>
      <c r="AL56" s="624"/>
      <c r="AM56" s="11"/>
      <c r="AN56" s="11"/>
      <c r="AO56" s="11"/>
    </row>
    <row r="57" spans="1:41" x14ac:dyDescent="0.35">
      <c r="A57" s="62" t="s">
        <v>23</v>
      </c>
      <c r="B57" s="63" t="s">
        <v>24</v>
      </c>
      <c r="C57" s="11"/>
      <c r="D57" s="11"/>
      <c r="E57" s="11"/>
      <c r="F57" s="11"/>
      <c r="G57" s="88" t="s">
        <v>513</v>
      </c>
      <c r="H57" s="88" t="s">
        <v>464</v>
      </c>
      <c r="I57" s="122" t="str">
        <f>IF(_epmOfflineCondition_,"T3",_xll.EVPRO($B$1,$H57,"STYLE"))</f>
        <v>T3</v>
      </c>
      <c r="J57" s="122" t="str">
        <f>IF(_epmOfflineCondition_,"Y",_xll.EVPRO($B$1,$H57,"CALC"))</f>
        <v>Y</v>
      </c>
      <c r="K57" s="11"/>
      <c r="L57" s="11"/>
      <c r="M57" s="90" t="str">
        <f>IF(_epmOfflineCondition_,"Property Operation &amp; Maintenance",IF(_xll.EVDES(G57,$B$1)="#NODATA","",_xll.EVDES(G57,$B$1)))</f>
        <v>Property Operation &amp; Maintenance</v>
      </c>
      <c r="N57" s="143">
        <v>42091.85</v>
      </c>
      <c r="O57" s="143">
        <v>36072.050000000003</v>
      </c>
      <c r="P57" s="143">
        <v>29110.19</v>
      </c>
      <c r="Q57" s="143">
        <v>16286.66</v>
      </c>
      <c r="R57" s="143">
        <v>15178.05</v>
      </c>
      <c r="S57" s="143">
        <v>26818.85</v>
      </c>
      <c r="T57" s="143">
        <v>29858.17</v>
      </c>
      <c r="U57" s="143">
        <v>26045.7</v>
      </c>
      <c r="V57" s="143">
        <v>30015.19</v>
      </c>
      <c r="W57" s="143">
        <v>34219.660000000003</v>
      </c>
      <c r="X57" s="143">
        <v>30573.5</v>
      </c>
      <c r="Y57" s="143">
        <v>33887.67</v>
      </c>
      <c r="Z57" s="143">
        <f t="shared" si="6"/>
        <v>350157.54</v>
      </c>
      <c r="AA57" s="144">
        <f t="shared" si="7"/>
        <v>6.716561218031078E-2</v>
      </c>
      <c r="AB57" s="140"/>
      <c r="AC57" s="143">
        <v>519169.32440141297</v>
      </c>
      <c r="AD57" s="144">
        <f t="shared" si="8"/>
        <v>4.0023071770082554E-2</v>
      </c>
      <c r="AE57" s="145">
        <f t="shared" si="9"/>
        <v>-169011.784401413</v>
      </c>
      <c r="AF57" s="143">
        <v>534213.9</v>
      </c>
      <c r="AG57" s="144">
        <f t="shared" si="10"/>
        <v>6.3703142038518651E-2</v>
      </c>
      <c r="AH57" s="145">
        <f t="shared" si="11"/>
        <v>-184056.36000000004</v>
      </c>
      <c r="AI57" s="623" t="str">
        <f t="shared" si="12"/>
        <v>2.71 pts.</v>
      </c>
      <c r="AJ57" s="624"/>
      <c r="AK57" s="623" t="str">
        <f t="shared" si="13"/>
        <v>0.35 pts.</v>
      </c>
      <c r="AL57" s="624"/>
      <c r="AM57" s="11"/>
      <c r="AN57" s="11"/>
      <c r="AO57" s="11"/>
    </row>
    <row r="58" spans="1:41" x14ac:dyDescent="0.35">
      <c r="A58" s="65" t="s">
        <v>25</v>
      </c>
      <c r="B58" s="66"/>
      <c r="C58" s="11"/>
      <c r="D58" s="11"/>
      <c r="E58" s="11"/>
      <c r="F58" s="11"/>
      <c r="G58" s="88" t="s">
        <v>514</v>
      </c>
      <c r="H58" s="88" t="s">
        <v>464</v>
      </c>
      <c r="I58" s="122" t="str">
        <f>IF(_epmOfflineCondition_,"T3",_xll.EVPRO($B$1,$H58,"STYLE"))</f>
        <v>T3</v>
      </c>
      <c r="J58" s="122" t="str">
        <f>IF(_epmOfflineCondition_,"Y",_xll.EVPRO($B$1,$H58,"CALC"))</f>
        <v>Y</v>
      </c>
      <c r="K58" s="11"/>
      <c r="L58" s="11"/>
      <c r="M58" s="90" t="str">
        <f>IF(_epmOfflineCondition_,"Utilities",IF(_xll.EVDES(G58,$B$1)="#NODATA","",_xll.EVDES(G58,$B$1)))</f>
        <v>Utilities</v>
      </c>
      <c r="N58" s="143">
        <v>14340.78</v>
      </c>
      <c r="O58" s="143">
        <v>11962.25</v>
      </c>
      <c r="P58" s="143">
        <v>14139.37</v>
      </c>
      <c r="Q58" s="143">
        <v>5243.19</v>
      </c>
      <c r="R58" s="143">
        <v>5611.75</v>
      </c>
      <c r="S58" s="143">
        <v>5918.02</v>
      </c>
      <c r="T58" s="143">
        <v>14010.16</v>
      </c>
      <c r="U58" s="143">
        <v>15004.53</v>
      </c>
      <c r="V58" s="143">
        <v>15934.09</v>
      </c>
      <c r="W58" s="143">
        <v>14448.02</v>
      </c>
      <c r="X58" s="143">
        <v>12871.81</v>
      </c>
      <c r="Y58" s="143">
        <v>14047.42</v>
      </c>
      <c r="Z58" s="143">
        <f t="shared" si="6"/>
        <v>143531.39000000001</v>
      </c>
      <c r="AA58" s="144">
        <f t="shared" si="7"/>
        <v>2.7531532453766203E-2</v>
      </c>
      <c r="AB58" s="140"/>
      <c r="AC58" s="143">
        <v>183012.898684794</v>
      </c>
      <c r="AD58" s="144">
        <f t="shared" si="8"/>
        <v>1.4108573127577531E-2</v>
      </c>
      <c r="AE58" s="145">
        <f t="shared" si="9"/>
        <v>-39481.508684793982</v>
      </c>
      <c r="AF58" s="143">
        <v>162530.51999999999</v>
      </c>
      <c r="AG58" s="144">
        <f t="shared" si="10"/>
        <v>1.9381196934700307E-2</v>
      </c>
      <c r="AH58" s="145">
        <f t="shared" si="11"/>
        <v>-18999.129999999976</v>
      </c>
      <c r="AI58" s="623" t="str">
        <f t="shared" si="12"/>
        <v>1.34 pts.</v>
      </c>
      <c r="AJ58" s="624"/>
      <c r="AK58" s="623" t="str">
        <f t="shared" si="13"/>
        <v>0.82 pts.</v>
      </c>
      <c r="AL58" s="624"/>
      <c r="AM58" s="11"/>
      <c r="AN58" s="11"/>
      <c r="AO58" s="11"/>
    </row>
    <row r="59" spans="1:41" x14ac:dyDescent="0.35">
      <c r="A59" s="65" t="s">
        <v>26</v>
      </c>
      <c r="B59" s="66"/>
      <c r="C59" s="11"/>
      <c r="D59" s="11"/>
      <c r="E59" s="11"/>
      <c r="F59" s="11"/>
      <c r="G59" s="11"/>
      <c r="H59" s="11"/>
      <c r="I59" s="11"/>
      <c r="J59" s="11"/>
      <c r="K59" s="11"/>
      <c r="L59" s="11"/>
      <c r="M59" s="106" t="str">
        <f>"Total "&amp;M53</f>
        <v>Total Undistributed Expenses</v>
      </c>
      <c r="N59" s="154">
        <f t="shared" ref="N59:Y59" si="14">SUM(N54:N58)</f>
        <v>313697.92000000004</v>
      </c>
      <c r="O59" s="154">
        <f t="shared" si="14"/>
        <v>287872.38</v>
      </c>
      <c r="P59" s="154">
        <f t="shared" si="14"/>
        <v>200540.84</v>
      </c>
      <c r="Q59" s="154">
        <f t="shared" si="14"/>
        <v>63584.650000000009</v>
      </c>
      <c r="R59" s="154">
        <f t="shared" si="14"/>
        <v>67710.320000000007</v>
      </c>
      <c r="S59" s="154">
        <f t="shared" si="14"/>
        <v>88445.11</v>
      </c>
      <c r="T59" s="154">
        <f t="shared" si="14"/>
        <v>105586.11</v>
      </c>
      <c r="U59" s="154">
        <f t="shared" si="14"/>
        <v>122588.84999999999</v>
      </c>
      <c r="V59" s="154">
        <f t="shared" si="14"/>
        <v>127978.94</v>
      </c>
      <c r="W59" s="154">
        <f t="shared" si="14"/>
        <v>129300.48000000001</v>
      </c>
      <c r="X59" s="154">
        <f t="shared" si="14"/>
        <v>126515.12</v>
      </c>
      <c r="Y59" s="154">
        <f t="shared" si="14"/>
        <v>169445.68000000002</v>
      </c>
      <c r="Z59" s="154">
        <f t="shared" si="6"/>
        <v>1803266.4000000001</v>
      </c>
      <c r="AA59" s="155">
        <f t="shared" si="7"/>
        <v>0.34589428427040347</v>
      </c>
      <c r="AB59" s="140"/>
      <c r="AC59" s="154">
        <f>SUM(AC54:AC58)</f>
        <v>3258983.9705922324</v>
      </c>
      <c r="AD59" s="155">
        <f t="shared" si="8"/>
        <v>0.2512370111676932</v>
      </c>
      <c r="AE59" s="156">
        <f t="shared" si="9"/>
        <v>-1455717.5705922323</v>
      </c>
      <c r="AF59" s="154">
        <f>SUM(AF54:AF58)</f>
        <v>3048770.05</v>
      </c>
      <c r="AG59" s="155">
        <f t="shared" si="10"/>
        <v>0.36355518180626073</v>
      </c>
      <c r="AH59" s="156">
        <f t="shared" si="11"/>
        <v>-1245503.6499999997</v>
      </c>
      <c r="AI59" s="627" t="str">
        <f t="shared" si="12"/>
        <v>9.47 pts.</v>
      </c>
      <c r="AJ59" s="628"/>
      <c r="AK59" s="627" t="str">
        <f t="shared" si="13"/>
        <v>-1.77 pts.</v>
      </c>
      <c r="AL59" s="628"/>
      <c r="AM59" s="11"/>
      <c r="AN59" s="11"/>
      <c r="AO59" s="11"/>
    </row>
    <row r="60" spans="1:41" x14ac:dyDescent="0.35">
      <c r="A60" s="65" t="s">
        <v>27</v>
      </c>
      <c r="B60" s="66"/>
      <c r="C60" s="11"/>
      <c r="D60" s="11"/>
      <c r="E60" s="11"/>
      <c r="F60" s="11"/>
      <c r="G60" s="106"/>
      <c r="H60" s="106"/>
      <c r="I60" s="106"/>
      <c r="J60" s="106"/>
      <c r="K60" s="11"/>
      <c r="L60" s="11">
        <f>COUNTIF(N60:AH60,FALSE)</f>
        <v>0</v>
      </c>
      <c r="M60" s="117" t="str">
        <f>IF(L60=0,"","Expense - database validation failed")</f>
        <v/>
      </c>
      <c r="N60" s="157" t="str">
        <f t="shared" ref="N60:Z60" si="15">IF(ROUND(N59,2)&lt;&gt;ROUND(N100,2),N59-N100,"")</f>
        <v/>
      </c>
      <c r="O60" s="158" t="str">
        <f t="shared" si="15"/>
        <v/>
      </c>
      <c r="P60" s="158" t="str">
        <f t="shared" si="15"/>
        <v/>
      </c>
      <c r="Q60" s="158" t="str">
        <f t="shared" si="15"/>
        <v/>
      </c>
      <c r="R60" s="158" t="str">
        <f t="shared" si="15"/>
        <v/>
      </c>
      <c r="S60" s="158" t="str">
        <f t="shared" si="15"/>
        <v/>
      </c>
      <c r="T60" s="158" t="str">
        <f t="shared" si="15"/>
        <v/>
      </c>
      <c r="U60" s="158" t="str">
        <f t="shared" si="15"/>
        <v/>
      </c>
      <c r="V60" s="158" t="str">
        <f t="shared" si="15"/>
        <v/>
      </c>
      <c r="W60" s="158" t="str">
        <f t="shared" si="15"/>
        <v/>
      </c>
      <c r="X60" s="158" t="str">
        <f t="shared" si="15"/>
        <v/>
      </c>
      <c r="Y60" s="158" t="str">
        <f t="shared" si="15"/>
        <v/>
      </c>
      <c r="Z60" s="158" t="str">
        <f t="shared" si="15"/>
        <v/>
      </c>
      <c r="AA60" s="165" t="b">
        <f>Z60=""</f>
        <v>1</v>
      </c>
      <c r="AB60" s="140"/>
      <c r="AC60" s="157" t="str">
        <f>IF(ROUND(AC59,2)&lt;&gt;ROUND(AC100,2),AC59-AC100,"")</f>
        <v/>
      </c>
      <c r="AD60" s="160" t="b">
        <f>AC60=""</f>
        <v>1</v>
      </c>
      <c r="AE60" s="161"/>
      <c r="AF60" s="157" t="str">
        <f>IF(ROUND(AF59,2)&lt;&gt;ROUND(AF100,2),AF59-AF100,"")</f>
        <v/>
      </c>
      <c r="AG60" s="160" t="b">
        <f>AF60=""</f>
        <v>1</v>
      </c>
      <c r="AH60" s="161"/>
      <c r="AI60" s="11"/>
      <c r="AJ60" s="11"/>
      <c r="AK60" s="11"/>
      <c r="AL60" s="11"/>
      <c r="AM60" s="11"/>
      <c r="AN60" s="11"/>
      <c r="AO60" s="11"/>
    </row>
    <row r="61" spans="1:41" ht="15" thickBot="1" x14ac:dyDescent="0.4">
      <c r="A61" s="65" t="s">
        <v>28</v>
      </c>
      <c r="B61" s="66"/>
      <c r="C61" s="11"/>
      <c r="D61" s="11"/>
      <c r="E61" s="11"/>
      <c r="F61" s="88" t="s">
        <v>567</v>
      </c>
      <c r="G61" s="11"/>
      <c r="H61" s="11"/>
      <c r="I61" s="11"/>
      <c r="J61" s="11"/>
      <c r="K61" s="11"/>
      <c r="L61" s="11"/>
      <c r="M61" s="106" t="str">
        <f>IF(_epmOfflineCondition_,"Gross Operating Profit",IF(_xll.EVDES(F61,$B$1)="#NODATA","",_xll.EVDES(F61,$B$1)))</f>
        <v>Gross Operating Profit</v>
      </c>
      <c r="N61" s="169">
        <f t="shared" ref="N61:Y61" si="16">N43-N49-N59</f>
        <v>688781.38999999978</v>
      </c>
      <c r="O61" s="169">
        <f t="shared" si="16"/>
        <v>688845.99000000011</v>
      </c>
      <c r="P61" s="169">
        <f t="shared" si="16"/>
        <v>33130.450000000041</v>
      </c>
      <c r="Q61" s="169">
        <f t="shared" si="16"/>
        <v>-93562.270000000019</v>
      </c>
      <c r="R61" s="169">
        <f t="shared" si="16"/>
        <v>-111307.56</v>
      </c>
      <c r="S61" s="169">
        <f t="shared" si="16"/>
        <v>-36999.880000000005</v>
      </c>
      <c r="T61" s="169">
        <f t="shared" si="16"/>
        <v>-86745.09</v>
      </c>
      <c r="U61" s="169">
        <f t="shared" si="16"/>
        <v>-41778.849999999991</v>
      </c>
      <c r="V61" s="169">
        <f t="shared" si="16"/>
        <v>44713.81</v>
      </c>
      <c r="W61" s="169">
        <f t="shared" si="16"/>
        <v>111433.71000000002</v>
      </c>
      <c r="X61" s="169">
        <f t="shared" si="16"/>
        <v>77879.520000000019</v>
      </c>
      <c r="Y61" s="169">
        <f t="shared" si="16"/>
        <v>272181.78999999992</v>
      </c>
      <c r="Z61" s="169">
        <f>SUM(N61:Y61)</f>
        <v>1546573.0099999993</v>
      </c>
      <c r="AA61" s="170">
        <f>IF(Z61=0,"",IFERROR(Z61/Z$43,""))</f>
        <v>0.296656536364163</v>
      </c>
      <c r="AB61" s="140"/>
      <c r="AC61" s="169">
        <f>AC43-AC49-AC59</f>
        <v>4935139.8568793628</v>
      </c>
      <c r="AD61" s="170">
        <f>IF(AC61=0,"",IFERROR(AC61/AC$43,""))</f>
        <v>0.38045286461216066</v>
      </c>
      <c r="AE61" s="171">
        <f>IF(AND($Z61="",AC61=""),"",$Z61-AC61)</f>
        <v>-3388566.8468793635</v>
      </c>
      <c r="AF61" s="169">
        <f>AF43-AF49-AF59</f>
        <v>1938349.8099999996</v>
      </c>
      <c r="AG61" s="170">
        <f>IF(AF61=0,"",IFERROR(AF61/AF$43,""))</f>
        <v>0.2311414459016615</v>
      </c>
      <c r="AH61" s="171">
        <f>IF(AND($Z61="",AF61=""),"",$Z61-AF61)</f>
        <v>-391776.80000000028</v>
      </c>
      <c r="AI61" s="625" t="str">
        <f>+IFERROR(ROUND(($AA61-AD61)*100,2)&amp;" pts.",0)</f>
        <v>-8.38 pts.</v>
      </c>
      <c r="AJ61" s="626"/>
      <c r="AK61" s="625" t="str">
        <f>+IFERROR(ROUND(($AA61-AG61)*100,2)&amp;" pts.",0)</f>
        <v>6.55 pts.</v>
      </c>
      <c r="AL61" s="626"/>
      <c r="AM61" s="11"/>
      <c r="AN61" s="11"/>
      <c r="AO61" s="11"/>
    </row>
    <row r="62" spans="1:41" ht="15" thickTop="1" x14ac:dyDescent="0.35">
      <c r="A62" s="65" t="s">
        <v>29</v>
      </c>
      <c r="B62" s="66"/>
      <c r="C62" s="11"/>
      <c r="D62" s="11"/>
      <c r="E62" s="11"/>
      <c r="F62" s="11"/>
      <c r="G62" s="11"/>
      <c r="H62" s="11"/>
      <c r="I62" s="11"/>
      <c r="J62" s="11"/>
      <c r="K62" s="11"/>
      <c r="L62" s="11">
        <f>COUNTIF(N62:AH62,FALSE)</f>
        <v>0</v>
      </c>
      <c r="M62" s="117" t="str">
        <f>IF(L62=0,"","GOP - database validation failed")</f>
        <v/>
      </c>
      <c r="N62" s="157" t="str">
        <f t="shared" ref="N62:Z62" si="17">IF(ROUND(N61,2)&lt;&gt;ROUND(N101,2),N61-N101,"")</f>
        <v/>
      </c>
      <c r="O62" s="158" t="str">
        <f t="shared" si="17"/>
        <v/>
      </c>
      <c r="P62" s="158" t="str">
        <f t="shared" si="17"/>
        <v/>
      </c>
      <c r="Q62" s="158" t="str">
        <f t="shared" si="17"/>
        <v/>
      </c>
      <c r="R62" s="158" t="str">
        <f t="shared" si="17"/>
        <v/>
      </c>
      <c r="S62" s="158" t="str">
        <f t="shared" si="17"/>
        <v/>
      </c>
      <c r="T62" s="158" t="str">
        <f t="shared" si="17"/>
        <v/>
      </c>
      <c r="U62" s="158" t="str">
        <f t="shared" si="17"/>
        <v/>
      </c>
      <c r="V62" s="158" t="str">
        <f t="shared" si="17"/>
        <v/>
      </c>
      <c r="W62" s="158" t="str">
        <f t="shared" si="17"/>
        <v/>
      </c>
      <c r="X62" s="158" t="str">
        <f t="shared" si="17"/>
        <v/>
      </c>
      <c r="Y62" s="158" t="str">
        <f t="shared" si="17"/>
        <v/>
      </c>
      <c r="Z62" s="158" t="str">
        <f t="shared" si="17"/>
        <v/>
      </c>
      <c r="AA62" s="165" t="b">
        <f>Z62=""</f>
        <v>1</v>
      </c>
      <c r="AB62" s="140"/>
      <c r="AC62" s="157" t="str">
        <f>IF(ROUND(AC61,2)&lt;&gt;ROUND(AC101,2),AC61-AC101,"")</f>
        <v/>
      </c>
      <c r="AD62" s="160" t="b">
        <f>AC62=""</f>
        <v>1</v>
      </c>
      <c r="AE62" s="161"/>
      <c r="AF62" s="157" t="str">
        <f>IF(ROUND(AF61,2)&lt;&gt;ROUND(AF101,2),AF61-AF101,"")</f>
        <v/>
      </c>
      <c r="AG62" s="160" t="b">
        <f>AF62=""</f>
        <v>1</v>
      </c>
      <c r="AH62" s="161"/>
      <c r="AI62" s="11"/>
      <c r="AJ62" s="11"/>
      <c r="AK62" s="11"/>
      <c r="AL62" s="11"/>
      <c r="AM62" s="11"/>
      <c r="AN62" s="11"/>
      <c r="AO62" s="11"/>
    </row>
    <row r="63" spans="1:41" x14ac:dyDescent="0.35">
      <c r="A63" s="65" t="s">
        <v>30</v>
      </c>
      <c r="B63" s="66" t="s">
        <v>78</v>
      </c>
      <c r="C63" s="11"/>
      <c r="D63" s="11"/>
      <c r="E63" s="11"/>
      <c r="F63" s="11"/>
      <c r="G63" s="88" t="s">
        <v>516</v>
      </c>
      <c r="H63" s="88" t="s">
        <v>79</v>
      </c>
      <c r="I63" s="122" t="str">
        <f>IF(_epmOfflineCondition_,"T3",_xll.EVPRO($B$1,$H63,"STYLE"))</f>
        <v>T3</v>
      </c>
      <c r="J63" s="122" t="str">
        <f>IF(_epmOfflineCondition_,"Y",_xll.EVPRO($B$1,$H63,"CALC"))</f>
        <v>Y</v>
      </c>
      <c r="K63" s="11"/>
      <c r="L63" s="11"/>
      <c r="M63" s="90" t="str">
        <f>IF(_epmOfflineCondition_,"Management Fees",IF(_xll.EVDES(G63,$B$1)="#NODATA","",_xll.EVDES(G63,$B$1)))</f>
        <v>Management Fees</v>
      </c>
      <c r="N63" s="143">
        <v>44718.96</v>
      </c>
      <c r="O63" s="143">
        <v>45513.32</v>
      </c>
      <c r="P63" s="143">
        <v>16478.310000000001</v>
      </c>
      <c r="Q63" s="143">
        <v>-281.18</v>
      </c>
      <c r="R63" s="143">
        <v>-750.84</v>
      </c>
      <c r="S63" s="143">
        <v>3335.78</v>
      </c>
      <c r="T63" s="143">
        <v>2814.26</v>
      </c>
      <c r="U63" s="143">
        <v>4988.68</v>
      </c>
      <c r="V63" s="143">
        <v>8638.75</v>
      </c>
      <c r="W63" s="143">
        <v>10919.12</v>
      </c>
      <c r="X63" s="143">
        <v>10860.5</v>
      </c>
      <c r="Y63" s="143">
        <v>19031.28</v>
      </c>
      <c r="Z63" s="143">
        <f>SUM(N63:Y63)</f>
        <v>166266.94</v>
      </c>
      <c r="AA63" s="144">
        <f>IF(Z63=0,"",IFERROR(Z63/Z$43,""))</f>
        <v>3.1892561303826276E-2</v>
      </c>
      <c r="AB63" s="140"/>
      <c r="AC63" s="143">
        <v>405718.78286601999</v>
      </c>
      <c r="AD63" s="144">
        <f>IF(AC63=0,"",IFERROR(AC63/AC$43,""))</f>
        <v>3.1277102097353932E-2</v>
      </c>
      <c r="AE63" s="145">
        <f>IF(AND($Z63="",AC63=""),"",$Z63-AC63)</f>
        <v>-239451.84286601999</v>
      </c>
      <c r="AF63" s="143">
        <v>267746.36</v>
      </c>
      <c r="AG63" s="144">
        <f>IF(AF63=0,"",IFERROR(AF63/AF$43,""))</f>
        <v>3.1927818428865939E-2</v>
      </c>
      <c r="AH63" s="145">
        <f>IF(AND($Z63="",AF63=""),"",$Z63-AF63)</f>
        <v>-101479.41999999998</v>
      </c>
      <c r="AI63" s="623" t="str">
        <f>+IFERROR(ROUND(($AA63-AD63)*100,2)&amp;" pts.",0)</f>
        <v>0.06 pts.</v>
      </c>
      <c r="AJ63" s="624"/>
      <c r="AK63" s="623" t="str">
        <f>+IFERROR(ROUND(($AA63-AG63)*100,2)&amp;" pts.",0)</f>
        <v>0 pts.</v>
      </c>
      <c r="AL63" s="624"/>
      <c r="AM63" s="11"/>
      <c r="AN63" s="11"/>
      <c r="AO63" s="11"/>
    </row>
    <row r="64" spans="1:41" x14ac:dyDescent="0.35">
      <c r="A64" s="65" t="s">
        <v>31</v>
      </c>
      <c r="B64" s="66" t="s">
        <v>78</v>
      </c>
      <c r="C64" s="11"/>
      <c r="D64" s="11"/>
      <c r="E64" s="11"/>
      <c r="F64" s="88" t="s">
        <v>574</v>
      </c>
      <c r="G64" s="11"/>
      <c r="H64" s="11"/>
      <c r="I64" s="11"/>
      <c r="J64" s="11"/>
      <c r="K64" s="11"/>
      <c r="L64" s="11"/>
      <c r="M64" s="106" t="str">
        <f>IF(_epmOfflineCondition_,"Income Before Non-Operataing Inc. &amp; Exp.",IF(_xll.EVDES(F64,$B$1)="#NODATA","",_xll.EVDES(F64,$B$1)))</f>
        <v>Income Before Non-Operataing Inc. &amp; Exp.</v>
      </c>
      <c r="N64" s="166">
        <f t="shared" ref="N64:Y64" si="18">N61-N63</f>
        <v>644062.42999999982</v>
      </c>
      <c r="O64" s="166">
        <f t="shared" si="18"/>
        <v>643332.67000000016</v>
      </c>
      <c r="P64" s="166">
        <f t="shared" si="18"/>
        <v>16652.140000000039</v>
      </c>
      <c r="Q64" s="166">
        <f t="shared" si="18"/>
        <v>-93281.090000000026</v>
      </c>
      <c r="R64" s="166">
        <f t="shared" si="18"/>
        <v>-110556.72</v>
      </c>
      <c r="S64" s="166">
        <f t="shared" si="18"/>
        <v>-40335.660000000003</v>
      </c>
      <c r="T64" s="166">
        <f t="shared" si="18"/>
        <v>-89559.349999999991</v>
      </c>
      <c r="U64" s="166">
        <f t="shared" si="18"/>
        <v>-46767.529999999992</v>
      </c>
      <c r="V64" s="166">
        <f t="shared" si="18"/>
        <v>36075.06</v>
      </c>
      <c r="W64" s="166">
        <f t="shared" si="18"/>
        <v>100514.59000000003</v>
      </c>
      <c r="X64" s="166">
        <f t="shared" si="18"/>
        <v>67019.020000000019</v>
      </c>
      <c r="Y64" s="166">
        <f t="shared" si="18"/>
        <v>253150.50999999992</v>
      </c>
      <c r="Z64" s="166">
        <f>SUM(N64:Y64)</f>
        <v>1380306.0700000003</v>
      </c>
      <c r="AA64" s="167">
        <f>IF(Z64=0,"",IFERROR(Z64/Z$43,""))</f>
        <v>0.26476397506033689</v>
      </c>
      <c r="AB64" s="140"/>
      <c r="AC64" s="166">
        <f>AC61-AC63</f>
        <v>4529421.0740133431</v>
      </c>
      <c r="AD64" s="167">
        <f>IF(AC64=0,"",IFERROR(AC64/AC$43,""))</f>
        <v>0.34917576251480675</v>
      </c>
      <c r="AE64" s="168">
        <f>IF(AND($Z64="",AC64=""),"",$Z64-AC64)</f>
        <v>-3149115.0040133428</v>
      </c>
      <c r="AF64" s="166">
        <f>AF61-AF63</f>
        <v>1670603.4499999997</v>
      </c>
      <c r="AG64" s="167">
        <f>IF(AF64=0,"",IFERROR(AF64/AF$43,""))</f>
        <v>0.19921362747279558</v>
      </c>
      <c r="AH64" s="168">
        <f>IF(AND($Z64="",AF64=""),"",$Z64-AF64)</f>
        <v>-290297.37999999942</v>
      </c>
      <c r="AI64" s="629" t="str">
        <f>+IFERROR(ROUND(($AA64-AD64)*100,2)&amp;" pts.",0)</f>
        <v>-8.44 pts.</v>
      </c>
      <c r="AJ64" s="630"/>
      <c r="AK64" s="629" t="str">
        <f>+IFERROR(ROUND(($AA64-AG64)*100,2)&amp;" pts.",0)</f>
        <v>6.56 pts.</v>
      </c>
      <c r="AL64" s="630"/>
      <c r="AM64" s="11"/>
      <c r="AN64" s="11"/>
      <c r="AO64" s="11"/>
    </row>
    <row r="65" spans="1:41" x14ac:dyDescent="0.35">
      <c r="A65" s="65" t="s">
        <v>32</v>
      </c>
      <c r="B65" s="66"/>
      <c r="C65" s="11"/>
      <c r="D65" s="11"/>
      <c r="E65" s="11"/>
      <c r="F65" s="11"/>
      <c r="G65" s="11"/>
      <c r="H65" s="11"/>
      <c r="I65" s="11"/>
      <c r="J65" s="11"/>
      <c r="K65" s="11"/>
      <c r="L65" s="11"/>
      <c r="M65" s="117"/>
      <c r="N65" s="172"/>
      <c r="O65" s="173"/>
      <c r="P65" s="173"/>
      <c r="Q65" s="173"/>
      <c r="R65" s="173"/>
      <c r="S65" s="173"/>
      <c r="T65" s="173"/>
      <c r="U65" s="173"/>
      <c r="V65" s="173"/>
      <c r="W65" s="173"/>
      <c r="X65" s="173"/>
      <c r="Y65" s="173"/>
      <c r="Z65" s="173"/>
      <c r="AA65" s="165"/>
      <c r="AB65" s="140"/>
      <c r="AC65" s="172"/>
      <c r="AD65" s="160"/>
      <c r="AE65" s="161"/>
      <c r="AF65" s="172"/>
      <c r="AG65" s="160"/>
      <c r="AH65" s="161"/>
      <c r="AI65" s="11"/>
      <c r="AJ65" s="11"/>
      <c r="AK65" s="11"/>
      <c r="AL65" s="11"/>
      <c r="AM65" s="11"/>
      <c r="AN65" s="11"/>
      <c r="AO65" s="11"/>
    </row>
    <row r="66" spans="1:41" x14ac:dyDescent="0.35">
      <c r="A66" s="65" t="s">
        <v>33</v>
      </c>
      <c r="B66" s="66"/>
      <c r="C66" s="11"/>
      <c r="D66" s="11"/>
      <c r="E66" s="11"/>
      <c r="F66" s="11"/>
      <c r="G66" s="11"/>
      <c r="H66" s="11" t="s">
        <v>575</v>
      </c>
      <c r="I66" s="59" t="str">
        <f>IF(_epmOfflineCondition_,"B1",_xll.EVPRO($B$1,$H66,"STYLE"))</f>
        <v>B1</v>
      </c>
      <c r="J66" s="59" t="str">
        <f>IF(_epmOfflineCondition_,"Y",_xll.EVPRO($B$1,$H66,"CALC"))</f>
        <v>Y</v>
      </c>
      <c r="K66" s="11"/>
      <c r="L66" s="11"/>
      <c r="M66" s="105" t="str">
        <f>IF(_epmOfflineCondition_,"Non-Operating Income &amp; Expenses",IF(_xll.EVDES(H66,$B$1)="#NODATA","",_xll.EVDES(H66,$B$1)))</f>
        <v>Non-Operating Income &amp; Expenses</v>
      </c>
      <c r="N66" s="162"/>
      <c r="O66" s="163"/>
      <c r="P66" s="163"/>
      <c r="Q66" s="163"/>
      <c r="R66" s="163"/>
      <c r="S66" s="163"/>
      <c r="T66" s="163"/>
      <c r="U66" s="163"/>
      <c r="V66" s="163"/>
      <c r="W66" s="163"/>
      <c r="X66" s="163"/>
      <c r="Y66" s="163"/>
      <c r="Z66" s="163"/>
      <c r="AA66" s="164"/>
      <c r="AB66" s="140"/>
      <c r="AC66" s="162"/>
      <c r="AD66" s="163"/>
      <c r="AE66" s="164"/>
      <c r="AF66" s="162"/>
      <c r="AG66" s="163"/>
      <c r="AH66" s="164"/>
      <c r="AI66" s="11"/>
      <c r="AJ66" s="11"/>
      <c r="AK66" s="11"/>
      <c r="AL66" s="11"/>
      <c r="AM66" s="11"/>
      <c r="AN66" s="11"/>
      <c r="AO66" s="11"/>
    </row>
    <row r="67" spans="1:41" x14ac:dyDescent="0.35">
      <c r="A67" s="65" t="s">
        <v>34</v>
      </c>
      <c r="B67" s="66"/>
      <c r="C67" s="11"/>
      <c r="D67" s="11"/>
      <c r="E67" s="11"/>
      <c r="F67" s="11"/>
      <c r="G67" s="88" t="s">
        <v>519</v>
      </c>
      <c r="H67" s="88" t="s">
        <v>525</v>
      </c>
      <c r="I67" s="122" t="str">
        <f>IF(_epmOfflineCondition_,"T3",_xll.EVPRO($B$1,$H67,"STYLE"))</f>
        <v>T3</v>
      </c>
      <c r="J67" s="122" t="str">
        <f>IF(_epmOfflineCondition_,"Y",_xll.EVPRO($B$1,$H67,"CALC"))</f>
        <v>Y</v>
      </c>
      <c r="K67" s="11"/>
      <c r="L67" s="11"/>
      <c r="M67" s="90" t="str">
        <f>IF(_epmOfflineCondition_,"Income ",IF(_xll.EVDES(H67,$B$1)="#NODATA","",REPLACE(_xll.EVDES(H67,$B$1),1,6,"")))</f>
        <v xml:space="preserve">Income </v>
      </c>
      <c r="N67" s="143"/>
      <c r="O67" s="143"/>
      <c r="P67" s="143"/>
      <c r="Q67" s="143"/>
      <c r="R67" s="143"/>
      <c r="S67" s="143"/>
      <c r="T67" s="143"/>
      <c r="U67" s="143"/>
      <c r="V67" s="143"/>
      <c r="W67" s="143"/>
      <c r="X67" s="143"/>
      <c r="Y67" s="143"/>
      <c r="Z67" s="143">
        <f t="shared" ref="Z67:Z72" si="19">SUM(N67:Y67)</f>
        <v>0</v>
      </c>
      <c r="AA67" s="144" t="str">
        <f t="shared" ref="AA67:AA72" si="20">IF(Z67=0,"",IFERROR(Z67/Z$43,""))</f>
        <v/>
      </c>
      <c r="AB67" s="140"/>
      <c r="AC67" s="143"/>
      <c r="AD67" s="144" t="str">
        <f t="shared" ref="AD67:AD72" si="21">IF(AC67=0,"",IFERROR(AC67/AC$43,""))</f>
        <v/>
      </c>
      <c r="AE67" s="145">
        <f t="shared" ref="AE67:AE72" si="22">IF(AND($Z67="",AC67=""),"",$Z67-AC67)</f>
        <v>0</v>
      </c>
      <c r="AF67" s="143"/>
      <c r="AG67" s="144" t="str">
        <f t="shared" ref="AG67:AG72" si="23">IF(AF67=0,"",IFERROR(AF67/AF$43,""))</f>
        <v/>
      </c>
      <c r="AH67" s="145">
        <f t="shared" ref="AH67:AH72" si="24">IF(AND($Z67="",AF67=""),"",$Z67-AF67)</f>
        <v>0</v>
      </c>
      <c r="AI67" s="623">
        <f t="shared" ref="AI67:AI72" si="25">+IFERROR(ROUND(($AA67-AD67)*100,2)&amp;" pts.",0)</f>
        <v>0</v>
      </c>
      <c r="AJ67" s="624"/>
      <c r="AK67" s="623">
        <f t="shared" ref="AK67:AK72" si="26">+IFERROR(ROUND(($AA67-AG67)*100,2)&amp;" pts.",0)</f>
        <v>0</v>
      </c>
      <c r="AL67" s="624"/>
      <c r="AM67" s="11"/>
      <c r="AN67" s="11"/>
      <c r="AO67" s="11"/>
    </row>
    <row r="68" spans="1:41" x14ac:dyDescent="0.35">
      <c r="A68" s="65" t="s">
        <v>35</v>
      </c>
      <c r="B68" s="66"/>
      <c r="C68" s="11"/>
      <c r="D68" s="11"/>
      <c r="E68" s="11"/>
      <c r="F68" s="11"/>
      <c r="G68" s="88" t="s">
        <v>519</v>
      </c>
      <c r="H68" s="88" t="s">
        <v>520</v>
      </c>
      <c r="I68" s="122" t="str">
        <f>IF(_epmOfflineCondition_,"T3",_xll.EVPRO($B$1,$H68,"STYLE"))</f>
        <v>T3</v>
      </c>
      <c r="J68" s="122" t="str">
        <f>IF(_epmOfflineCondition_,"Y",_xll.EVPRO($B$1,$H68,"CALC"))</f>
        <v>Y</v>
      </c>
      <c r="K68" s="11"/>
      <c r="L68" s="11"/>
      <c r="M68" s="90" t="str">
        <f>IF(_epmOfflineCondition_,"Rent",IF(_xll.EVDES(H68,$B$1)="#NODATA","",REPLACE(_xll.EVDES(H68,$B$1),1,6,"")))</f>
        <v>Rent</v>
      </c>
      <c r="N68" s="143">
        <v>970.13</v>
      </c>
      <c r="O68" s="143">
        <v>1033.1500000000001</v>
      </c>
      <c r="P68" s="143">
        <v>615.44000000000005</v>
      </c>
      <c r="Q68" s="143">
        <v>110.18</v>
      </c>
      <c r="R68" s="143"/>
      <c r="S68" s="143">
        <v>386.94</v>
      </c>
      <c r="T68" s="143">
        <v>458.52</v>
      </c>
      <c r="U68" s="143">
        <v>664.16</v>
      </c>
      <c r="V68" s="143">
        <v>732.22</v>
      </c>
      <c r="W68" s="143">
        <v>1226</v>
      </c>
      <c r="X68" s="143">
        <v>780.24</v>
      </c>
      <c r="Y68" s="143">
        <v>444.57</v>
      </c>
      <c r="Z68" s="143">
        <f t="shared" si="19"/>
        <v>7421.55</v>
      </c>
      <c r="AA68" s="144">
        <f t="shared" si="20"/>
        <v>1.4235676577942188E-3</v>
      </c>
      <c r="AB68" s="140"/>
      <c r="AC68" s="143">
        <v>12846</v>
      </c>
      <c r="AD68" s="144">
        <f t="shared" si="21"/>
        <v>9.9030577461652752E-4</v>
      </c>
      <c r="AE68" s="145">
        <f t="shared" si="22"/>
        <v>-5424.45</v>
      </c>
      <c r="AF68" s="143">
        <v>10719.06</v>
      </c>
      <c r="AG68" s="144">
        <f t="shared" si="23"/>
        <v>1.2782104728076219E-3</v>
      </c>
      <c r="AH68" s="145">
        <f t="shared" si="24"/>
        <v>-3297.5099999999993</v>
      </c>
      <c r="AI68" s="623" t="str">
        <f t="shared" si="25"/>
        <v>0.04 pts.</v>
      </c>
      <c r="AJ68" s="624"/>
      <c r="AK68" s="623" t="str">
        <f t="shared" si="26"/>
        <v>0.01 pts.</v>
      </c>
      <c r="AL68" s="624"/>
      <c r="AM68" s="11"/>
      <c r="AN68" s="11"/>
      <c r="AO68" s="11"/>
    </row>
    <row r="69" spans="1:41" x14ac:dyDescent="0.35">
      <c r="A69" s="65" t="s">
        <v>36</v>
      </c>
      <c r="B69" s="66"/>
      <c r="C69" s="11"/>
      <c r="D69" s="11"/>
      <c r="E69" s="11"/>
      <c r="F69" s="11"/>
      <c r="G69" s="88" t="s">
        <v>519</v>
      </c>
      <c r="H69" s="88" t="s">
        <v>521</v>
      </c>
      <c r="I69" s="122" t="str">
        <f>IF(_epmOfflineCondition_,"T3",_xll.EVPRO($B$1,$H69,"STYLE"))</f>
        <v>T3</v>
      </c>
      <c r="J69" s="122" t="str">
        <f>IF(_epmOfflineCondition_,"Y",_xll.EVPRO($B$1,$H69,"CALC"))</f>
        <v>Y</v>
      </c>
      <c r="K69" s="11"/>
      <c r="L69" s="11"/>
      <c r="M69" s="90" t="str">
        <f>IF(_epmOfflineCondition_,"Property &amp; Other Taxes",IF(_xll.EVDES(H69,$B$1)="#NODATA","",REPLACE(_xll.EVDES(H69,$B$1),1,6,"")))</f>
        <v>Property &amp; Other Taxes</v>
      </c>
      <c r="N69" s="143">
        <v>44119.21</v>
      </c>
      <c r="O69" s="143">
        <v>45173.78</v>
      </c>
      <c r="P69" s="143">
        <v>45173.78</v>
      </c>
      <c r="Q69" s="143">
        <v>61762.98</v>
      </c>
      <c r="R69" s="143">
        <v>45173.78</v>
      </c>
      <c r="S69" s="143">
        <v>45173.78</v>
      </c>
      <c r="T69" s="143">
        <v>45173.78</v>
      </c>
      <c r="U69" s="143">
        <v>45173.78</v>
      </c>
      <c r="V69" s="143">
        <v>45173.78</v>
      </c>
      <c r="W69" s="143">
        <v>45701.78</v>
      </c>
      <c r="X69" s="143">
        <v>45173.78</v>
      </c>
      <c r="Y69" s="143">
        <v>45173.78</v>
      </c>
      <c r="Z69" s="143">
        <f t="shared" si="19"/>
        <v>558147.99000000011</v>
      </c>
      <c r="AA69" s="144">
        <f t="shared" si="20"/>
        <v>0.10706138567103249</v>
      </c>
      <c r="AB69" s="140"/>
      <c r="AC69" s="143">
        <v>549451.92000000004</v>
      </c>
      <c r="AD69" s="144">
        <f t="shared" si="21"/>
        <v>4.2357575062286962E-2</v>
      </c>
      <c r="AE69" s="145">
        <f t="shared" si="22"/>
        <v>8696.0700000000652</v>
      </c>
      <c r="AF69" s="143">
        <v>547402.01</v>
      </c>
      <c r="AG69" s="144">
        <f t="shared" si="23"/>
        <v>6.5275778101619233E-2</v>
      </c>
      <c r="AH69" s="145">
        <f t="shared" si="24"/>
        <v>10745.980000000098</v>
      </c>
      <c r="AI69" s="623" t="str">
        <f t="shared" si="25"/>
        <v>6.47 pts.</v>
      </c>
      <c r="AJ69" s="624"/>
      <c r="AK69" s="623" t="str">
        <f t="shared" si="26"/>
        <v>4.18 pts.</v>
      </c>
      <c r="AL69" s="624"/>
      <c r="AM69" s="11"/>
      <c r="AN69" s="11"/>
      <c r="AO69" s="11"/>
    </row>
    <row r="70" spans="1:41" x14ac:dyDescent="0.35">
      <c r="A70" s="65" t="s">
        <v>37</v>
      </c>
      <c r="B70" s="66"/>
      <c r="C70" s="11"/>
      <c r="D70" s="11"/>
      <c r="E70" s="11"/>
      <c r="F70" s="11"/>
      <c r="G70" s="88" t="s">
        <v>519</v>
      </c>
      <c r="H70" s="88" t="s">
        <v>537</v>
      </c>
      <c r="I70" s="122" t="str">
        <f>IF(_epmOfflineCondition_,"T3",_xll.EVPRO($B$1,$H70,"STYLE"))</f>
        <v>T3</v>
      </c>
      <c r="J70" s="122" t="str">
        <f>IF(_epmOfflineCondition_,"Y",_xll.EVPRO($B$1,$H70,"CALC"))</f>
        <v>Y</v>
      </c>
      <c r="K70" s="11"/>
      <c r="L70" s="11"/>
      <c r="M70" s="90" t="str">
        <f>IF(_epmOfflineCondition_,"Insurance",IF(_xll.EVDES(H70,$B$1)="#NODATA","",REPLACE(_xll.EVDES(H70,$B$1),1,6,"")))</f>
        <v>Insurance</v>
      </c>
      <c r="N70" s="143">
        <v>60494.34</v>
      </c>
      <c r="O70" s="143">
        <v>60818.05</v>
      </c>
      <c r="P70" s="143">
        <v>60818.06</v>
      </c>
      <c r="Q70" s="143">
        <v>59814.06</v>
      </c>
      <c r="R70" s="143">
        <v>59814.01</v>
      </c>
      <c r="S70" s="143">
        <v>59894.55</v>
      </c>
      <c r="T70" s="143">
        <v>57454.69</v>
      </c>
      <c r="U70" s="143">
        <v>67236.97</v>
      </c>
      <c r="V70" s="143">
        <v>63796.41</v>
      </c>
      <c r="W70" s="143">
        <v>68295.990000000005</v>
      </c>
      <c r="X70" s="143">
        <v>68295.990000000005</v>
      </c>
      <c r="Y70" s="143">
        <v>68296.210000000006</v>
      </c>
      <c r="Z70" s="143">
        <f t="shared" si="19"/>
        <v>755029.33</v>
      </c>
      <c r="AA70" s="144">
        <f t="shared" si="20"/>
        <v>0.14482626066981133</v>
      </c>
      <c r="AB70" s="140"/>
      <c r="AC70" s="143">
        <v>757826.88</v>
      </c>
      <c r="AD70" s="144">
        <f t="shared" si="21"/>
        <v>5.842132456979808E-2</v>
      </c>
      <c r="AE70" s="145">
        <f t="shared" si="22"/>
        <v>-2797.5500000000466</v>
      </c>
      <c r="AF70" s="143">
        <v>662426.34</v>
      </c>
      <c r="AG70" s="144">
        <f t="shared" si="23"/>
        <v>7.899202777590783E-2</v>
      </c>
      <c r="AH70" s="145">
        <f t="shared" si="24"/>
        <v>92602.989999999991</v>
      </c>
      <c r="AI70" s="623" t="str">
        <f t="shared" si="25"/>
        <v>8.64 pts.</v>
      </c>
      <c r="AJ70" s="624"/>
      <c r="AK70" s="623" t="str">
        <f t="shared" si="26"/>
        <v>6.58 pts.</v>
      </c>
      <c r="AL70" s="624"/>
      <c r="AM70" s="11"/>
      <c r="AN70" s="11"/>
      <c r="AO70" s="11"/>
    </row>
    <row r="71" spans="1:41" x14ac:dyDescent="0.35">
      <c r="A71" s="65" t="s">
        <v>38</v>
      </c>
      <c r="B71" s="66"/>
      <c r="C71" s="11"/>
      <c r="D71" s="11"/>
      <c r="E71" s="11"/>
      <c r="F71" s="11"/>
      <c r="G71" s="11"/>
      <c r="H71" s="11"/>
      <c r="I71" s="11"/>
      <c r="J71" s="11"/>
      <c r="K71" s="11"/>
      <c r="L71" s="11"/>
      <c r="M71" s="104" t="s">
        <v>586</v>
      </c>
      <c r="N71" s="143">
        <f t="shared" ref="N71:Y71" si="27">N95</f>
        <v>0</v>
      </c>
      <c r="O71" s="143">
        <f t="shared" si="27"/>
        <v>3280.7</v>
      </c>
      <c r="P71" s="143">
        <f t="shared" si="27"/>
        <v>6137</v>
      </c>
      <c r="Q71" s="143">
        <f t="shared" si="27"/>
        <v>10484</v>
      </c>
      <c r="R71" s="143">
        <f t="shared" si="27"/>
        <v>1567.5</v>
      </c>
      <c r="S71" s="143">
        <f t="shared" si="27"/>
        <v>1209.5</v>
      </c>
      <c r="T71" s="143">
        <f t="shared" si="27"/>
        <v>3275.13</v>
      </c>
      <c r="U71" s="143">
        <f t="shared" si="27"/>
        <v>2800</v>
      </c>
      <c r="V71" s="143">
        <f t="shared" si="27"/>
        <v>4752</v>
      </c>
      <c r="W71" s="143">
        <f t="shared" si="27"/>
        <v>801.15</v>
      </c>
      <c r="X71" s="143">
        <f t="shared" si="27"/>
        <v>420</v>
      </c>
      <c r="Y71" s="143">
        <f t="shared" si="27"/>
        <v>0</v>
      </c>
      <c r="Z71" s="143">
        <f t="shared" si="19"/>
        <v>34726.980000000003</v>
      </c>
      <c r="AA71" s="144">
        <f t="shared" si="20"/>
        <v>6.6611699147572515E-3</v>
      </c>
      <c r="AB71" s="140"/>
      <c r="AC71" s="143">
        <f>AC95</f>
        <v>0</v>
      </c>
      <c r="AD71" s="144" t="str">
        <f t="shared" si="21"/>
        <v/>
      </c>
      <c r="AE71" s="145">
        <f t="shared" si="22"/>
        <v>34726.980000000003</v>
      </c>
      <c r="AF71" s="143">
        <f>AF95</f>
        <v>2450</v>
      </c>
      <c r="AG71" s="144">
        <f t="shared" si="23"/>
        <v>2.9215394431775493E-4</v>
      </c>
      <c r="AH71" s="145">
        <f t="shared" si="24"/>
        <v>32276.980000000003</v>
      </c>
      <c r="AI71" s="623">
        <f t="shared" si="25"/>
        <v>0</v>
      </c>
      <c r="AJ71" s="624"/>
      <c r="AK71" s="623" t="str">
        <f t="shared" si="26"/>
        <v>0.64 pts.</v>
      </c>
      <c r="AL71" s="624"/>
      <c r="AM71" s="11"/>
      <c r="AN71" s="11"/>
      <c r="AO71" s="11"/>
    </row>
    <row r="72" spans="1:41" x14ac:dyDescent="0.35">
      <c r="A72" s="65" t="s">
        <v>39</v>
      </c>
      <c r="B72" s="66"/>
      <c r="C72" s="11"/>
      <c r="D72" s="11"/>
      <c r="E72" s="11"/>
      <c r="F72" s="11"/>
      <c r="G72" s="11"/>
      <c r="H72" s="11"/>
      <c r="I72" s="11"/>
      <c r="J72" s="11"/>
      <c r="K72" s="11"/>
      <c r="L72" s="59"/>
      <c r="M72" s="106" t="str">
        <f>"Total "&amp;M66</f>
        <v>Total Non-Operating Income &amp; Expenses</v>
      </c>
      <c r="N72" s="154">
        <f t="shared" ref="N72:Y72" si="28">SUM(N67:N71)</f>
        <v>105583.67999999999</v>
      </c>
      <c r="O72" s="154">
        <f t="shared" si="28"/>
        <v>110305.68000000001</v>
      </c>
      <c r="P72" s="154">
        <f t="shared" si="28"/>
        <v>112744.28</v>
      </c>
      <c r="Q72" s="154">
        <f t="shared" si="28"/>
        <v>132171.22</v>
      </c>
      <c r="R72" s="154">
        <f t="shared" si="28"/>
        <v>106555.29000000001</v>
      </c>
      <c r="S72" s="154">
        <f t="shared" si="28"/>
        <v>106664.77</v>
      </c>
      <c r="T72" s="154">
        <f t="shared" si="28"/>
        <v>106362.12</v>
      </c>
      <c r="U72" s="154">
        <f t="shared" si="28"/>
        <v>115874.91</v>
      </c>
      <c r="V72" s="154">
        <f t="shared" si="28"/>
        <v>114454.41</v>
      </c>
      <c r="W72" s="154">
        <f t="shared" si="28"/>
        <v>116024.92</v>
      </c>
      <c r="X72" s="154">
        <f t="shared" si="28"/>
        <v>114670.01000000001</v>
      </c>
      <c r="Y72" s="154">
        <f t="shared" si="28"/>
        <v>113914.56</v>
      </c>
      <c r="Z72" s="154">
        <f t="shared" si="19"/>
        <v>1355325.85</v>
      </c>
      <c r="AA72" s="155">
        <f t="shared" si="20"/>
        <v>0.25997238391339528</v>
      </c>
      <c r="AB72" s="140"/>
      <c r="AC72" s="154">
        <f>SUM(AC67:AC71)</f>
        <v>1320124.8</v>
      </c>
      <c r="AD72" s="155">
        <f t="shared" si="21"/>
        <v>0.10176920540670158</v>
      </c>
      <c r="AE72" s="156">
        <f t="shared" si="22"/>
        <v>35201.050000000047</v>
      </c>
      <c r="AF72" s="154">
        <f>SUM(AF67:AF71)</f>
        <v>1222997.4100000001</v>
      </c>
      <c r="AG72" s="155">
        <f t="shared" si="23"/>
        <v>0.14583817029465246</v>
      </c>
      <c r="AH72" s="156">
        <f t="shared" si="24"/>
        <v>132328.43999999994</v>
      </c>
      <c r="AI72" s="627" t="str">
        <f t="shared" si="25"/>
        <v>15.82 pts.</v>
      </c>
      <c r="AJ72" s="628"/>
      <c r="AK72" s="627" t="str">
        <f t="shared" si="26"/>
        <v>11.41 pts.</v>
      </c>
      <c r="AL72" s="628"/>
      <c r="AM72" s="11"/>
      <c r="AN72" s="11"/>
      <c r="AO72" s="11"/>
    </row>
    <row r="73" spans="1:41" x14ac:dyDescent="0.35">
      <c r="A73" s="65" t="s">
        <v>40</v>
      </c>
      <c r="B73" s="66"/>
      <c r="C73" s="11"/>
      <c r="D73" s="11"/>
      <c r="E73" s="11"/>
      <c r="F73" s="11"/>
      <c r="G73" s="11"/>
      <c r="H73" s="11"/>
      <c r="I73" s="59"/>
      <c r="J73" s="59"/>
      <c r="K73" s="11"/>
      <c r="L73" s="59"/>
      <c r="M73" s="11"/>
      <c r="N73" s="174"/>
      <c r="O73" s="175"/>
      <c r="P73" s="175"/>
      <c r="Q73" s="175"/>
      <c r="R73" s="175"/>
      <c r="S73" s="175"/>
      <c r="T73" s="175"/>
      <c r="U73" s="175"/>
      <c r="V73" s="175"/>
      <c r="W73" s="175"/>
      <c r="X73" s="175"/>
      <c r="Y73" s="175"/>
      <c r="Z73" s="175"/>
      <c r="AA73" s="176"/>
      <c r="AB73" s="140"/>
      <c r="AC73" s="174"/>
      <c r="AD73" s="175"/>
      <c r="AE73" s="176"/>
      <c r="AF73" s="174"/>
      <c r="AG73" s="175"/>
      <c r="AH73" s="176"/>
      <c r="AI73" s="11"/>
      <c r="AJ73" s="11"/>
      <c r="AK73" s="11"/>
      <c r="AL73" s="11"/>
      <c r="AM73" s="11"/>
      <c r="AN73" s="11"/>
      <c r="AO73" s="11"/>
    </row>
    <row r="74" spans="1:41" ht="15" thickBot="1" x14ac:dyDescent="0.4">
      <c r="A74" s="65" t="s">
        <v>41</v>
      </c>
      <c r="B74" s="66"/>
      <c r="C74" s="11"/>
      <c r="D74" s="11"/>
      <c r="E74" s="11"/>
      <c r="F74" s="88" t="s">
        <v>570</v>
      </c>
      <c r="G74" s="11"/>
      <c r="H74" s="11"/>
      <c r="I74" s="11"/>
      <c r="J74" s="11"/>
      <c r="K74" s="11"/>
      <c r="L74" s="11"/>
      <c r="M74" s="106" t="str">
        <f>IF(_epmOfflineCondition_,"EBITDA",IF(_xll.EVDES(F74,$B$1)="#NODATA","",_xll.EVDES(F74,$B$1)))</f>
        <v>EBITDA</v>
      </c>
      <c r="N74" s="169">
        <f t="shared" ref="N74:Y74" si="29">N64-N72</f>
        <v>538478.74999999977</v>
      </c>
      <c r="O74" s="169">
        <f t="shared" si="29"/>
        <v>533026.99000000011</v>
      </c>
      <c r="P74" s="169">
        <f t="shared" si="29"/>
        <v>-96092.139999999956</v>
      </c>
      <c r="Q74" s="169">
        <f t="shared" si="29"/>
        <v>-225452.31000000003</v>
      </c>
      <c r="R74" s="169">
        <f t="shared" si="29"/>
        <v>-217112.01</v>
      </c>
      <c r="S74" s="169">
        <f t="shared" si="29"/>
        <v>-147000.43</v>
      </c>
      <c r="T74" s="169">
        <f t="shared" si="29"/>
        <v>-195921.46999999997</v>
      </c>
      <c r="U74" s="169">
        <f t="shared" si="29"/>
        <v>-162642.44</v>
      </c>
      <c r="V74" s="169">
        <f t="shared" si="29"/>
        <v>-78379.350000000006</v>
      </c>
      <c r="W74" s="169">
        <f t="shared" si="29"/>
        <v>-15510.329999999973</v>
      </c>
      <c r="X74" s="169">
        <f t="shared" si="29"/>
        <v>-47650.989999999991</v>
      </c>
      <c r="Y74" s="169">
        <f t="shared" si="29"/>
        <v>139235.94999999992</v>
      </c>
      <c r="Z74" s="169">
        <f>SUM(N74:Y74)</f>
        <v>24980.219999999783</v>
      </c>
      <c r="AA74" s="170">
        <f>IF(Z74=0,"",IFERROR(Z74/Z$43,""))</f>
        <v>4.7915911469415401E-3</v>
      </c>
      <c r="AB74" s="140"/>
      <c r="AC74" s="169">
        <f>AC64-AC72</f>
        <v>3209296.2740133433</v>
      </c>
      <c r="AD74" s="170">
        <f>IF(AC74=0,"",IFERROR(AC74/AC$43,""))</f>
        <v>0.24740655710810519</v>
      </c>
      <c r="AE74" s="171">
        <f>IF(AND($Z74="",AC74=""),"",$Z74-AC74)</f>
        <v>-3184316.0540133435</v>
      </c>
      <c r="AF74" s="169">
        <f>AF64-AF72</f>
        <v>447606.03999999957</v>
      </c>
      <c r="AG74" s="170">
        <f>IF(AF74=0,"",IFERROR(AF74/AF$43,""))</f>
        <v>5.3375457178143126E-2</v>
      </c>
      <c r="AH74" s="171">
        <f>IF(AND($Z74="",AF74=""),"",$Z74-AF74)</f>
        <v>-422625.81999999977</v>
      </c>
      <c r="AI74" s="625" t="str">
        <f>+IFERROR(ROUND(($AA74-AD74)*100,2)&amp;" pts.",0)</f>
        <v>-24.26 pts.</v>
      </c>
      <c r="AJ74" s="626"/>
      <c r="AK74" s="625" t="str">
        <f>+IFERROR(ROUND(($AA74-AG74)*100,2)&amp;" pts.",0)</f>
        <v>-4.86 pts.</v>
      </c>
      <c r="AL74" s="626"/>
      <c r="AM74" s="11"/>
      <c r="AN74" s="11"/>
      <c r="AO74" s="11"/>
    </row>
    <row r="75" spans="1:41" ht="15" thickTop="1" x14ac:dyDescent="0.35">
      <c r="A75" s="65" t="s">
        <v>42</v>
      </c>
      <c r="B75" s="66"/>
      <c r="C75" s="11"/>
      <c r="D75" s="11"/>
      <c r="E75" s="11"/>
      <c r="F75" s="11"/>
      <c r="G75" s="11"/>
      <c r="H75" s="59"/>
      <c r="I75" s="59"/>
      <c r="J75" s="11"/>
      <c r="K75" s="11"/>
      <c r="L75" s="11">
        <f>COUNTIF(N75:AH75,FALSE)</f>
        <v>0</v>
      </c>
      <c r="M75" s="117" t="str">
        <f>IF(L75=0,"","EBITDA- database validation failed")</f>
        <v/>
      </c>
      <c r="N75" s="157" t="str">
        <f t="shared" ref="N75:Z75" si="30">IF(ROUND(N74,2)&lt;&gt;ROUND(N103,2),N74-N103,"")</f>
        <v/>
      </c>
      <c r="O75" s="158" t="str">
        <f t="shared" si="30"/>
        <v/>
      </c>
      <c r="P75" s="158" t="str">
        <f t="shared" si="30"/>
        <v/>
      </c>
      <c r="Q75" s="158" t="str">
        <f t="shared" si="30"/>
        <v/>
      </c>
      <c r="R75" s="158" t="str">
        <f t="shared" si="30"/>
        <v/>
      </c>
      <c r="S75" s="158" t="str">
        <f t="shared" si="30"/>
        <v/>
      </c>
      <c r="T75" s="158" t="str">
        <f t="shared" si="30"/>
        <v/>
      </c>
      <c r="U75" s="158" t="str">
        <f t="shared" si="30"/>
        <v/>
      </c>
      <c r="V75" s="158" t="str">
        <f t="shared" si="30"/>
        <v/>
      </c>
      <c r="W75" s="158" t="str">
        <f t="shared" si="30"/>
        <v/>
      </c>
      <c r="X75" s="158" t="str">
        <f t="shared" si="30"/>
        <v/>
      </c>
      <c r="Y75" s="158" t="str">
        <f t="shared" si="30"/>
        <v/>
      </c>
      <c r="Z75" s="158" t="str">
        <f t="shared" si="30"/>
        <v/>
      </c>
      <c r="AA75" s="165" t="b">
        <f>Z75=""</f>
        <v>1</v>
      </c>
      <c r="AB75" s="140"/>
      <c r="AC75" s="157" t="str">
        <f>IF(ROUND(AC74,2)&lt;&gt;ROUND(AC103,2),AC74-AC103,"")</f>
        <v/>
      </c>
      <c r="AD75" s="160" t="b">
        <f>AC75=""</f>
        <v>1</v>
      </c>
      <c r="AE75" s="161"/>
      <c r="AF75" s="157" t="str">
        <f>IF(ROUND(AF74,2)&lt;&gt;ROUND(AF103,2),AF74-AF103,"")</f>
        <v/>
      </c>
      <c r="AG75" s="160" t="b">
        <f>AF75=""</f>
        <v>1</v>
      </c>
      <c r="AH75" s="161"/>
      <c r="AI75" s="11"/>
      <c r="AJ75" s="11"/>
      <c r="AK75" s="11"/>
      <c r="AL75" s="11"/>
      <c r="AM75" s="11"/>
      <c r="AN75" s="11"/>
      <c r="AO75" s="11"/>
    </row>
    <row r="76" spans="1:41" x14ac:dyDescent="0.35">
      <c r="A76" s="65" t="s">
        <v>43</v>
      </c>
      <c r="B76" s="66"/>
      <c r="C76" s="11"/>
      <c r="D76" s="11"/>
      <c r="E76" s="11"/>
      <c r="F76" s="11"/>
      <c r="G76" s="11"/>
      <c r="H76" s="11" t="s">
        <v>576</v>
      </c>
      <c r="I76" s="59" t="str">
        <f>IF(_epmOfflineCondition_,"B1",_xll.EVPRO($B$1,$H76,"STYLE"))</f>
        <v>B1</v>
      </c>
      <c r="J76" s="59" t="str">
        <f>IF(_epmOfflineCondition_,"Y",_xll.EVPRO($B$1,$H76,"CALC"))</f>
        <v>Y</v>
      </c>
      <c r="K76" s="11"/>
      <c r="L76" s="11"/>
      <c r="M76" s="105" t="str">
        <f>IF(_epmOfflineCondition_,"Interest, Depreciation &amp; Amortization",IF(_xll.EVDES(H76,$B$1)="#NODATA","",_xll.EVDES(H76,$B$1)))</f>
        <v>Interest, Depreciation &amp; Amortization</v>
      </c>
      <c r="N76" s="162"/>
      <c r="O76" s="163"/>
      <c r="P76" s="163"/>
      <c r="Q76" s="163"/>
      <c r="R76" s="163"/>
      <c r="S76" s="163"/>
      <c r="T76" s="163"/>
      <c r="U76" s="163"/>
      <c r="V76" s="163"/>
      <c r="W76" s="163"/>
      <c r="X76" s="163"/>
      <c r="Y76" s="163"/>
      <c r="Z76" s="163"/>
      <c r="AA76" s="164"/>
      <c r="AB76" s="140"/>
      <c r="AC76" s="162"/>
      <c r="AD76" s="163"/>
      <c r="AE76" s="164"/>
      <c r="AF76" s="162"/>
      <c r="AG76" s="163"/>
      <c r="AH76" s="164"/>
      <c r="AI76" s="11"/>
      <c r="AJ76" s="11"/>
      <c r="AK76" s="11"/>
      <c r="AL76" s="11"/>
      <c r="AM76" s="11"/>
      <c r="AN76" s="11"/>
      <c r="AO76" s="11"/>
    </row>
    <row r="77" spans="1:41" x14ac:dyDescent="0.35">
      <c r="A77" s="65" t="s">
        <v>44</v>
      </c>
      <c r="B77" s="66"/>
      <c r="C77" s="11"/>
      <c r="D77" s="11"/>
      <c r="E77" s="11"/>
      <c r="F77" s="11"/>
      <c r="G77" s="88" t="s">
        <v>519</v>
      </c>
      <c r="H77" s="88" t="s">
        <v>571</v>
      </c>
      <c r="I77" s="122" t="str">
        <f>IF(_epmOfflineCondition_,"T3",_xll.EVPRO($B$1,$H77,"STYLE"))</f>
        <v>T3</v>
      </c>
      <c r="J77" s="122" t="str">
        <f>IF(_epmOfflineCondition_,"Y",_xll.EVPRO($B$1,$H77,"CALC"))</f>
        <v>Y</v>
      </c>
      <c r="K77" s="11"/>
      <c r="L77" s="11"/>
      <c r="M77" s="90" t="str">
        <f>IF(_epmOfflineCondition_,"Total Interest Expense",IF(_xll.EVDES(H77,$B$1)="#NODATA","",_xll.EVDES(H77,$B$1)))</f>
        <v>Total Interest Expense</v>
      </c>
      <c r="N77" s="143">
        <v>177958.08</v>
      </c>
      <c r="O77" s="143">
        <v>165597.25</v>
      </c>
      <c r="P77" s="143">
        <v>105122.34</v>
      </c>
      <c r="Q77" s="143">
        <v>141375</v>
      </c>
      <c r="R77" s="143">
        <v>146087.5</v>
      </c>
      <c r="S77" s="143">
        <v>142169.84</v>
      </c>
      <c r="T77" s="143">
        <v>146892.17000000001</v>
      </c>
      <c r="U77" s="143">
        <v>147185.03</v>
      </c>
      <c r="V77" s="143">
        <v>142686.72</v>
      </c>
      <c r="W77" s="143">
        <v>147710.19</v>
      </c>
      <c r="X77" s="143">
        <v>142945.34</v>
      </c>
      <c r="Y77" s="143">
        <v>147710.19</v>
      </c>
      <c r="Z77" s="143">
        <f>SUM(N77:Y77)</f>
        <v>1753439.65</v>
      </c>
      <c r="AA77" s="144">
        <f>IF(Z77=0,"",IFERROR(Z77/Z$43,""))</f>
        <v>0.33633674577871397</v>
      </c>
      <c r="AB77" s="140"/>
      <c r="AC77" s="143">
        <v>1924256</v>
      </c>
      <c r="AD77" s="144">
        <f>IF(AC77=0,"",IFERROR(AC77/AC$43,""))</f>
        <v>0.14834203866110077</v>
      </c>
      <c r="AE77" s="145">
        <f>IF(AND($Z77="",AC77=""),"",$Z77-AC77)</f>
        <v>-170816.35000000009</v>
      </c>
      <c r="AF77" s="143">
        <v>2378116.73</v>
      </c>
      <c r="AG77" s="144">
        <f>IF(AF77=0,"",IFERROR(AF77/AF$43,""))</f>
        <v>0.28358211539491485</v>
      </c>
      <c r="AH77" s="145">
        <f>IF(AND($Z77="",AF77=""),"",$Z77-AF77)</f>
        <v>-624677.08000000007</v>
      </c>
      <c r="AI77" s="623" t="str">
        <f>+IFERROR(ROUND(($AA77-AD77)*100,2)&amp;" pts.",0)</f>
        <v>18.8 pts.</v>
      </c>
      <c r="AJ77" s="624"/>
      <c r="AK77" s="623" t="str">
        <f>+IFERROR(ROUND(($AA77-AG77)*100,2)&amp;" pts.",0)</f>
        <v>5.28 pts.</v>
      </c>
      <c r="AL77" s="624"/>
      <c r="AM77" s="11"/>
      <c r="AN77" s="11"/>
      <c r="AO77" s="11"/>
    </row>
    <row r="78" spans="1:41" x14ac:dyDescent="0.35">
      <c r="A78" s="65" t="s">
        <v>45</v>
      </c>
      <c r="B78" s="66"/>
      <c r="C78" s="11"/>
      <c r="D78" s="11"/>
      <c r="E78" s="11"/>
      <c r="F78" s="11"/>
      <c r="G78" s="88" t="s">
        <v>519</v>
      </c>
      <c r="H78" s="88" t="s">
        <v>572</v>
      </c>
      <c r="I78" s="122" t="str">
        <f>IF(_epmOfflineCondition_,"T3",_xll.EVPRO($B$1,$H78,"STYLE"))</f>
        <v>T3</v>
      </c>
      <c r="J78" s="122" t="str">
        <f>IF(_epmOfflineCondition_,"Y",_xll.EVPRO($B$1,$H78,"CALC"))</f>
        <v>Y</v>
      </c>
      <c r="K78" s="11"/>
      <c r="L78" s="11"/>
      <c r="M78" s="90" t="str">
        <f>IF(_epmOfflineCondition_,"Depreciation",IF(_xll.EVDES(H78,$B$1)="#NODATA","",_xll.EVDES(H78,$B$1)))</f>
        <v>Depreciation</v>
      </c>
      <c r="N78" s="143">
        <v>39316.11</v>
      </c>
      <c r="O78" s="143">
        <v>39316.11</v>
      </c>
      <c r="P78" s="143">
        <v>39316.11</v>
      </c>
      <c r="Q78" s="143">
        <v>39316.11</v>
      </c>
      <c r="R78" s="143">
        <v>39316.11</v>
      </c>
      <c r="S78" s="143">
        <v>39573.69</v>
      </c>
      <c r="T78" s="143">
        <v>39573.69</v>
      </c>
      <c r="U78" s="143">
        <v>39573.69</v>
      </c>
      <c r="V78" s="143">
        <v>39573.69</v>
      </c>
      <c r="W78" s="143">
        <v>39573.69</v>
      </c>
      <c r="X78" s="143">
        <v>39573.69</v>
      </c>
      <c r="Y78" s="143">
        <v>39984.21</v>
      </c>
      <c r="Z78" s="143">
        <f>SUM(N78:Y78)</f>
        <v>474006.9</v>
      </c>
      <c r="AA78" s="144">
        <f>IF(Z78=0,"",IFERROR(Z78/Z$43,""))</f>
        <v>9.0921827975463138E-2</v>
      </c>
      <c r="AB78" s="140"/>
      <c r="AC78" s="143">
        <v>694366.92</v>
      </c>
      <c r="AD78" s="144">
        <f>IF(AC78=0,"",IFERROR(AC78/AC$43,""))</f>
        <v>5.3529158537964534E-2</v>
      </c>
      <c r="AE78" s="145">
        <f>IF(AND($Z78="",AC78=""),"",$Z78-AC78)</f>
        <v>-220360.02000000002</v>
      </c>
      <c r="AF78" s="143">
        <v>461030.63</v>
      </c>
      <c r="AG78" s="144">
        <f>IF(AF78=0,"",IFERROR(AF78/AF$43,""))</f>
        <v>5.4976292655428353E-2</v>
      </c>
      <c r="AH78" s="145">
        <f>IF(AND($Z78="",AF78=""),"",$Z78-AF78)</f>
        <v>12976.270000000019</v>
      </c>
      <c r="AI78" s="623" t="str">
        <f>+IFERROR(ROUND(($AA78-AD78)*100,2)&amp;" pts.",0)</f>
        <v>3.74 pts.</v>
      </c>
      <c r="AJ78" s="624"/>
      <c r="AK78" s="623" t="str">
        <f>+IFERROR(ROUND(($AA78-AG78)*100,2)&amp;" pts.",0)</f>
        <v>3.59 pts.</v>
      </c>
      <c r="AL78" s="624"/>
      <c r="AM78" s="11"/>
      <c r="AN78" s="11"/>
      <c r="AO78" s="11"/>
    </row>
    <row r="79" spans="1:41" x14ac:dyDescent="0.35">
      <c r="A79" s="65" t="s">
        <v>46</v>
      </c>
      <c r="B79" s="66"/>
      <c r="C79" s="11"/>
      <c r="D79" s="11"/>
      <c r="E79" s="11"/>
      <c r="F79" s="11"/>
      <c r="G79" s="88" t="s">
        <v>519</v>
      </c>
      <c r="H79" s="88" t="s">
        <v>573</v>
      </c>
      <c r="I79" s="122" t="str">
        <f>IF(_epmOfflineCondition_,"T3",_xll.EVPRO($B$1,$H79,"STYLE"))</f>
        <v>T3</v>
      </c>
      <c r="J79" s="122" t="str">
        <f>IF(_epmOfflineCondition_,"Y",_xll.EVPRO($B$1,$H79,"CALC"))</f>
        <v>Y</v>
      </c>
      <c r="K79" s="11"/>
      <c r="L79" s="11"/>
      <c r="M79" s="90" t="str">
        <f>IF(_epmOfflineCondition_,"Amortization",IF(_xll.EVDES(H79,$B$1)="#NODATA","",_xll.EVDES(H79,$B$1)))</f>
        <v>Amortization</v>
      </c>
      <c r="N79" s="143"/>
      <c r="O79" s="143"/>
      <c r="P79" s="143"/>
      <c r="Q79" s="143"/>
      <c r="R79" s="143"/>
      <c r="S79" s="143"/>
      <c r="T79" s="143"/>
      <c r="U79" s="143"/>
      <c r="V79" s="143"/>
      <c r="W79" s="143"/>
      <c r="X79" s="143"/>
      <c r="Y79" s="143"/>
      <c r="Z79" s="143">
        <f>SUM(N79:Y79)</f>
        <v>0</v>
      </c>
      <c r="AA79" s="144" t="str">
        <f>IF(Z79=0,"",IFERROR(Z79/Z$43,""))</f>
        <v/>
      </c>
      <c r="AB79" s="140"/>
      <c r="AC79" s="143"/>
      <c r="AD79" s="144" t="str">
        <f>IF(AC79=0,"",IFERROR(AC79/AC$43,""))</f>
        <v/>
      </c>
      <c r="AE79" s="145">
        <f>IF(AND($Z79="",AC79=""),"",$Z79-AC79)</f>
        <v>0</v>
      </c>
      <c r="AF79" s="143"/>
      <c r="AG79" s="144" t="str">
        <f>IF(AF79=0,"",IFERROR(AF79/AF$43,""))</f>
        <v/>
      </c>
      <c r="AH79" s="145">
        <f>IF(AND($Z79="",AF79=""),"",$Z79-AF79)</f>
        <v>0</v>
      </c>
      <c r="AI79" s="623">
        <f>+IFERROR(ROUND(($AA79-AD79)*100,2)&amp;" pts.",0)</f>
        <v>0</v>
      </c>
      <c r="AJ79" s="624"/>
      <c r="AK79" s="623">
        <f>+IFERROR(ROUND(($AA79-AG79)*100,2)&amp;" pts.",0)</f>
        <v>0</v>
      </c>
      <c r="AL79" s="624"/>
      <c r="AM79" s="11"/>
      <c r="AN79" s="11"/>
      <c r="AO79" s="11"/>
    </row>
    <row r="80" spans="1:41" x14ac:dyDescent="0.35">
      <c r="A80" s="11"/>
      <c r="B80" s="11"/>
      <c r="C80" s="11"/>
      <c r="D80" s="11"/>
      <c r="E80" s="11"/>
      <c r="F80" s="11"/>
      <c r="G80" s="11"/>
      <c r="H80" s="11"/>
      <c r="I80" s="11"/>
      <c r="J80" s="11"/>
      <c r="K80" s="11"/>
      <c r="L80" s="11"/>
      <c r="M80" s="106" t="str">
        <f>"Total "&amp;M76</f>
        <v>Total Interest, Depreciation &amp; Amortization</v>
      </c>
      <c r="N80" s="154">
        <f t="shared" ref="N80:Y80" si="31">SUM(N77:N79)</f>
        <v>217274.19</v>
      </c>
      <c r="O80" s="154">
        <f t="shared" si="31"/>
        <v>204913.36</v>
      </c>
      <c r="P80" s="154">
        <f t="shared" si="31"/>
        <v>144438.45000000001</v>
      </c>
      <c r="Q80" s="154">
        <f t="shared" si="31"/>
        <v>180691.11</v>
      </c>
      <c r="R80" s="154">
        <f t="shared" si="31"/>
        <v>185403.61</v>
      </c>
      <c r="S80" s="154">
        <f t="shared" si="31"/>
        <v>181743.53</v>
      </c>
      <c r="T80" s="154">
        <f t="shared" si="31"/>
        <v>186465.86000000002</v>
      </c>
      <c r="U80" s="154">
        <f t="shared" si="31"/>
        <v>186758.72</v>
      </c>
      <c r="V80" s="154">
        <f t="shared" si="31"/>
        <v>182260.41</v>
      </c>
      <c r="W80" s="154">
        <f t="shared" si="31"/>
        <v>187283.88</v>
      </c>
      <c r="X80" s="154">
        <f t="shared" si="31"/>
        <v>182519.03</v>
      </c>
      <c r="Y80" s="154">
        <f t="shared" si="31"/>
        <v>187694.4</v>
      </c>
      <c r="Z80" s="154">
        <f>SUM(N80:Y80)</f>
        <v>2227446.5500000003</v>
      </c>
      <c r="AA80" s="155">
        <f>IF(Z80=0,"",IFERROR(Z80/Z$43,""))</f>
        <v>0.42725857375417714</v>
      </c>
      <c r="AB80" s="140"/>
      <c r="AC80" s="154">
        <f>SUM(AC77:AC79)</f>
        <v>2618622.92</v>
      </c>
      <c r="AD80" s="155">
        <f>IF(AC80=0,"",IFERROR(AC80/AC$43,""))</f>
        <v>0.20187119719906529</v>
      </c>
      <c r="AE80" s="156">
        <f>IF(AND($Z80="",AC80=""),"",$Z80-AC80)</f>
        <v>-391176.36999999965</v>
      </c>
      <c r="AF80" s="154">
        <f>SUM(AF77:AF79)</f>
        <v>2839147.36</v>
      </c>
      <c r="AG80" s="155">
        <f>IF(AF80=0,"",IFERROR(AF80/AF$43,""))</f>
        <v>0.33855840805034321</v>
      </c>
      <c r="AH80" s="156">
        <f>IF(AND($Z80="",AF80=""),"",$Z80-AF80)</f>
        <v>-611700.80999999959</v>
      </c>
      <c r="AI80" s="627" t="str">
        <f>+IFERROR(ROUND(($AA80-AD80)*100,2)&amp;" pts.",0)</f>
        <v>22.54 pts.</v>
      </c>
      <c r="AJ80" s="628"/>
      <c r="AK80" s="627" t="str">
        <f>+IFERROR(ROUND(($AA80-AG80)*100,2)&amp;" pts.",0)</f>
        <v>8.87 pts.</v>
      </c>
      <c r="AL80" s="628"/>
      <c r="AM80" s="11"/>
      <c r="AN80" s="11"/>
      <c r="AO80" s="11"/>
    </row>
    <row r="81" spans="1:41" x14ac:dyDescent="0.35">
      <c r="A81" s="11"/>
      <c r="B81" s="11"/>
      <c r="C81" s="11"/>
      <c r="D81" s="11"/>
      <c r="E81" s="11"/>
      <c r="F81" s="11"/>
      <c r="G81" s="11"/>
      <c r="H81" s="59"/>
      <c r="I81" s="59"/>
      <c r="J81" s="11"/>
      <c r="K81" s="11"/>
      <c r="L81" s="59"/>
      <c r="M81" s="11"/>
      <c r="N81" s="174"/>
      <c r="O81" s="175"/>
      <c r="P81" s="175"/>
      <c r="Q81" s="175"/>
      <c r="R81" s="175"/>
      <c r="S81" s="175"/>
      <c r="T81" s="175"/>
      <c r="U81" s="175"/>
      <c r="V81" s="175"/>
      <c r="W81" s="175"/>
      <c r="X81" s="175"/>
      <c r="Y81" s="175"/>
      <c r="Z81" s="175"/>
      <c r="AA81" s="176"/>
      <c r="AB81" s="140"/>
      <c r="AC81" s="174"/>
      <c r="AD81" s="175"/>
      <c r="AE81" s="176"/>
      <c r="AF81" s="174"/>
      <c r="AG81" s="175"/>
      <c r="AH81" s="176"/>
      <c r="AI81" s="11"/>
      <c r="AJ81" s="11"/>
      <c r="AK81" s="11"/>
      <c r="AL81" s="11"/>
      <c r="AM81" s="11"/>
      <c r="AN81" s="11"/>
      <c r="AO81" s="11"/>
    </row>
    <row r="82" spans="1:41" x14ac:dyDescent="0.35">
      <c r="A82" s="11"/>
      <c r="B82" s="11"/>
      <c r="C82" s="11"/>
      <c r="D82" s="11"/>
      <c r="E82" s="11"/>
      <c r="F82" s="88" t="s">
        <v>577</v>
      </c>
      <c r="G82" s="11"/>
      <c r="H82" s="11"/>
      <c r="I82" s="11"/>
      <c r="J82" s="11"/>
      <c r="K82" s="11"/>
      <c r="L82" s="11"/>
      <c r="M82" s="106" t="str">
        <f>IF(_epmOfflineCondition_,"Income Before Income Taxes",IF(_xll.EVDES(F82,$B$1)="#NODATA","",_xll.EVDES(F82,$B$1)))</f>
        <v>Income Before Income Taxes</v>
      </c>
      <c r="N82" s="166">
        <f t="shared" ref="N82:Y82" si="32">N74-N80</f>
        <v>321204.55999999976</v>
      </c>
      <c r="O82" s="166">
        <f t="shared" si="32"/>
        <v>328113.63000000012</v>
      </c>
      <c r="P82" s="166">
        <f t="shared" si="32"/>
        <v>-240530.58999999997</v>
      </c>
      <c r="Q82" s="166">
        <f t="shared" si="32"/>
        <v>-406143.42000000004</v>
      </c>
      <c r="R82" s="166">
        <f t="shared" si="32"/>
        <v>-402515.62</v>
      </c>
      <c r="S82" s="166">
        <f t="shared" si="32"/>
        <v>-328743.95999999996</v>
      </c>
      <c r="T82" s="166">
        <f t="shared" si="32"/>
        <v>-382387.32999999996</v>
      </c>
      <c r="U82" s="166">
        <f t="shared" si="32"/>
        <v>-349401.16000000003</v>
      </c>
      <c r="V82" s="166">
        <f t="shared" si="32"/>
        <v>-260639.76</v>
      </c>
      <c r="W82" s="166">
        <f t="shared" si="32"/>
        <v>-202794.20999999996</v>
      </c>
      <c r="X82" s="166">
        <f t="shared" si="32"/>
        <v>-230170.02</v>
      </c>
      <c r="Y82" s="166">
        <f t="shared" si="32"/>
        <v>-48458.45000000007</v>
      </c>
      <c r="Z82" s="166">
        <f>SUM(N82:Y82)</f>
        <v>-2202466.33</v>
      </c>
      <c r="AA82" s="167">
        <f>IF(Z82=0,"",IFERROR(Z82/Z$43,""))</f>
        <v>-0.42246698260723553</v>
      </c>
      <c r="AB82" s="140"/>
      <c r="AC82" s="166">
        <f>AC74-AC80</f>
        <v>590673.35401334334</v>
      </c>
      <c r="AD82" s="167">
        <f>IF(AC82=0,"",IFERROR(AC82/AC$43,""))</f>
        <v>4.5535359909039883E-2</v>
      </c>
      <c r="AE82" s="168">
        <f>IF(AND($Z82="",AC82=""),"",$Z82-AC82)</f>
        <v>-2793139.6840133434</v>
      </c>
      <c r="AF82" s="166">
        <f>AF74-AF80</f>
        <v>-2391541.3200000003</v>
      </c>
      <c r="AG82" s="167">
        <f>IF(AF82=0,"",IFERROR(AF82/AF$43,""))</f>
        <v>-0.28518295087220008</v>
      </c>
      <c r="AH82" s="168">
        <f>IF(AND($Z82="",AF82=""),"",$Z82-AF82)</f>
        <v>189074.99000000022</v>
      </c>
      <c r="AI82" s="629" t="str">
        <f>+IFERROR(ROUND(($AA82-AD82)*100,2)&amp;" pts.",0)</f>
        <v>-46.8 pts.</v>
      </c>
      <c r="AJ82" s="630"/>
      <c r="AK82" s="629" t="str">
        <f>+IFERROR(ROUND(($AA82-AG82)*100,2)&amp;" pts.",0)</f>
        <v>-13.73 pts.</v>
      </c>
      <c r="AL82" s="630"/>
      <c r="AM82" s="11"/>
      <c r="AN82" s="11"/>
      <c r="AO82" s="11"/>
    </row>
    <row r="83" spans="1:41" x14ac:dyDescent="0.35">
      <c r="A83" s="11"/>
      <c r="B83" s="11"/>
      <c r="C83" s="11"/>
      <c r="D83" s="11"/>
      <c r="E83" s="11"/>
      <c r="F83" s="11"/>
      <c r="G83" s="88" t="s">
        <v>519</v>
      </c>
      <c r="H83" s="88" t="s">
        <v>578</v>
      </c>
      <c r="I83" s="122" t="str">
        <f>IF(_epmOfflineCondition_,"T3",_xll.EVPRO($B$1,$H83,"STYLE"))</f>
        <v>T3</v>
      </c>
      <c r="J83" s="122" t="str">
        <f>IF(_epmOfflineCondition_,"Y",_xll.EVPRO($B$1,$H83,"CALC"))</f>
        <v>Y</v>
      </c>
      <c r="K83" s="11"/>
      <c r="L83" s="11"/>
      <c r="M83" s="90" t="str">
        <f>IF(_epmOfflineCondition_,"Total Income Taxes",IF(_xll.EVDES(H83,$B$1)="#NODATA","",_xll.EVDES(H83,$B$1)))</f>
        <v>Total Income Taxes</v>
      </c>
      <c r="N83" s="143"/>
      <c r="O83" s="143"/>
      <c r="P83" s="143"/>
      <c r="Q83" s="143"/>
      <c r="R83" s="143"/>
      <c r="S83" s="143"/>
      <c r="T83" s="143"/>
      <c r="U83" s="143"/>
      <c r="V83" s="143"/>
      <c r="W83" s="143"/>
      <c r="X83" s="143"/>
      <c r="Y83" s="143"/>
      <c r="Z83" s="143">
        <f>SUM(N83:Y83)</f>
        <v>0</v>
      </c>
      <c r="AA83" s="144" t="str">
        <f>IF(Z83=0,"",IFERROR(Z83/Z$43,""))</f>
        <v/>
      </c>
      <c r="AB83" s="140"/>
      <c r="AC83" s="143"/>
      <c r="AD83" s="144" t="str">
        <f>IF(AC83=0,"",IFERROR(AC83/AC$43,""))</f>
        <v/>
      </c>
      <c r="AE83" s="145">
        <f>IF(AND($Z83="",AC83=""),"",$Z83-AC83)</f>
        <v>0</v>
      </c>
      <c r="AF83" s="143"/>
      <c r="AG83" s="144" t="str">
        <f>IF(AF83=0,"",IFERROR(AF83/AF$43,""))</f>
        <v/>
      </c>
      <c r="AH83" s="145">
        <f>IF(AND($Z83="",AF83=""),"",$Z83-AF83)</f>
        <v>0</v>
      </c>
      <c r="AI83" s="623">
        <f>+IFERROR(ROUND(($AA83-AD83)*100,2)&amp;" pts.",0)</f>
        <v>0</v>
      </c>
      <c r="AJ83" s="624"/>
      <c r="AK83" s="623">
        <f>+IFERROR(ROUND(($AA83-AG83)*100,2)&amp;" pts.",0)</f>
        <v>0</v>
      </c>
      <c r="AL83" s="624"/>
      <c r="AM83" s="11"/>
      <c r="AN83" s="11"/>
      <c r="AO83" s="11"/>
    </row>
    <row r="84" spans="1:41" ht="15" thickBot="1" x14ac:dyDescent="0.4">
      <c r="A84" s="11"/>
      <c r="B84" s="11"/>
      <c r="C84" s="11"/>
      <c r="D84" s="11"/>
      <c r="E84" s="11"/>
      <c r="F84" s="88" t="s">
        <v>579</v>
      </c>
      <c r="G84" s="11"/>
      <c r="H84" s="11"/>
      <c r="I84" s="11"/>
      <c r="J84" s="11"/>
      <c r="K84" s="11"/>
      <c r="L84" s="11"/>
      <c r="M84" s="106" t="str">
        <f>IF(_epmOfflineCondition_,"Net Income",IF(_xll.EVDES(F84,$B$1)="#NODATA","",_xll.EVDES(F84,$B$1)))</f>
        <v>Net Income</v>
      </c>
      <c r="N84" s="169">
        <f t="shared" ref="N84:Y84" si="33">N82-N83</f>
        <v>321204.55999999976</v>
      </c>
      <c r="O84" s="169">
        <f t="shared" si="33"/>
        <v>328113.63000000012</v>
      </c>
      <c r="P84" s="169">
        <f t="shared" si="33"/>
        <v>-240530.58999999997</v>
      </c>
      <c r="Q84" s="169">
        <f t="shared" si="33"/>
        <v>-406143.42000000004</v>
      </c>
      <c r="R84" s="169">
        <f t="shared" si="33"/>
        <v>-402515.62</v>
      </c>
      <c r="S84" s="169">
        <f t="shared" si="33"/>
        <v>-328743.95999999996</v>
      </c>
      <c r="T84" s="169">
        <f t="shared" si="33"/>
        <v>-382387.32999999996</v>
      </c>
      <c r="U84" s="169">
        <f t="shared" si="33"/>
        <v>-349401.16000000003</v>
      </c>
      <c r="V84" s="169">
        <f t="shared" si="33"/>
        <v>-260639.76</v>
      </c>
      <c r="W84" s="169">
        <f t="shared" si="33"/>
        <v>-202794.20999999996</v>
      </c>
      <c r="X84" s="169">
        <f t="shared" si="33"/>
        <v>-230170.02</v>
      </c>
      <c r="Y84" s="169">
        <f t="shared" si="33"/>
        <v>-48458.45000000007</v>
      </c>
      <c r="Z84" s="169">
        <f>SUM(N84:Y84)</f>
        <v>-2202466.33</v>
      </c>
      <c r="AA84" s="170">
        <f>IF(Z84=0,"",IFERROR(Z84/Z$43,""))</f>
        <v>-0.42246698260723553</v>
      </c>
      <c r="AB84" s="140"/>
      <c r="AC84" s="169">
        <f>AC82-AC83</f>
        <v>590673.35401334334</v>
      </c>
      <c r="AD84" s="170">
        <f>IF(AC84=0,"",IFERROR(AC84/AC$43,""))</f>
        <v>4.5535359909039883E-2</v>
      </c>
      <c r="AE84" s="171">
        <f>IF(AND($Z84="",AC84=""),"",$Z84-AC84)</f>
        <v>-2793139.6840133434</v>
      </c>
      <c r="AF84" s="169">
        <f>AF82-AF83</f>
        <v>-2391541.3200000003</v>
      </c>
      <c r="AG84" s="170">
        <f>IF(AF84=0,"",IFERROR(AF84/AF$43,""))</f>
        <v>-0.28518295087220008</v>
      </c>
      <c r="AH84" s="171">
        <f>IF(AND($Z84="",AF84=""),"",$Z84-AF84)</f>
        <v>189074.99000000022</v>
      </c>
      <c r="AI84" s="625" t="str">
        <f>+IFERROR(ROUND(($AA84-AD84)*100,2)&amp;" pts.",0)</f>
        <v>-46.8 pts.</v>
      </c>
      <c r="AJ84" s="626"/>
      <c r="AK84" s="625" t="str">
        <f>+IFERROR(ROUND(($AA84-AG84)*100,2)&amp;" pts.",0)</f>
        <v>-13.73 pts.</v>
      </c>
      <c r="AL84" s="626"/>
      <c r="AM84" s="11"/>
      <c r="AN84" s="11"/>
      <c r="AO84" s="11"/>
    </row>
    <row r="85" spans="1:41" ht="15" thickTop="1" x14ac:dyDescent="0.35">
      <c r="A85" s="11"/>
      <c r="B85" s="11"/>
      <c r="C85" s="11"/>
      <c r="D85" s="11"/>
      <c r="E85" s="11"/>
      <c r="F85" s="11"/>
      <c r="G85" s="11"/>
      <c r="H85" s="59"/>
      <c r="I85" s="59"/>
      <c r="J85" s="11"/>
      <c r="K85" s="11"/>
      <c r="L85" s="11">
        <f>COUNTIF(N85:AH85,FALSE)</f>
        <v>0</v>
      </c>
      <c r="M85" s="117" t="str">
        <f>IF(L85=0,"","Net Income - database validation failed")</f>
        <v/>
      </c>
      <c r="N85" s="157" t="str">
        <f t="shared" ref="N85:Z85" si="34">IF(ROUND(N84,2)&lt;&gt;ROUND(N105,2),N84-N105,"")</f>
        <v/>
      </c>
      <c r="O85" s="157" t="str">
        <f t="shared" si="34"/>
        <v/>
      </c>
      <c r="P85" s="157" t="str">
        <f t="shared" si="34"/>
        <v/>
      </c>
      <c r="Q85" s="157" t="str">
        <f t="shared" si="34"/>
        <v/>
      </c>
      <c r="R85" s="157" t="str">
        <f t="shared" si="34"/>
        <v/>
      </c>
      <c r="S85" s="157" t="str">
        <f t="shared" si="34"/>
        <v/>
      </c>
      <c r="T85" s="157" t="str">
        <f t="shared" si="34"/>
        <v/>
      </c>
      <c r="U85" s="157" t="str">
        <f t="shared" si="34"/>
        <v/>
      </c>
      <c r="V85" s="157" t="str">
        <f t="shared" si="34"/>
        <v/>
      </c>
      <c r="W85" s="157" t="str">
        <f t="shared" si="34"/>
        <v/>
      </c>
      <c r="X85" s="157" t="str">
        <f t="shared" si="34"/>
        <v/>
      </c>
      <c r="Y85" s="157" t="str">
        <f t="shared" si="34"/>
        <v/>
      </c>
      <c r="Z85" s="157" t="str">
        <f t="shared" si="34"/>
        <v/>
      </c>
      <c r="AA85" s="165" t="b">
        <f>Z85=""</f>
        <v>1</v>
      </c>
      <c r="AB85" s="140"/>
      <c r="AC85" s="157" t="str">
        <f>IF(ROUND(AC84,2)&lt;&gt;ROUND(AC105,2),AC84-AC105,"")</f>
        <v/>
      </c>
      <c r="AD85" s="160" t="b">
        <f>AC85=""</f>
        <v>1</v>
      </c>
      <c r="AE85" s="161"/>
      <c r="AF85" s="157" t="str">
        <f>IF(ROUND(AF84,2)&lt;&gt;ROUND(AF105,2),AF84-AF105,"")</f>
        <v/>
      </c>
      <c r="AG85" s="160" t="b">
        <f>AF85=""</f>
        <v>1</v>
      </c>
      <c r="AH85" s="161"/>
      <c r="AI85" s="11"/>
      <c r="AJ85" s="11"/>
      <c r="AK85" s="11"/>
      <c r="AL85" s="11"/>
      <c r="AM85" s="11"/>
      <c r="AN85" s="11"/>
      <c r="AO85" s="11"/>
    </row>
    <row r="86" spans="1:41" x14ac:dyDescent="0.35">
      <c r="A86" s="11"/>
      <c r="B86" s="11"/>
      <c r="C86" s="11"/>
      <c r="D86" s="11"/>
      <c r="E86" s="11"/>
      <c r="F86" s="88" t="s">
        <v>570</v>
      </c>
      <c r="G86" s="11"/>
      <c r="H86" s="11"/>
      <c r="I86" s="11"/>
      <c r="J86" s="11"/>
      <c r="K86" s="11"/>
      <c r="L86" s="11"/>
      <c r="M86" s="106" t="str">
        <f>IF(_epmOfflineCondition_,"EBITDA",IF(_xll.EVDES(F86,$B$1)="#NODATA","",_xll.EVDES(F86,$B$1)))</f>
        <v>EBITDA</v>
      </c>
      <c r="N86" s="166">
        <f t="shared" ref="N86:Y86" si="35">N74</f>
        <v>538478.74999999977</v>
      </c>
      <c r="O86" s="166">
        <f t="shared" si="35"/>
        <v>533026.99000000011</v>
      </c>
      <c r="P86" s="166">
        <f t="shared" si="35"/>
        <v>-96092.139999999956</v>
      </c>
      <c r="Q86" s="166">
        <f t="shared" si="35"/>
        <v>-225452.31000000003</v>
      </c>
      <c r="R86" s="166">
        <f t="shared" si="35"/>
        <v>-217112.01</v>
      </c>
      <c r="S86" s="166">
        <f t="shared" si="35"/>
        <v>-147000.43</v>
      </c>
      <c r="T86" s="166">
        <f t="shared" si="35"/>
        <v>-195921.46999999997</v>
      </c>
      <c r="U86" s="166">
        <f t="shared" si="35"/>
        <v>-162642.44</v>
      </c>
      <c r="V86" s="166">
        <f t="shared" si="35"/>
        <v>-78379.350000000006</v>
      </c>
      <c r="W86" s="166">
        <f t="shared" si="35"/>
        <v>-15510.329999999973</v>
      </c>
      <c r="X86" s="166">
        <f t="shared" si="35"/>
        <v>-47650.989999999991</v>
      </c>
      <c r="Y86" s="166">
        <f t="shared" si="35"/>
        <v>139235.94999999992</v>
      </c>
      <c r="Z86" s="166">
        <f>SUM(N86:Y86)</f>
        <v>24980.219999999783</v>
      </c>
      <c r="AA86" s="167">
        <f>IF(Z86=0,"",IFERROR(Z86/Z$43,""))</f>
        <v>4.7915911469415401E-3</v>
      </c>
      <c r="AB86" s="140"/>
      <c r="AC86" s="166">
        <f>AC74</f>
        <v>3209296.2740133433</v>
      </c>
      <c r="AD86" s="167">
        <f>IF(AC86=0,"",IFERROR(AC86/AC$43,""))</f>
        <v>0.24740655710810519</v>
      </c>
      <c r="AE86" s="168">
        <f>IF(AND($Z86="",AC86=""),"",$Z86-AC86)</f>
        <v>-3184316.0540133435</v>
      </c>
      <c r="AF86" s="166">
        <f>AF74</f>
        <v>447606.03999999957</v>
      </c>
      <c r="AG86" s="167">
        <f>IF(AF86=0,"",IFERROR(AF86/AF$43,""))</f>
        <v>5.3375457178143126E-2</v>
      </c>
      <c r="AH86" s="168">
        <f>IF(AND($Z86="",AF86=""),"",$Z86-AF86)</f>
        <v>-422625.81999999977</v>
      </c>
      <c r="AI86" s="11"/>
      <c r="AJ86" s="11"/>
      <c r="AK86" s="11"/>
      <c r="AL86" s="11"/>
      <c r="AM86" s="11"/>
      <c r="AN86" s="11"/>
      <c r="AO86" s="11"/>
    </row>
    <row r="87" spans="1:41" x14ac:dyDescent="0.35">
      <c r="A87" s="11"/>
      <c r="B87" s="11"/>
      <c r="C87" s="11"/>
      <c r="D87" s="11"/>
      <c r="E87" s="11"/>
      <c r="F87" s="11"/>
      <c r="G87" s="88" t="s">
        <v>519</v>
      </c>
      <c r="H87" s="88" t="s">
        <v>580</v>
      </c>
      <c r="I87" s="122" t="str">
        <f>IF(_epmOfflineCondition_,"T3",_xll.EVPRO($B$1,$H87,"STYLE"))</f>
        <v>T3</v>
      </c>
      <c r="J87" s="122" t="str">
        <f>IF(_epmOfflineCondition_,"Y",_xll.EVPRO($B$1,$H87,"CALC"))</f>
        <v>Y</v>
      </c>
      <c r="K87" s="11"/>
      <c r="L87" s="59"/>
      <c r="M87" s="90" t="str">
        <f>IF(_epmOfflineCondition_,"FF&amp;E ProForma Calculation",IF(_xll.EVDES(H87,$B$1)="#NODATA","",_xll.EVDES(H87,$B$1)))</f>
        <v>FF&amp;E ProForma Calculation</v>
      </c>
      <c r="N87" s="143">
        <v>56048.6</v>
      </c>
      <c r="O87" s="143">
        <v>57483.69</v>
      </c>
      <c r="P87" s="143">
        <v>20955.46</v>
      </c>
      <c r="Q87" s="143">
        <v>-161.41999999999999</v>
      </c>
      <c r="R87" s="143">
        <v>-1021.66</v>
      </c>
      <c r="S87" s="143">
        <v>4105.57</v>
      </c>
      <c r="T87" s="143">
        <v>-4105.57</v>
      </c>
      <c r="U87" s="143"/>
      <c r="V87" s="143"/>
      <c r="W87" s="143"/>
      <c r="X87" s="143"/>
      <c r="Y87" s="143"/>
      <c r="Z87" s="143">
        <f>SUM(N87:Y87)</f>
        <v>133304.66999999998</v>
      </c>
      <c r="AA87" s="144">
        <f>IF(Z87=0,"",IFERROR(Z87/Z$43,""))</f>
        <v>2.5569889961656423E-2</v>
      </c>
      <c r="AB87" s="140"/>
      <c r="AC87" s="143">
        <v>518870.04314296</v>
      </c>
      <c r="AD87" s="144">
        <f>IF(AC87=0,"",IFERROR(AC87/AC$43,""))</f>
        <v>0.04</v>
      </c>
      <c r="AE87" s="145">
        <f>IF(AND($Z87="",AC87=""),"",$Z87-AC87)</f>
        <v>-385565.37314296002</v>
      </c>
      <c r="AF87" s="143">
        <v>335439.59000000003</v>
      </c>
      <c r="AG87" s="144">
        <f>IF(AF87=0,"",IFERROR(AF87/AF$43,""))</f>
        <v>3.9999999713808389E-2</v>
      </c>
      <c r="AH87" s="145">
        <f>IF(AND($Z87="",AF87=""),"",$Z87-AF87)</f>
        <v>-202134.92000000004</v>
      </c>
      <c r="AI87" s="11"/>
      <c r="AJ87" s="11"/>
      <c r="AK87" s="11"/>
      <c r="AL87" s="11"/>
      <c r="AM87" s="11"/>
      <c r="AN87" s="11"/>
      <c r="AO87" s="11"/>
    </row>
    <row r="88" spans="1:41" ht="15" thickBot="1" x14ac:dyDescent="0.4">
      <c r="A88" s="11"/>
      <c r="B88" s="11"/>
      <c r="C88" s="11"/>
      <c r="D88" s="11"/>
      <c r="E88" s="11"/>
      <c r="F88" s="11"/>
      <c r="G88" s="11"/>
      <c r="H88" s="11"/>
      <c r="I88" s="11"/>
      <c r="J88" s="11"/>
      <c r="K88" s="11"/>
      <c r="L88" s="11"/>
      <c r="M88" s="106" t="s">
        <v>581</v>
      </c>
      <c r="N88" s="169">
        <f t="shared" ref="N88:Y88" si="36">N86-N87</f>
        <v>482430.14999999979</v>
      </c>
      <c r="O88" s="169">
        <f t="shared" si="36"/>
        <v>475543.3000000001</v>
      </c>
      <c r="P88" s="169">
        <f t="shared" si="36"/>
        <v>-117047.59999999995</v>
      </c>
      <c r="Q88" s="169">
        <f t="shared" si="36"/>
        <v>-225290.89</v>
      </c>
      <c r="R88" s="169">
        <f t="shared" si="36"/>
        <v>-216090.35</v>
      </c>
      <c r="S88" s="169">
        <f t="shared" si="36"/>
        <v>-151106</v>
      </c>
      <c r="T88" s="169">
        <f t="shared" si="36"/>
        <v>-191815.89999999997</v>
      </c>
      <c r="U88" s="169">
        <f t="shared" si="36"/>
        <v>-162642.44</v>
      </c>
      <c r="V88" s="169">
        <f t="shared" si="36"/>
        <v>-78379.350000000006</v>
      </c>
      <c r="W88" s="169">
        <f t="shared" si="36"/>
        <v>-15510.329999999973</v>
      </c>
      <c r="X88" s="169">
        <f t="shared" si="36"/>
        <v>-47650.989999999991</v>
      </c>
      <c r="Y88" s="169">
        <f t="shared" si="36"/>
        <v>139235.94999999992</v>
      </c>
      <c r="Z88" s="169">
        <f>SUM(N88:Y88)</f>
        <v>-108324.45000000004</v>
      </c>
      <c r="AA88" s="170">
        <f>IF(Z88=0,"",IFERROR(Z88/Z$43,""))</f>
        <v>-2.0778298814714852E-2</v>
      </c>
      <c r="AB88" s="140"/>
      <c r="AC88" s="169">
        <f>AC86-AC87</f>
        <v>2690426.2308703833</v>
      </c>
      <c r="AD88" s="170">
        <f>IF(AC88=0,"",IFERROR(AC88/AC$43,""))</f>
        <v>0.20740655710810518</v>
      </c>
      <c r="AE88" s="171">
        <f>IF(AND($Z88="",AC88=""),"",$Z88-AC88)</f>
        <v>-2798750.6808703835</v>
      </c>
      <c r="AF88" s="169">
        <f>AF86-AF87</f>
        <v>112166.44999999955</v>
      </c>
      <c r="AG88" s="170">
        <f>IF(AF88=0,"",IFERROR(AF88/AF$43,""))</f>
        <v>1.3375457464334738E-2</v>
      </c>
      <c r="AH88" s="171">
        <f>IF(AND($Z88="",AF88=""),"",$Z88-AF88)</f>
        <v>-220490.89999999959</v>
      </c>
      <c r="AI88" s="11"/>
      <c r="AJ88" s="11"/>
      <c r="AK88" s="11"/>
      <c r="AL88" s="11"/>
      <c r="AM88" s="11"/>
      <c r="AN88" s="11"/>
      <c r="AO88" s="11"/>
    </row>
    <row r="89" spans="1:41" ht="15" thickTop="1" x14ac:dyDescent="0.35">
      <c r="A89" s="11"/>
      <c r="B89" s="11"/>
      <c r="C89" s="11"/>
      <c r="D89" s="11"/>
      <c r="E89" s="11"/>
      <c r="F89" s="11"/>
      <c r="G89" s="11"/>
      <c r="H89" s="59"/>
      <c r="I89" s="59"/>
      <c r="J89" s="11"/>
      <c r="K89" s="11"/>
      <c r="L89" s="59"/>
      <c r="M89" s="53" t="s">
        <v>754</v>
      </c>
      <c r="N89" s="11"/>
      <c r="O89" s="11"/>
      <c r="P89" s="11"/>
      <c r="Q89" s="11"/>
      <c r="R89" s="11"/>
      <c r="S89" s="11"/>
      <c r="T89" s="11"/>
      <c r="U89" s="11"/>
      <c r="V89" s="11"/>
      <c r="W89" s="11"/>
      <c r="X89" s="11"/>
      <c r="Y89" s="11"/>
      <c r="Z89" s="11"/>
      <c r="AA89" s="11"/>
      <c r="AB89" s="11"/>
      <c r="AC89" s="11"/>
      <c r="AD89" s="132">
        <f>+IF(AND(AE43&gt;0,AE61&gt;0),+AE61/+AE43)+IF(AND(AE43&gt;0,AE61&lt;0),AE61/+AE43)+IF(AND(AE43&lt;0,AE61&lt;0),+(1-(AE61/+AE43)))+IF(AND(AE43&lt;0,AE61&gt;0),+(1-(AE61/+AE43)))</f>
        <v>0.5632392764907036</v>
      </c>
      <c r="AE89" s="133" t="str">
        <f>IF(AE43&lt;0,"Flex","")</f>
        <v>Flex</v>
      </c>
      <c r="AF89" s="11"/>
      <c r="AG89" s="132">
        <f>+IF(AND(AH43&gt;0,AH61&gt;0),+AH61/+AH43)+IF(AND(AH43&gt;0,AH61&lt;0),AH61/+AH43)+IF(AND(AH43&lt;0,AH61&lt;0),+(1-(AH61/+AH43)))+IF(AND(AH43&lt;0,AH61&gt;0),+(1-(AH61/+AH43)))</f>
        <v>0.87651411314512473</v>
      </c>
      <c r="AH89" s="133" t="str">
        <f>IF(AH43&lt;0,"Flex","")</f>
        <v>Flex</v>
      </c>
      <c r="AI89" s="11"/>
      <c r="AJ89" s="11"/>
      <c r="AK89" s="11"/>
      <c r="AL89" s="11"/>
      <c r="AM89" s="11"/>
      <c r="AN89" s="11"/>
      <c r="AO89" s="11"/>
    </row>
    <row r="90" spans="1:41" x14ac:dyDescent="0.35">
      <c r="A90" s="11"/>
      <c r="B90" s="11"/>
      <c r="C90" s="11"/>
      <c r="D90" s="11"/>
      <c r="E90" s="11"/>
      <c r="F90" s="11"/>
      <c r="G90" s="11"/>
      <c r="H90" s="59"/>
      <c r="I90" s="59"/>
      <c r="J90" s="11"/>
      <c r="K90" s="11"/>
      <c r="L90" s="59"/>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hidden="1" outlineLevel="1" x14ac:dyDescent="0.35">
      <c r="A91" s="11"/>
      <c r="B91" s="11"/>
      <c r="C91" s="11"/>
      <c r="D91" s="11"/>
      <c r="E91" s="11"/>
      <c r="F91" s="11"/>
      <c r="G91" s="11"/>
      <c r="H91" s="59"/>
      <c r="I91" s="59"/>
      <c r="J91" s="11"/>
      <c r="K91" s="11"/>
      <c r="L91" s="59"/>
      <c r="M91" s="53" t="str">
        <f>M66</f>
        <v>Non-Operating Income &amp; Expenses</v>
      </c>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hidden="1" outlineLevel="1" x14ac:dyDescent="0.35">
      <c r="A92" s="11"/>
      <c r="B92" s="11"/>
      <c r="C92" s="11"/>
      <c r="D92" s="11"/>
      <c r="E92" s="11"/>
      <c r="F92" s="11"/>
      <c r="G92" s="11"/>
      <c r="H92" s="59"/>
      <c r="I92" s="59"/>
      <c r="J92" s="11"/>
      <c r="K92" s="11"/>
      <c r="L92" s="59"/>
      <c r="M92" s="53" t="s">
        <v>587</v>
      </c>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hidden="1" outlineLevel="1" x14ac:dyDescent="0.35">
      <c r="A93" s="11"/>
      <c r="B93" s="11"/>
      <c r="C93" s="11"/>
      <c r="D93" s="11"/>
      <c r="E93" s="11"/>
      <c r="F93" s="11"/>
      <c r="G93" s="88" t="s">
        <v>519</v>
      </c>
      <c r="H93" s="88" t="s">
        <v>542</v>
      </c>
      <c r="I93" s="122" t="str">
        <f>IF(_epmOfflineCondition_,"T3",_xll.EVPRO($B$1,$H93,"STYLE"))</f>
        <v>T3</v>
      </c>
      <c r="J93" s="122" t="str">
        <f>IF(_epmOfflineCondition_,"Y",_xll.EVPRO($B$1,$H93,"CALC"))</f>
        <v>Y</v>
      </c>
      <c r="K93" s="11"/>
      <c r="L93" s="11"/>
      <c r="M93" s="134" t="str">
        <f>IF(_epmOfflineCondition_,"Total Other",IF(_xll.EVDES(H93,$B$1)="#NODATA","",_xll.EVDES(H93,$B$1)))</f>
        <v>Total Other</v>
      </c>
      <c r="N93" s="138"/>
      <c r="O93" s="138">
        <v>3280.7</v>
      </c>
      <c r="P93" s="138">
        <v>6137</v>
      </c>
      <c r="Q93" s="138">
        <v>10484</v>
      </c>
      <c r="R93" s="138">
        <v>1567.5</v>
      </c>
      <c r="S93" s="138">
        <v>1209.5</v>
      </c>
      <c r="T93" s="138">
        <v>3275.13</v>
      </c>
      <c r="U93" s="138">
        <v>2800</v>
      </c>
      <c r="V93" s="138">
        <v>4752</v>
      </c>
      <c r="W93" s="138">
        <v>801.15</v>
      </c>
      <c r="X93" s="138">
        <v>420</v>
      </c>
      <c r="Y93" s="138"/>
      <c r="Z93" s="138">
        <f>SUM(N93:Y93)</f>
        <v>34726.980000000003</v>
      </c>
      <c r="AA93" s="139"/>
      <c r="AB93" s="140"/>
      <c r="AC93" s="138"/>
      <c r="AD93" s="139"/>
      <c r="AE93" s="138">
        <f>IF(AND($Z93="",AC93=""),"",$Z93-AC93)</f>
        <v>34726.980000000003</v>
      </c>
      <c r="AF93" s="138">
        <v>2450</v>
      </c>
      <c r="AG93" s="139"/>
      <c r="AH93" s="138">
        <f>IF(AND($Z93="",AF93=""),"",$Z93-AF93)</f>
        <v>32276.980000000003</v>
      </c>
      <c r="AI93" s="11"/>
      <c r="AJ93" s="11"/>
      <c r="AK93" s="11"/>
      <c r="AL93" s="11"/>
      <c r="AM93" s="11"/>
      <c r="AN93" s="11"/>
      <c r="AO93" s="11"/>
    </row>
    <row r="94" spans="1:41" hidden="1" outlineLevel="1" x14ac:dyDescent="0.35">
      <c r="A94" s="11"/>
      <c r="B94" s="11"/>
      <c r="C94" s="11"/>
      <c r="D94" s="11"/>
      <c r="E94" s="11"/>
      <c r="F94" s="11"/>
      <c r="G94" s="88" t="s">
        <v>583</v>
      </c>
      <c r="H94" s="88" t="s">
        <v>584</v>
      </c>
      <c r="I94" s="122" t="str">
        <f>IF(_epmOfflineCondition_,"T1",_xll.EVPRO($B$1,$H94,"STYLE"))</f>
        <v>T1</v>
      </c>
      <c r="J94" s="122" t="str">
        <f>IF(_epmOfflineCondition_,"Y",_xll.EVPRO($B$1,$H94,"CALC"))</f>
        <v>Y</v>
      </c>
      <c r="K94" s="11"/>
      <c r="L94" s="11"/>
      <c r="M94" s="135" t="str">
        <f>IF(_epmOfflineCondition_,"Net Income-Development &amp; Renovation Projects",IF(_xll.EVDES(H94,$B$1)="#NODATA","",_xll.EVDES(H94,$B$1))&amp;"-"&amp;_xll.EVDES(G94))</f>
        <v>Net Income-Development &amp; Renovation Projects</v>
      </c>
      <c r="N94" s="141">
        <f>IF(_epmOfflineCondition_,0,_xll.EVGTS($B$1,1,$B$3,$B$5,$B$7,$B$9,N$16,N$17,N$18,$G$94,$H$94))</f>
        <v>0</v>
      </c>
      <c r="O94" s="141">
        <f>IF(_epmOfflineCondition_,0,_xll.EVGTS($B$1,1,$B$3,$B$5,$B$7,$B$9,O$16,O$17,O$18,$G$94,$H$94))</f>
        <v>0</v>
      </c>
      <c r="P94" s="141">
        <f>IF(_epmOfflineCondition_,0,_xll.EVGTS($B$1,1,$B$3,$B$5,$B$7,$B$9,P$16,P$17,P$18,$G$94,$H$94))</f>
        <v>0</v>
      </c>
      <c r="Q94" s="141">
        <f>IF(_epmOfflineCondition_,0,_xll.EVGTS($B$1,1,$B$3,$B$5,$B$7,$B$9,Q$16,Q$17,Q$18,$G$94,$H$94))</f>
        <v>0</v>
      </c>
      <c r="R94" s="141">
        <f>IF(_epmOfflineCondition_,0,_xll.EVGTS($B$1,1,$B$3,$B$5,$B$7,$B$9,R$16,R$17,R$18,$G$94,$H$94))</f>
        <v>0</v>
      </c>
      <c r="S94" s="141">
        <f>IF(_epmOfflineCondition_,0,_xll.EVGTS($B$1,1,$B$3,$B$5,$B$7,$B$9,S$16,S$17,S$18,$G$94,$H$94))</f>
        <v>0</v>
      </c>
      <c r="T94" s="141">
        <f>IF(_epmOfflineCondition_,0,_xll.EVGTS($B$1,1,$B$3,$B$5,$B$7,$B$9,T$16,T$17,T$18,$G$94,$H$94))</f>
        <v>0</v>
      </c>
      <c r="U94" s="141">
        <f>IF(_epmOfflineCondition_,0,_xll.EVGTS($B$1,1,$B$3,$B$5,$B$7,$B$9,U$16,U$17,U$18,$G$94,$H$94))</f>
        <v>0</v>
      </c>
      <c r="V94" s="141">
        <f>IF(_epmOfflineCondition_,0,_xll.EVGTS($B$1,1,$B$3,$B$5,$B$7,$B$9,V$16,V$17,V$18,$G$94,$H$94))</f>
        <v>0</v>
      </c>
      <c r="W94" s="141">
        <f>IF(_epmOfflineCondition_,0,_xll.EVGTS($B$1,1,$B$3,$B$5,$B$7,$B$9,W$16,W$17,W$18,$G$94,$H$94))</f>
        <v>0</v>
      </c>
      <c r="X94" s="141">
        <f>IF(_epmOfflineCondition_,0,_xll.EVGTS($B$1,1,$B$3,$B$5,$B$7,$B$9,X$16,X$17,X$18,$G$94,$H$94))</f>
        <v>0</v>
      </c>
      <c r="Y94" s="141">
        <f>IF(_epmOfflineCondition_,0,_xll.EVGTS($B$1,1,$B$3,$B$5,$B$7,$B$9,Y$16,Y$17,Y$18,$G$94,$H$94))</f>
        <v>0</v>
      </c>
      <c r="Z94" s="138">
        <f>SUM(N94:Y94)</f>
        <v>0</v>
      </c>
      <c r="AA94" s="142"/>
      <c r="AB94" s="140"/>
      <c r="AC94" s="141">
        <f>IF(_epmOfflineCondition_,0,_xll.EVGTS($B$1,1,$B$3,$B$5,$B$7,$B$9,AC$16,AC$17,AC$18,$G$94,$H$94))</f>
        <v>0</v>
      </c>
      <c r="AD94" s="142"/>
      <c r="AE94" s="138">
        <f>IF(AND($Z94="",AC94=""),"",$Z94-AC94)</f>
        <v>0</v>
      </c>
      <c r="AF94" s="141">
        <f>IF(_epmOfflineCondition_,0,_xll.EVGTS($B$1,1,$B$3,$B$5,$B$7,$B$9,AF$16,AF$17,AF$18,$G$94,$H$94))</f>
        <v>0</v>
      </c>
      <c r="AG94" s="142"/>
      <c r="AH94" s="138">
        <f>IF(AND($Z94="",AF94=""),"",$Z94-AF94)</f>
        <v>0</v>
      </c>
      <c r="AI94" s="11"/>
      <c r="AJ94" s="11"/>
      <c r="AK94" s="11"/>
      <c r="AL94" s="11"/>
      <c r="AM94" s="11"/>
      <c r="AN94" s="11"/>
      <c r="AO94" s="11"/>
    </row>
    <row r="95" spans="1:41" hidden="1" outlineLevel="1" x14ac:dyDescent="0.35">
      <c r="A95" s="11"/>
      <c r="B95" s="11"/>
      <c r="C95" s="11"/>
      <c r="D95" s="11"/>
      <c r="E95" s="11"/>
      <c r="F95" s="11"/>
      <c r="G95" s="11"/>
      <c r="H95" s="11"/>
      <c r="I95" s="11"/>
      <c r="J95" s="11"/>
      <c r="K95" s="11"/>
      <c r="L95" s="11"/>
      <c r="M95" s="134" t="s">
        <v>585</v>
      </c>
      <c r="N95" s="138">
        <f t="shared" ref="N95:Y95" si="37">IFERROR(N93-N94,"")</f>
        <v>0</v>
      </c>
      <c r="O95" s="138">
        <f t="shared" si="37"/>
        <v>3280.7</v>
      </c>
      <c r="P95" s="138">
        <f t="shared" si="37"/>
        <v>6137</v>
      </c>
      <c r="Q95" s="138">
        <f t="shared" si="37"/>
        <v>10484</v>
      </c>
      <c r="R95" s="138">
        <f t="shared" si="37"/>
        <v>1567.5</v>
      </c>
      <c r="S95" s="138">
        <f t="shared" si="37"/>
        <v>1209.5</v>
      </c>
      <c r="T95" s="138">
        <f t="shared" si="37"/>
        <v>3275.13</v>
      </c>
      <c r="U95" s="138">
        <f t="shared" si="37"/>
        <v>2800</v>
      </c>
      <c r="V95" s="138">
        <f t="shared" si="37"/>
        <v>4752</v>
      </c>
      <c r="W95" s="138">
        <f t="shared" si="37"/>
        <v>801.15</v>
      </c>
      <c r="X95" s="138">
        <f t="shared" si="37"/>
        <v>420</v>
      </c>
      <c r="Y95" s="138">
        <f t="shared" si="37"/>
        <v>0</v>
      </c>
      <c r="Z95" s="138">
        <f>SUM(N95:Y95)</f>
        <v>34726.980000000003</v>
      </c>
      <c r="AA95" s="139"/>
      <c r="AB95" s="140"/>
      <c r="AC95" s="138">
        <f>IFERROR(AC93-AC94,"")</f>
        <v>0</v>
      </c>
      <c r="AD95" s="139"/>
      <c r="AE95" s="138">
        <f>IF(AND($Z95="",AC95=""),"",$Z95-AC95)</f>
        <v>34726.980000000003</v>
      </c>
      <c r="AF95" s="138">
        <f>IFERROR(AF93-AF94,"")</f>
        <v>2450</v>
      </c>
      <c r="AG95" s="139"/>
      <c r="AH95" s="138">
        <f>IF(AND($Z95="",AF95=""),"",$Z95-AF95)</f>
        <v>32276.980000000003</v>
      </c>
      <c r="AI95" s="11"/>
      <c r="AJ95" s="11"/>
      <c r="AK95" s="11"/>
      <c r="AL95" s="11"/>
      <c r="AM95" s="11"/>
      <c r="AN95" s="11"/>
      <c r="AO95" s="11"/>
    </row>
    <row r="96" spans="1:41" hidden="1" outlineLevel="1" x14ac:dyDescent="0.35">
      <c r="A96" s="11"/>
      <c r="B96" s="11"/>
      <c r="C96" s="11"/>
      <c r="D96" s="11"/>
      <c r="E96" s="11"/>
      <c r="F96" s="11"/>
      <c r="G96" s="11"/>
      <c r="H96" s="11"/>
      <c r="I96" s="11"/>
      <c r="J96" s="11"/>
      <c r="K96" s="11"/>
      <c r="L96" s="11"/>
      <c r="M96" s="11"/>
      <c r="N96" s="140"/>
      <c r="O96" s="140"/>
      <c r="P96" s="140"/>
      <c r="Q96" s="140"/>
      <c r="R96" s="140"/>
      <c r="S96" s="140"/>
      <c r="T96" s="140"/>
      <c r="U96" s="140"/>
      <c r="V96" s="140"/>
      <c r="W96" s="140"/>
      <c r="X96" s="140"/>
      <c r="Y96" s="140"/>
      <c r="Z96" s="140"/>
      <c r="AA96" s="140"/>
      <c r="AB96" s="140"/>
      <c r="AC96" s="140"/>
      <c r="AD96" s="140"/>
      <c r="AE96" s="140"/>
      <c r="AF96" s="140"/>
      <c r="AG96" s="140"/>
      <c r="AH96" s="140"/>
      <c r="AI96" s="11"/>
      <c r="AJ96" s="11"/>
      <c r="AK96" s="11"/>
      <c r="AL96" s="11"/>
      <c r="AM96" s="11"/>
      <c r="AN96" s="11"/>
      <c r="AO96" s="11"/>
    </row>
    <row r="97" spans="1:41" hidden="1" outlineLevel="1" x14ac:dyDescent="0.35">
      <c r="A97" s="11"/>
      <c r="B97" s="11"/>
      <c r="C97" s="11"/>
      <c r="D97" s="11"/>
      <c r="E97" s="11"/>
      <c r="F97" s="11"/>
      <c r="G97" s="88" t="s">
        <v>499</v>
      </c>
      <c r="H97" s="88">
        <v>400000</v>
      </c>
      <c r="I97" s="122" t="str">
        <f>IF(_epmOfflineCondition_,"T3",_xll.EVPRO($B$1,$H97,"STYLE"))</f>
        <v>T3</v>
      </c>
      <c r="J97" s="122" t="str">
        <f>IF(_epmOfflineCondition_,"Y",_xll.EVPRO($B$1,$H97,"CALC"))</f>
        <v>Y</v>
      </c>
      <c r="K97" s="11"/>
      <c r="L97" s="59"/>
      <c r="M97" s="90" t="str">
        <f>IF(_epmOfflineCondition_,"Total Revenue",IF(_xll.EVDES(H97,$B$1)="#NODATA","",_xll.EVDES(H97,$B$1)))</f>
        <v>Total Revenue</v>
      </c>
      <c r="N97" s="143">
        <v>1402767.85</v>
      </c>
      <c r="O97" s="143">
        <v>1432947.85</v>
      </c>
      <c r="P97" s="143">
        <v>524910.65</v>
      </c>
      <c r="Q97" s="143">
        <v>-4075.52</v>
      </c>
      <c r="R97" s="143">
        <v>-25541.39</v>
      </c>
      <c r="S97" s="143">
        <v>101426.34</v>
      </c>
      <c r="T97" s="143">
        <v>87019.91</v>
      </c>
      <c r="U97" s="143">
        <v>150728.28</v>
      </c>
      <c r="V97" s="143">
        <v>271204.92</v>
      </c>
      <c r="W97" s="143">
        <v>335346.21999999997</v>
      </c>
      <c r="X97" s="143">
        <v>335793.25</v>
      </c>
      <c r="Y97" s="143">
        <v>600817.11</v>
      </c>
      <c r="Z97" s="143">
        <f t="shared" ref="Z97:Z105" si="38">SUM(N97:Y97)</f>
        <v>5213345.47</v>
      </c>
      <c r="AA97" s="144">
        <f t="shared" ref="AA97:AA105" si="39">IF(N97=0,"",IFERROR(N97/N$43,""))</f>
        <v>1.0000000000000002</v>
      </c>
      <c r="AB97" s="140"/>
      <c r="AC97" s="143">
        <v>12971751.078574</v>
      </c>
      <c r="AD97" s="144">
        <f t="shared" ref="AD97:AD105" si="40">IF(AC97=0,"",IFERROR(AC97/AC$43,""))</f>
        <v>1</v>
      </c>
      <c r="AE97" s="145">
        <f t="shared" ref="AE97:AE105" si="41">IF(AND($Z97="",AC97=""),"",$Z97-AC97)</f>
        <v>-7758405.6085740002</v>
      </c>
      <c r="AF97" s="143">
        <v>8385989.8099999996</v>
      </c>
      <c r="AG97" s="144">
        <f t="shared" ref="AG97:AG105" si="42">IF(AF97=0,"",IFERROR(AF97/AF$43,""))</f>
        <v>1</v>
      </c>
      <c r="AH97" s="145">
        <f t="shared" ref="AH97:AH105" si="43">IF(AND($Z97="",AF97=""),"",$Z97-AF97)</f>
        <v>-3172644.34</v>
      </c>
      <c r="AI97" s="11"/>
      <c r="AJ97" s="11"/>
      <c r="AK97" s="11"/>
      <c r="AL97" s="11"/>
      <c r="AM97" s="11"/>
      <c r="AN97" s="11"/>
      <c r="AO97" s="11"/>
    </row>
    <row r="98" spans="1:41" hidden="1" outlineLevel="1" x14ac:dyDescent="0.35">
      <c r="A98" s="11"/>
      <c r="B98" s="11"/>
      <c r="C98" s="11"/>
      <c r="D98" s="11"/>
      <c r="E98" s="11"/>
      <c r="F98" s="11"/>
      <c r="G98" s="88" t="s">
        <v>563</v>
      </c>
      <c r="H98" s="88" t="s">
        <v>464</v>
      </c>
      <c r="I98" s="122" t="str">
        <f>IF(_epmOfflineCondition_,"T3",_xll.EVPRO($B$1,$H98,"STYLE"))</f>
        <v>T3</v>
      </c>
      <c r="J98" s="122" t="str">
        <f>IF(_epmOfflineCondition_,"Y",_xll.EVPRO($B$1,$H98,"CALC"))</f>
        <v>Y</v>
      </c>
      <c r="K98" s="11"/>
      <c r="L98" s="59"/>
      <c r="M98" s="90" t="str">
        <f>IF(_epmOfflineCondition_,"Departmental Expenses (Incl COS)",IF(_xll.EVDES(H98,$B$1)="#NODATA","",_xll.EVDES(H98,$B$1)))</f>
        <v>Departmental Expenses (Incl COS)</v>
      </c>
      <c r="N98" s="143">
        <v>400288.54</v>
      </c>
      <c r="O98" s="143">
        <v>456229.48</v>
      </c>
      <c r="P98" s="143">
        <v>291239.36</v>
      </c>
      <c r="Q98" s="143">
        <v>25902.1</v>
      </c>
      <c r="R98" s="143">
        <v>18055.849999999999</v>
      </c>
      <c r="S98" s="143">
        <v>49981.11</v>
      </c>
      <c r="T98" s="143">
        <v>68178.89</v>
      </c>
      <c r="U98" s="143">
        <v>69918.28</v>
      </c>
      <c r="V98" s="143">
        <v>98512.17</v>
      </c>
      <c r="W98" s="143">
        <v>94612.03</v>
      </c>
      <c r="X98" s="143">
        <v>131398.60999999999</v>
      </c>
      <c r="Y98" s="143">
        <v>159189.64000000001</v>
      </c>
      <c r="Z98" s="143">
        <f t="shared" si="38"/>
        <v>1863506.06</v>
      </c>
      <c r="AA98" s="144">
        <f t="shared" si="39"/>
        <v>0.28535622626366863</v>
      </c>
      <c r="AB98" s="140"/>
      <c r="AC98" s="143">
        <v>4777627.2511024103</v>
      </c>
      <c r="AD98" s="144">
        <f t="shared" si="40"/>
        <v>0.36831012422014658</v>
      </c>
      <c r="AE98" s="145">
        <f t="shared" si="41"/>
        <v>-2914121.1911024102</v>
      </c>
      <c r="AF98" s="143">
        <v>3398869.95</v>
      </c>
      <c r="AG98" s="144">
        <f t="shared" si="42"/>
        <v>0.40530337229207775</v>
      </c>
      <c r="AH98" s="145">
        <f t="shared" si="43"/>
        <v>-1535363.8900000001</v>
      </c>
      <c r="AI98" s="11"/>
      <c r="AJ98" s="11"/>
      <c r="AK98" s="11"/>
      <c r="AL98" s="11"/>
      <c r="AM98" s="11"/>
      <c r="AN98" s="11"/>
      <c r="AO98" s="11"/>
    </row>
    <row r="99" spans="1:41" hidden="1" outlineLevel="1" x14ac:dyDescent="0.35">
      <c r="A99" s="11"/>
      <c r="B99" s="11"/>
      <c r="C99" s="11"/>
      <c r="D99" s="11"/>
      <c r="E99" s="11"/>
      <c r="F99" s="11"/>
      <c r="G99" s="88" t="s">
        <v>563</v>
      </c>
      <c r="H99" s="88" t="s">
        <v>56</v>
      </c>
      <c r="I99" s="122" t="str">
        <f>IF(_epmOfflineCondition_,"T2",_xll.EVPRO($B$1,$H99,"STYLE"))</f>
        <v>T2</v>
      </c>
      <c r="J99" s="122" t="str">
        <f>IF(_epmOfflineCondition_,"Y",_xll.EVPRO($B$1,$H99,"CALC"))</f>
        <v>Y</v>
      </c>
      <c r="K99" s="11"/>
      <c r="L99" s="59" t="s">
        <v>591</v>
      </c>
      <c r="M99" s="90" t="str">
        <f>IF(_epmOfflineCondition_,"Gross Operating Income",IF(_xll.EVDES(H99,$B$1)="#NODATA","",_xll.EVDES(H99,$B$1)))</f>
        <v>Gross Operating Income</v>
      </c>
      <c r="N99" s="143">
        <v>1002479.31</v>
      </c>
      <c r="O99" s="143">
        <v>976718.37</v>
      </c>
      <c r="P99" s="143">
        <v>233671.29</v>
      </c>
      <c r="Q99" s="143">
        <v>-29977.62</v>
      </c>
      <c r="R99" s="143">
        <v>-43597.24</v>
      </c>
      <c r="S99" s="143">
        <v>51445.23</v>
      </c>
      <c r="T99" s="143">
        <v>18841.02</v>
      </c>
      <c r="U99" s="143">
        <v>80810</v>
      </c>
      <c r="V99" s="143">
        <v>172692.75</v>
      </c>
      <c r="W99" s="143">
        <v>240734.19</v>
      </c>
      <c r="X99" s="143">
        <v>204394.64</v>
      </c>
      <c r="Y99" s="143">
        <v>441627.47</v>
      </c>
      <c r="Z99" s="143">
        <f t="shared" si="38"/>
        <v>3349839.41</v>
      </c>
      <c r="AA99" s="144">
        <f t="shared" si="39"/>
        <v>0.71464377373633148</v>
      </c>
      <c r="AB99" s="140"/>
      <c r="AC99" s="143">
        <v>8194123.8274715897</v>
      </c>
      <c r="AD99" s="144">
        <f t="shared" si="40"/>
        <v>0.63168987577985347</v>
      </c>
      <c r="AE99" s="145">
        <f t="shared" si="41"/>
        <v>-4844284.4174715895</v>
      </c>
      <c r="AF99" s="143">
        <v>4987119.8600000003</v>
      </c>
      <c r="AG99" s="144">
        <f t="shared" si="42"/>
        <v>0.59469662770792231</v>
      </c>
      <c r="AH99" s="145">
        <f t="shared" si="43"/>
        <v>-1637280.4500000002</v>
      </c>
      <c r="AI99" s="11"/>
      <c r="AJ99" s="11"/>
      <c r="AK99" s="11"/>
      <c r="AL99" s="11"/>
      <c r="AM99" s="11"/>
      <c r="AN99" s="11"/>
      <c r="AO99" s="11"/>
    </row>
    <row r="100" spans="1:41" hidden="1" outlineLevel="1" x14ac:dyDescent="0.35">
      <c r="A100" s="11"/>
      <c r="B100" s="11"/>
      <c r="C100" s="11"/>
      <c r="D100" s="11"/>
      <c r="E100" s="11"/>
      <c r="F100" s="11"/>
      <c r="G100" s="88" t="s">
        <v>566</v>
      </c>
      <c r="H100" s="88" t="s">
        <v>464</v>
      </c>
      <c r="I100" s="122" t="str">
        <f>IF(_epmOfflineCondition_,"T3",_xll.EVPRO($B$1,$H100,"STYLE"))</f>
        <v>T3</v>
      </c>
      <c r="J100" s="122" t="str">
        <f>IF(_epmOfflineCondition_,"Y",_xll.EVPRO($B$1,$H100,"CALC"))</f>
        <v>Y</v>
      </c>
      <c r="K100" s="11"/>
      <c r="L100" s="59"/>
      <c r="M100" s="90" t="str">
        <f>IF(_epmOfflineCondition_,"Departmental Expenses (Incl COS)",IF(_xll.EVDES(H100,$B$1)="#NODATA","",_xll.EVDES(H100,$B$1)))</f>
        <v>Departmental Expenses (Incl COS)</v>
      </c>
      <c r="N100" s="143">
        <v>313697.91999999998</v>
      </c>
      <c r="O100" s="143">
        <v>287872.38</v>
      </c>
      <c r="P100" s="143">
        <v>200540.84</v>
      </c>
      <c r="Q100" s="143">
        <v>63584.65</v>
      </c>
      <c r="R100" s="143">
        <v>67710.320000000007</v>
      </c>
      <c r="S100" s="143">
        <v>88445.11</v>
      </c>
      <c r="T100" s="143">
        <v>105586.11</v>
      </c>
      <c r="U100" s="143">
        <v>122588.85</v>
      </c>
      <c r="V100" s="143">
        <v>127978.94</v>
      </c>
      <c r="W100" s="143">
        <v>129300.48</v>
      </c>
      <c r="X100" s="143">
        <v>126515.12</v>
      </c>
      <c r="Y100" s="143">
        <v>169445.68</v>
      </c>
      <c r="Z100" s="143">
        <f t="shared" si="38"/>
        <v>1803266.4000000001</v>
      </c>
      <c r="AA100" s="144">
        <f t="shared" si="39"/>
        <v>0.22362782266502615</v>
      </c>
      <c r="AB100" s="140"/>
      <c r="AC100" s="143">
        <v>3258983.9705922301</v>
      </c>
      <c r="AD100" s="144">
        <f t="shared" si="40"/>
        <v>0.25123701116769304</v>
      </c>
      <c r="AE100" s="145">
        <f t="shared" si="41"/>
        <v>-1455717.57059223</v>
      </c>
      <c r="AF100" s="143">
        <v>3048770.05</v>
      </c>
      <c r="AG100" s="144">
        <f t="shared" si="42"/>
        <v>0.36355518180626073</v>
      </c>
      <c r="AH100" s="145">
        <f t="shared" si="43"/>
        <v>-1245503.6499999997</v>
      </c>
      <c r="AI100" s="11"/>
      <c r="AJ100" s="11"/>
      <c r="AK100" s="11"/>
      <c r="AL100" s="11"/>
      <c r="AM100" s="11"/>
      <c r="AN100" s="11"/>
      <c r="AO100" s="11"/>
    </row>
    <row r="101" spans="1:41" hidden="1" outlineLevel="1" x14ac:dyDescent="0.35">
      <c r="A101" s="11"/>
      <c r="B101" s="11"/>
      <c r="C101" s="11"/>
      <c r="D101" s="11"/>
      <c r="E101" s="11"/>
      <c r="F101" s="11"/>
      <c r="G101" s="88" t="s">
        <v>568</v>
      </c>
      <c r="H101" s="88" t="s">
        <v>567</v>
      </c>
      <c r="I101" s="122" t="str">
        <f>IF(_epmOfflineCondition_,"T3",_xll.EVPRO($B$1,$H101,"STYLE"))</f>
        <v>T3</v>
      </c>
      <c r="J101" s="122" t="str">
        <f>IF(_epmOfflineCondition_,"Y",_xll.EVPRO($B$1,$H101,"CALC"))</f>
        <v>Y</v>
      </c>
      <c r="K101" s="11"/>
      <c r="L101" s="59"/>
      <c r="M101" s="90" t="str">
        <f>IF(_epmOfflineCondition_,"Gross Operating Profit",IF(_xll.EVDES(H101,$B$1)="#NODATA","",_xll.EVDES(H101,$B$1)))</f>
        <v>Gross Operating Profit</v>
      </c>
      <c r="N101" s="143">
        <v>688781.39</v>
      </c>
      <c r="O101" s="143">
        <v>688845.99</v>
      </c>
      <c r="P101" s="143">
        <v>33130.449999999903</v>
      </c>
      <c r="Q101" s="143">
        <v>-93562.27</v>
      </c>
      <c r="R101" s="143">
        <v>-111307.56</v>
      </c>
      <c r="S101" s="143">
        <v>-36999.879999999997</v>
      </c>
      <c r="T101" s="143">
        <v>-86745.09</v>
      </c>
      <c r="U101" s="143">
        <v>-41778.85</v>
      </c>
      <c r="V101" s="143">
        <v>44713.81</v>
      </c>
      <c r="W101" s="143">
        <v>111433.71</v>
      </c>
      <c r="X101" s="143">
        <v>77879.520000000004</v>
      </c>
      <c r="Y101" s="143">
        <v>272181.78999999998</v>
      </c>
      <c r="Z101" s="143">
        <f t="shared" si="38"/>
        <v>1546573.0099999998</v>
      </c>
      <c r="AA101" s="144">
        <f t="shared" si="39"/>
        <v>0.49101595107130525</v>
      </c>
      <c r="AB101" s="140"/>
      <c r="AC101" s="143">
        <v>4935139.85687936</v>
      </c>
      <c r="AD101" s="144">
        <f t="shared" si="40"/>
        <v>0.38045286461216044</v>
      </c>
      <c r="AE101" s="145">
        <f t="shared" si="41"/>
        <v>-3388566.8468793603</v>
      </c>
      <c r="AF101" s="143">
        <v>1938349.81</v>
      </c>
      <c r="AG101" s="144">
        <f t="shared" si="42"/>
        <v>0.23114144590166155</v>
      </c>
      <c r="AH101" s="145">
        <f t="shared" si="43"/>
        <v>-391776.80000000028</v>
      </c>
      <c r="AI101" s="11"/>
      <c r="AJ101" s="11"/>
      <c r="AK101" s="11"/>
      <c r="AL101" s="11"/>
      <c r="AM101" s="11"/>
      <c r="AN101" s="11"/>
      <c r="AO101" s="11"/>
    </row>
    <row r="102" spans="1:41" hidden="1" outlineLevel="1" x14ac:dyDescent="0.35">
      <c r="A102" s="11"/>
      <c r="B102" s="11"/>
      <c r="C102" s="11"/>
      <c r="D102" s="11"/>
      <c r="E102" s="11"/>
      <c r="F102" s="11"/>
      <c r="G102" s="88" t="s">
        <v>568</v>
      </c>
      <c r="H102" s="88" t="s">
        <v>574</v>
      </c>
      <c r="I102" s="122" t="str">
        <f>IF(_epmOfflineCondition_,"T3",_xll.EVPRO($B$1,$H102,"STYLE"))</f>
        <v>T3</v>
      </c>
      <c r="J102" s="122" t="str">
        <f>IF(_epmOfflineCondition_,"Y",_xll.EVPRO($B$1,$H102,"CALC"))</f>
        <v>Y</v>
      </c>
      <c r="K102" s="11"/>
      <c r="L102" s="59"/>
      <c r="M102" s="90" t="str">
        <f>IF(_epmOfflineCondition_,"Income Before Non-Operataing Inc. &amp; Exp.",IF(_xll.EVDES(H102,$B$1)="#NODATA","",_xll.EVDES(H102,$B$1)))</f>
        <v>Income Before Non-Operataing Inc. &amp; Exp.</v>
      </c>
      <c r="N102" s="143">
        <v>644062.43000000005</v>
      </c>
      <c r="O102" s="143">
        <v>643332.67000000004</v>
      </c>
      <c r="P102" s="143">
        <v>16652.139999999901</v>
      </c>
      <c r="Q102" s="143">
        <v>-93281.09</v>
      </c>
      <c r="R102" s="143">
        <v>-110556.72</v>
      </c>
      <c r="S102" s="143">
        <v>-40335.660000000003</v>
      </c>
      <c r="T102" s="143">
        <v>-89559.35</v>
      </c>
      <c r="U102" s="143">
        <v>-46767.53</v>
      </c>
      <c r="V102" s="143">
        <v>36075.06</v>
      </c>
      <c r="W102" s="143">
        <v>100514.59</v>
      </c>
      <c r="X102" s="143">
        <v>67019.02</v>
      </c>
      <c r="Y102" s="143">
        <v>253150.51</v>
      </c>
      <c r="Z102" s="143">
        <f t="shared" si="38"/>
        <v>1380306.07</v>
      </c>
      <c r="AA102" s="144">
        <f t="shared" si="39"/>
        <v>0.45913686288148114</v>
      </c>
      <c r="AB102" s="140"/>
      <c r="AC102" s="143">
        <v>4529421.0740133403</v>
      </c>
      <c r="AD102" s="144">
        <f t="shared" si="40"/>
        <v>0.34917576251480653</v>
      </c>
      <c r="AE102" s="145">
        <f t="shared" si="41"/>
        <v>-3149115.00401334</v>
      </c>
      <c r="AF102" s="143">
        <v>1670603.45</v>
      </c>
      <c r="AG102" s="144">
        <f t="shared" si="42"/>
        <v>0.19921362747279561</v>
      </c>
      <c r="AH102" s="145">
        <f t="shared" si="43"/>
        <v>-290297.37999999989</v>
      </c>
      <c r="AI102" s="11"/>
      <c r="AJ102" s="11"/>
      <c r="AK102" s="11"/>
      <c r="AL102" s="11"/>
      <c r="AM102" s="11"/>
      <c r="AN102" s="11"/>
      <c r="AO102" s="11"/>
    </row>
    <row r="103" spans="1:41" hidden="1" outlineLevel="1" x14ac:dyDescent="0.35">
      <c r="A103" s="11"/>
      <c r="B103" s="11"/>
      <c r="C103" s="11"/>
      <c r="D103" s="11"/>
      <c r="E103" s="11"/>
      <c r="F103" s="11"/>
      <c r="G103" s="88" t="s">
        <v>499</v>
      </c>
      <c r="H103" s="88" t="s">
        <v>570</v>
      </c>
      <c r="I103" s="122" t="str">
        <f>IF(_epmOfflineCondition_,"T3",_xll.EVPRO($B$1,$H103,"STYLE"))</f>
        <v>T3</v>
      </c>
      <c r="J103" s="122" t="str">
        <f>IF(_epmOfflineCondition_,"Y",_xll.EVPRO($B$1,$H103,"CALC"))</f>
        <v>Y</v>
      </c>
      <c r="K103" s="11"/>
      <c r="L103" s="59"/>
      <c r="M103" s="90" t="str">
        <f>IF(_epmOfflineCondition_,"EBITDA",IF(_xll.EVDES(H103,$B$1)="#NODATA","",_xll.EVDES(H103,$B$1)))</f>
        <v>EBITDA</v>
      </c>
      <c r="N103" s="143">
        <v>538478.75</v>
      </c>
      <c r="O103" s="143">
        <v>533026.99</v>
      </c>
      <c r="P103" s="143">
        <v>-96092.140000000101</v>
      </c>
      <c r="Q103" s="143">
        <v>-225452.31</v>
      </c>
      <c r="R103" s="143">
        <v>-217112.01</v>
      </c>
      <c r="S103" s="143">
        <v>-147000.43</v>
      </c>
      <c r="T103" s="143">
        <v>-195921.47</v>
      </c>
      <c r="U103" s="143">
        <v>-162642.44</v>
      </c>
      <c r="V103" s="143">
        <v>-78379.350000000006</v>
      </c>
      <c r="W103" s="143">
        <v>-15510.33</v>
      </c>
      <c r="X103" s="143">
        <v>-47650.99</v>
      </c>
      <c r="Y103" s="143">
        <v>139235.95000000001</v>
      </c>
      <c r="Z103" s="143">
        <f t="shared" si="38"/>
        <v>24980.219999999797</v>
      </c>
      <c r="AA103" s="144">
        <f t="shared" si="39"/>
        <v>0.38386875633056466</v>
      </c>
      <c r="AB103" s="140"/>
      <c r="AC103" s="143">
        <v>3209296.2740133498</v>
      </c>
      <c r="AD103" s="144">
        <f t="shared" si="40"/>
        <v>0.24740655710810569</v>
      </c>
      <c r="AE103" s="145">
        <f t="shared" si="41"/>
        <v>-3184316.05401335</v>
      </c>
      <c r="AF103" s="143">
        <v>447606.04</v>
      </c>
      <c r="AG103" s="144">
        <f t="shared" si="42"/>
        <v>5.3375457178143175E-2</v>
      </c>
      <c r="AH103" s="145">
        <f t="shared" si="43"/>
        <v>-422625.82000000018</v>
      </c>
      <c r="AI103" s="11"/>
      <c r="AJ103" s="11"/>
      <c r="AK103" s="11"/>
      <c r="AL103" s="11"/>
      <c r="AM103" s="11"/>
      <c r="AN103" s="11"/>
      <c r="AO103" s="11"/>
    </row>
    <row r="104" spans="1:41" hidden="1" outlineLevel="1" x14ac:dyDescent="0.35">
      <c r="A104" s="11"/>
      <c r="B104" s="11"/>
      <c r="C104" s="11"/>
      <c r="D104" s="11"/>
      <c r="E104" s="11"/>
      <c r="F104" s="11"/>
      <c r="G104" s="88" t="s">
        <v>499</v>
      </c>
      <c r="H104" s="88" t="s">
        <v>577</v>
      </c>
      <c r="I104" s="122" t="str">
        <f>IF(_epmOfflineCondition_,"T3",_xll.EVPRO($B$1,$H104,"STYLE"))</f>
        <v>T3</v>
      </c>
      <c r="J104" s="122" t="str">
        <f>IF(_epmOfflineCondition_,"Y",_xll.EVPRO($B$1,$H104,"CALC"))</f>
        <v>Y</v>
      </c>
      <c r="K104" s="11"/>
      <c r="L104" s="59"/>
      <c r="M104" s="90" t="str">
        <f>IF(_epmOfflineCondition_,"Income Before Income Taxes",IF(_xll.EVDES(H104,$B$1)="#NODATA","",_xll.EVDES(H104,$B$1)))</f>
        <v>Income Before Income Taxes</v>
      </c>
      <c r="N104" s="143">
        <v>321204.56</v>
      </c>
      <c r="O104" s="143">
        <v>328113.63</v>
      </c>
      <c r="P104" s="143">
        <v>-240530.59</v>
      </c>
      <c r="Q104" s="143">
        <v>-406143.42</v>
      </c>
      <c r="R104" s="143">
        <v>-402515.62</v>
      </c>
      <c r="S104" s="143">
        <v>-328743.96000000002</v>
      </c>
      <c r="T104" s="143">
        <v>-382387.33</v>
      </c>
      <c r="U104" s="143">
        <v>-349401.16</v>
      </c>
      <c r="V104" s="143">
        <v>-260639.76</v>
      </c>
      <c r="W104" s="143">
        <v>-202794.21</v>
      </c>
      <c r="X104" s="143">
        <v>-230170.02</v>
      </c>
      <c r="Y104" s="143">
        <v>-48458.449999999903</v>
      </c>
      <c r="Z104" s="143">
        <f t="shared" si="38"/>
        <v>-2202466.3299999996</v>
      </c>
      <c r="AA104" s="144">
        <f t="shared" si="39"/>
        <v>0.22897912865624917</v>
      </c>
      <c r="AB104" s="140"/>
      <c r="AC104" s="143">
        <v>590673.35401334497</v>
      </c>
      <c r="AD104" s="144">
        <f t="shared" si="40"/>
        <v>4.5535359909040007E-2</v>
      </c>
      <c r="AE104" s="145">
        <f t="shared" si="41"/>
        <v>-2793139.6840133443</v>
      </c>
      <c r="AF104" s="143">
        <v>-2391541.3199999998</v>
      </c>
      <c r="AG104" s="144">
        <f t="shared" si="42"/>
        <v>-0.28518295087220003</v>
      </c>
      <c r="AH104" s="145">
        <f t="shared" si="43"/>
        <v>189074.99000000022</v>
      </c>
      <c r="AI104" s="11"/>
      <c r="AJ104" s="11"/>
      <c r="AK104" s="11"/>
      <c r="AL104" s="11"/>
      <c r="AM104" s="11"/>
      <c r="AN104" s="11"/>
      <c r="AO104" s="11"/>
    </row>
    <row r="105" spans="1:41" hidden="1" outlineLevel="1" x14ac:dyDescent="0.35">
      <c r="A105" s="11"/>
      <c r="B105" s="11"/>
      <c r="C105" s="11"/>
      <c r="D105" s="11"/>
      <c r="E105" s="11"/>
      <c r="F105" s="11"/>
      <c r="G105" s="88" t="s">
        <v>499</v>
      </c>
      <c r="H105" s="88" t="s">
        <v>579</v>
      </c>
      <c r="I105" s="136" t="str">
        <f>IF(_epmOfflineCondition_,"T1",_xll.EVPRO($B$1,$H105,"STYLE"))</f>
        <v>T1</v>
      </c>
      <c r="J105" s="136" t="str">
        <f>IF(_epmOfflineCondition_,"Y",_xll.EVPRO($B$1,$H105,"CALC"))</f>
        <v>Y</v>
      </c>
      <c r="K105" s="11"/>
      <c r="L105" s="59"/>
      <c r="M105" s="90" t="str">
        <f>IF(_epmOfflineCondition_,"Net Income",IF(_xll.EVDES(H105,$B$1)="#NODATA","",_xll.EVDES(H105,$B$1)))</f>
        <v>Net Income</v>
      </c>
      <c r="N105" s="143">
        <v>321204.56</v>
      </c>
      <c r="O105" s="143">
        <v>328113.62999999902</v>
      </c>
      <c r="P105" s="143">
        <v>-240530.59</v>
      </c>
      <c r="Q105" s="143">
        <v>-406143.42</v>
      </c>
      <c r="R105" s="143">
        <v>-402515.62</v>
      </c>
      <c r="S105" s="143">
        <v>-328743.96000000002</v>
      </c>
      <c r="T105" s="143">
        <v>-382387.33</v>
      </c>
      <c r="U105" s="143">
        <v>-349401.16</v>
      </c>
      <c r="V105" s="143">
        <v>-260639.76</v>
      </c>
      <c r="W105" s="143">
        <v>-202794.21</v>
      </c>
      <c r="X105" s="143">
        <v>-230170.02</v>
      </c>
      <c r="Y105" s="143">
        <v>-48458.449999999903</v>
      </c>
      <c r="Z105" s="143">
        <f t="shared" si="38"/>
        <v>-2202466.3300000005</v>
      </c>
      <c r="AA105" s="144">
        <f t="shared" si="39"/>
        <v>0.22897912865624917</v>
      </c>
      <c r="AB105" s="140"/>
      <c r="AC105" s="143">
        <v>590673.35401334497</v>
      </c>
      <c r="AD105" s="144">
        <f t="shared" si="40"/>
        <v>4.5535359909040007E-2</v>
      </c>
      <c r="AE105" s="145">
        <f t="shared" si="41"/>
        <v>-2793139.6840133453</v>
      </c>
      <c r="AF105" s="143">
        <v>-2391541.3199999998</v>
      </c>
      <c r="AG105" s="144">
        <f t="shared" si="42"/>
        <v>-0.28518295087220003</v>
      </c>
      <c r="AH105" s="145">
        <f t="shared" si="43"/>
        <v>189074.98999999929</v>
      </c>
      <c r="AI105" s="11"/>
      <c r="AJ105" s="11"/>
      <c r="AK105" s="11"/>
      <c r="AL105" s="11"/>
      <c r="AM105" s="11"/>
      <c r="AN105" s="11"/>
      <c r="AO105" s="11"/>
    </row>
    <row r="106" spans="1:41" collapsed="1" x14ac:dyDescent="0.35">
      <c r="A106" s="11"/>
      <c r="B106" s="11"/>
      <c r="C106" s="11"/>
      <c r="D106" s="11"/>
      <c r="E106" s="11"/>
      <c r="F106" s="11"/>
      <c r="G106" s="11"/>
      <c r="H106" s="11"/>
      <c r="I106" s="59"/>
      <c r="J106" s="59"/>
      <c r="K106" s="11"/>
      <c r="L106" s="59"/>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11"/>
      <c r="I107" s="59"/>
      <c r="J107" s="59"/>
      <c r="K107" s="11"/>
      <c r="L107" s="59"/>
      <c r="M107" s="622" t="s">
        <v>824</v>
      </c>
      <c r="N107" s="622"/>
      <c r="O107" s="622"/>
      <c r="P107" s="622"/>
      <c r="Q107" s="622"/>
      <c r="R107" s="622"/>
      <c r="S107" s="622"/>
      <c r="T107" s="622"/>
      <c r="U107" s="622"/>
      <c r="V107" s="622"/>
      <c r="W107" s="622"/>
      <c r="X107" s="622"/>
      <c r="Y107" s="622"/>
      <c r="Z107" s="622"/>
      <c r="AA107" s="622"/>
      <c r="AB107" s="622"/>
      <c r="AC107" s="622"/>
      <c r="AD107" s="622"/>
      <c r="AE107" s="622"/>
      <c r="AF107" s="622"/>
      <c r="AG107" s="622"/>
      <c r="AH107" s="622"/>
      <c r="AI107" s="11"/>
      <c r="AJ107" s="11"/>
      <c r="AK107" s="11"/>
      <c r="AL107" s="11"/>
      <c r="AM107" s="11"/>
      <c r="AN107" s="11"/>
      <c r="AO107" s="11"/>
    </row>
    <row r="108" spans="1:41" x14ac:dyDescent="0.35">
      <c r="A108" s="11"/>
      <c r="B108" s="11"/>
      <c r="C108" s="11"/>
      <c r="D108" s="11"/>
      <c r="E108" s="11"/>
      <c r="F108" s="11"/>
      <c r="G108" s="11"/>
      <c r="H108" s="11"/>
      <c r="I108" s="59"/>
      <c r="J108" s="59"/>
      <c r="K108" s="11"/>
      <c r="L108" s="59"/>
      <c r="M108" s="622"/>
      <c r="N108" s="622"/>
      <c r="O108" s="622"/>
      <c r="P108" s="622"/>
      <c r="Q108" s="622"/>
      <c r="R108" s="622"/>
      <c r="S108" s="622"/>
      <c r="T108" s="622"/>
      <c r="U108" s="622"/>
      <c r="V108" s="622"/>
      <c r="W108" s="622"/>
      <c r="X108" s="622"/>
      <c r="Y108" s="622"/>
      <c r="Z108" s="622"/>
      <c r="AA108" s="622"/>
      <c r="AB108" s="622"/>
      <c r="AC108" s="622"/>
      <c r="AD108" s="622"/>
      <c r="AE108" s="622"/>
      <c r="AF108" s="622"/>
      <c r="AG108" s="622"/>
      <c r="AH108" s="622"/>
      <c r="AI108" s="11"/>
      <c r="AJ108" s="11"/>
      <c r="AK108" s="11"/>
      <c r="AL108" s="11"/>
      <c r="AM108" s="11"/>
      <c r="AN108" s="11"/>
      <c r="AO108" s="11"/>
    </row>
    <row r="109" spans="1:41" x14ac:dyDescent="0.35">
      <c r="A109" s="11"/>
      <c r="B109" s="11"/>
      <c r="C109" s="11"/>
      <c r="D109" s="11"/>
      <c r="E109" s="11"/>
      <c r="F109" s="11"/>
      <c r="G109" s="11"/>
      <c r="H109" s="11"/>
      <c r="I109" s="59"/>
      <c r="J109" s="59"/>
      <c r="K109" s="11"/>
      <c r="L109" s="59"/>
      <c r="M109" s="622"/>
      <c r="N109" s="622"/>
      <c r="O109" s="622"/>
      <c r="P109" s="622"/>
      <c r="Q109" s="622"/>
      <c r="R109" s="622"/>
      <c r="S109" s="622"/>
      <c r="T109" s="622"/>
      <c r="U109" s="622"/>
      <c r="V109" s="622"/>
      <c r="W109" s="622"/>
      <c r="X109" s="622"/>
      <c r="Y109" s="622"/>
      <c r="Z109" s="622"/>
      <c r="AA109" s="622"/>
      <c r="AB109" s="622"/>
      <c r="AC109" s="622"/>
      <c r="AD109" s="622"/>
      <c r="AE109" s="622"/>
      <c r="AF109" s="622"/>
      <c r="AG109" s="622"/>
      <c r="AH109" s="622"/>
      <c r="AI109" s="11"/>
      <c r="AJ109" s="11"/>
      <c r="AK109" s="11"/>
      <c r="AL109" s="11"/>
      <c r="AM109" s="11"/>
      <c r="AN109" s="11"/>
      <c r="AO109" s="11"/>
    </row>
    <row r="110" spans="1:41" x14ac:dyDescent="0.35">
      <c r="A110" s="11"/>
      <c r="B110" s="11"/>
      <c r="C110" s="11"/>
      <c r="D110" s="11"/>
      <c r="E110" s="11"/>
      <c r="F110" s="11"/>
      <c r="G110" s="11"/>
      <c r="H110" s="11"/>
      <c r="I110" s="59"/>
      <c r="J110" s="59"/>
      <c r="K110" s="11"/>
      <c r="L110" s="59"/>
      <c r="M110" s="622"/>
      <c r="N110" s="622"/>
      <c r="O110" s="622"/>
      <c r="P110" s="622"/>
      <c r="Q110" s="622"/>
      <c r="R110" s="622"/>
      <c r="S110" s="622"/>
      <c r="T110" s="622"/>
      <c r="U110" s="622"/>
      <c r="V110" s="622"/>
      <c r="W110" s="622"/>
      <c r="X110" s="622"/>
      <c r="Y110" s="622"/>
      <c r="Z110" s="622"/>
      <c r="AA110" s="622"/>
      <c r="AB110" s="622"/>
      <c r="AC110" s="622"/>
      <c r="AD110" s="622"/>
      <c r="AE110" s="622"/>
      <c r="AF110" s="622"/>
      <c r="AG110" s="622"/>
      <c r="AH110" s="622"/>
      <c r="AI110" s="11"/>
      <c r="AJ110" s="11"/>
      <c r="AK110" s="11"/>
      <c r="AL110" s="11"/>
      <c r="AM110" s="11"/>
      <c r="AN110" s="11"/>
      <c r="AO110" s="11"/>
    </row>
    <row r="111" spans="1:41" x14ac:dyDescent="0.35">
      <c r="A111" s="11"/>
      <c r="B111" s="11"/>
      <c r="C111" s="11"/>
      <c r="D111" s="11"/>
      <c r="E111" s="11"/>
      <c r="F111" s="11"/>
      <c r="G111" s="11"/>
      <c r="H111" s="11"/>
      <c r="I111" s="59"/>
      <c r="J111" s="59"/>
      <c r="K111" s="11"/>
      <c r="L111" s="59"/>
      <c r="M111" s="622"/>
      <c r="N111" s="622"/>
      <c r="O111" s="622"/>
      <c r="P111" s="622"/>
      <c r="Q111" s="622"/>
      <c r="R111" s="622"/>
      <c r="S111" s="622"/>
      <c r="T111" s="622"/>
      <c r="U111" s="622"/>
      <c r="V111" s="622"/>
      <c r="W111" s="622"/>
      <c r="X111" s="622"/>
      <c r="Y111" s="622"/>
      <c r="Z111" s="622"/>
      <c r="AA111" s="622"/>
      <c r="AB111" s="622"/>
      <c r="AC111" s="622"/>
      <c r="AD111" s="622"/>
      <c r="AE111" s="622"/>
      <c r="AF111" s="622"/>
      <c r="AG111" s="622"/>
      <c r="AH111" s="622"/>
      <c r="AI111" s="11"/>
      <c r="AJ111" s="11"/>
      <c r="AK111" s="11"/>
      <c r="AL111" s="11"/>
      <c r="AM111" s="11"/>
      <c r="AN111" s="11"/>
      <c r="AO111" s="11"/>
    </row>
    <row r="112" spans="1:41" x14ac:dyDescent="0.35">
      <c r="A112" s="11"/>
      <c r="B112" s="11"/>
      <c r="C112" s="11"/>
      <c r="D112" s="11"/>
      <c r="E112" s="11"/>
      <c r="F112" s="11"/>
      <c r="G112" s="11"/>
      <c r="H112" s="11"/>
      <c r="I112" s="59"/>
      <c r="J112" s="59"/>
      <c r="K112" s="11"/>
      <c r="L112" s="59"/>
      <c r="M112" s="622"/>
      <c r="N112" s="622"/>
      <c r="O112" s="622"/>
      <c r="P112" s="622"/>
      <c r="Q112" s="622"/>
      <c r="R112" s="622"/>
      <c r="S112" s="622"/>
      <c r="T112" s="622"/>
      <c r="U112" s="622"/>
      <c r="V112" s="622"/>
      <c r="W112" s="622"/>
      <c r="X112" s="622"/>
      <c r="Y112" s="622"/>
      <c r="Z112" s="622"/>
      <c r="AA112" s="622"/>
      <c r="AB112" s="622"/>
      <c r="AC112" s="622"/>
      <c r="AD112" s="622"/>
      <c r="AE112" s="622"/>
      <c r="AF112" s="622"/>
      <c r="AG112" s="622"/>
      <c r="AH112" s="622"/>
      <c r="AI112" s="11"/>
      <c r="AJ112" s="11"/>
      <c r="AK112" s="11"/>
      <c r="AL112" s="11"/>
      <c r="AM112" s="11"/>
      <c r="AN112" s="11"/>
      <c r="AO112" s="11"/>
    </row>
    <row r="113" spans="1:41" x14ac:dyDescent="0.35">
      <c r="A113" s="11"/>
      <c r="B113" s="11"/>
      <c r="C113" s="11"/>
      <c r="D113" s="11"/>
      <c r="E113" s="11"/>
      <c r="F113" s="11"/>
      <c r="G113" s="11"/>
      <c r="H113" s="11"/>
      <c r="I113" s="59"/>
      <c r="J113" s="59"/>
      <c r="K113" s="11"/>
      <c r="L113" s="59"/>
      <c r="M113" s="622"/>
      <c r="N113" s="622"/>
      <c r="O113" s="622"/>
      <c r="P113" s="622"/>
      <c r="Q113" s="622"/>
      <c r="R113" s="622"/>
      <c r="S113" s="622"/>
      <c r="T113" s="622"/>
      <c r="U113" s="622"/>
      <c r="V113" s="622"/>
      <c r="W113" s="622"/>
      <c r="X113" s="622"/>
      <c r="Y113" s="622"/>
      <c r="Z113" s="622"/>
      <c r="AA113" s="622"/>
      <c r="AB113" s="622"/>
      <c r="AC113" s="622"/>
      <c r="AD113" s="622"/>
      <c r="AE113" s="622"/>
      <c r="AF113" s="622"/>
      <c r="AG113" s="622"/>
      <c r="AH113" s="622"/>
      <c r="AI113" s="11"/>
      <c r="AJ113" s="11"/>
      <c r="AK113" s="11"/>
      <c r="AL113" s="11"/>
      <c r="AM113" s="11"/>
      <c r="AN113" s="11"/>
      <c r="AO113" s="11"/>
    </row>
    <row r="114" spans="1:41" x14ac:dyDescent="0.35">
      <c r="A114" s="11"/>
      <c r="B114" s="11"/>
      <c r="C114" s="11"/>
      <c r="D114" s="11"/>
      <c r="E114" s="11"/>
      <c r="F114" s="11"/>
      <c r="G114" s="11"/>
      <c r="H114" s="11"/>
      <c r="I114" s="59"/>
      <c r="J114" s="59"/>
      <c r="K114" s="11"/>
      <c r="L114" s="59"/>
      <c r="M114" s="11"/>
      <c r="N114" s="137"/>
      <c r="O114" s="137"/>
      <c r="P114" s="137"/>
      <c r="Q114" s="137"/>
      <c r="R114" s="137"/>
      <c r="S114" s="137"/>
      <c r="T114" s="137"/>
      <c r="U114" s="137"/>
      <c r="V114" s="137"/>
      <c r="W114" s="137"/>
      <c r="X114" s="137"/>
      <c r="Y114" s="137"/>
      <c r="Z114" s="137"/>
      <c r="AA114" s="11"/>
      <c r="AB114" s="11"/>
      <c r="AC114" s="11"/>
      <c r="AD114" s="11"/>
      <c r="AE114" s="11"/>
      <c r="AF114" s="11"/>
      <c r="AG114" s="11"/>
      <c r="AH114" s="11"/>
      <c r="AI114" s="11"/>
      <c r="AJ114" s="11"/>
      <c r="AK114" s="11"/>
      <c r="AL114" s="11"/>
      <c r="AM114" s="11"/>
      <c r="AN114" s="11"/>
      <c r="AO114" s="11"/>
    </row>
  </sheetData>
  <sheetProtection algorithmName="SHA-512" hashValue="IuefQDQQsUkY/1YdJ54SMeLDe3aRDduhy46UVYJ+2OXGj4juwk17mI4bbZjhv762xc9Cq3Ota2Jb6/+sGOKvmA==" saltValue="Vrw7RumaqrWwBwqfjm0ySA==" spinCount="100000" sheet="1" scenarios="1"/>
  <mergeCells count="59">
    <mergeCell ref="AI46:AJ46"/>
    <mergeCell ref="AK46:AL46"/>
    <mergeCell ref="AI47:AJ47"/>
    <mergeCell ref="AK47:AL47"/>
    <mergeCell ref="AC31:AD31"/>
    <mergeCell ref="AF31:AG31"/>
    <mergeCell ref="AI48:AJ48"/>
    <mergeCell ref="AK48:AL48"/>
    <mergeCell ref="AI54:AJ54"/>
    <mergeCell ref="AK54:AL54"/>
    <mergeCell ref="AI55:AJ55"/>
    <mergeCell ref="AK55:AL55"/>
    <mergeCell ref="AI59:AJ59"/>
    <mergeCell ref="AK59:AL59"/>
    <mergeCell ref="AI49:AJ49"/>
    <mergeCell ref="AK49:AL49"/>
    <mergeCell ref="AI51:AJ51"/>
    <mergeCell ref="AK51:AL51"/>
    <mergeCell ref="AI56:AJ56"/>
    <mergeCell ref="AK56:AL56"/>
    <mergeCell ref="AI57:AJ57"/>
    <mergeCell ref="AK57:AL57"/>
    <mergeCell ref="AI58:AJ58"/>
    <mergeCell ref="AK58:AL58"/>
    <mergeCell ref="AI61:AJ61"/>
    <mergeCell ref="AK61:AL61"/>
    <mergeCell ref="AI63:AJ63"/>
    <mergeCell ref="AK63:AL63"/>
    <mergeCell ref="AI64:AJ64"/>
    <mergeCell ref="AK64:AL64"/>
    <mergeCell ref="AI67:AJ67"/>
    <mergeCell ref="AK67:AL67"/>
    <mergeCell ref="AI68:AJ68"/>
    <mergeCell ref="AK68:AL68"/>
    <mergeCell ref="AI69:AJ69"/>
    <mergeCell ref="AK69:AL69"/>
    <mergeCell ref="AI70:AJ70"/>
    <mergeCell ref="AK70:AL70"/>
    <mergeCell ref="AI71:AJ71"/>
    <mergeCell ref="AK71:AL71"/>
    <mergeCell ref="AI72:AJ72"/>
    <mergeCell ref="AK72:AL72"/>
    <mergeCell ref="AI74:AJ74"/>
    <mergeCell ref="AK74:AL74"/>
    <mergeCell ref="AI77:AJ77"/>
    <mergeCell ref="AK77:AL77"/>
    <mergeCell ref="AI78:AJ78"/>
    <mergeCell ref="AK78:AL78"/>
    <mergeCell ref="AI79:AJ79"/>
    <mergeCell ref="AK79:AL79"/>
    <mergeCell ref="AI80:AJ80"/>
    <mergeCell ref="AK80:AL80"/>
    <mergeCell ref="AI82:AJ82"/>
    <mergeCell ref="AK82:AL82"/>
    <mergeCell ref="M107:AH113"/>
    <mergeCell ref="AI83:AJ83"/>
    <mergeCell ref="AK83:AL83"/>
    <mergeCell ref="AI84:AJ84"/>
    <mergeCell ref="AK84:AL84"/>
  </mergeCells>
  <dataValidations disablePrompts="1" count="2">
    <dataValidation type="list" allowBlank="1" sqref="B28" xr:uid="{00000000-0002-0000-0100-000000000000}">
      <formula1>"ACCOUNT,BUSINESSUNIT,CATEGORY,DATASRC,DEPARTMENT,INTCO,MEASURES,RPTCURRENCY,TIME"</formula1>
    </dataValidation>
    <dataValidation type="list" allowBlank="1" sqref="B29" xr:uid="{00000000-0002-0000-0100-000001000000}">
      <formula1>"SELF,ALL,BAS,DEP,BASMEMBERS,MEMBERS,NOEXPAND,GDEP"</formula1>
    </dataValidation>
  </dataValidations>
  <pageMargins left="0.25" right="0.25" top="0.5" bottom="0.5" header="0.3" footer="0.3"/>
  <pageSetup scale="48"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tint="0.39997558519241921"/>
    <pageSetUpPr fitToPage="1"/>
  </sheetPr>
  <dimension ref="A1:AO13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60</v>
      </c>
      <c r="C6" s="11" t="str">
        <f>IF(_epmOfflineCondition_,"Rooms",_xll.EVDES(B6,$B$1))</f>
        <v>Rooms</v>
      </c>
      <c r="D6" s="11"/>
      <c r="E6" s="58" t="str">
        <f>IF(_epmOfflineCondition_,"D_ROOMS",_xll.EVPRO($B$1,$B$6,$F$6))</f>
        <v>D_ROOMS</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IF(_epmOfflineCondition_,"'Rooms'!$B$2:$B$10",_xll.EVRNG($B$2:$B$10))</f>
        <v>'Rooms'!$B$2:$B$10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IF(_epmOfflineCondition_,"'Rooms'!$O$16:$AN$18",_xll.EVRNG($O$16:$AN$18))</f>
        <v>'Rooms'!$O$16:$AN$18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IF(_epmOfflineCondition_,"'Rooms'!$H$35:$H$51",_xll.EVRNG(H35:H51))</f>
        <v>'Rooms'!$H$35:$H$51</v>
      </c>
      <c r="C19" s="11"/>
      <c r="D19" s="11"/>
      <c r="E19" s="11"/>
      <c r="F19" s="11"/>
      <c r="G19" s="67" t="str">
        <f>$B$6</f>
        <v>D_ROOMS_CON</v>
      </c>
      <c r="H19" s="67">
        <v>400000</v>
      </c>
      <c r="I19" s="68"/>
      <c r="J19" s="68"/>
      <c r="K19" s="67"/>
      <c r="L19" s="68"/>
      <c r="M19" s="68"/>
      <c r="N19" s="67" t="str">
        <f>IF(_epmOfflineCondition_,"Total Revenue",_xll.EVDES(H19))</f>
        <v>Total Revenue</v>
      </c>
      <c r="O19" s="69">
        <f>IF(_epmOfflineCondition_,1108171.46,_xll.EVGTS($B$1,1,$B$3,$B$5,$B$7,$B$9,O$16,O$17,O$18,$G$19,$H$19))</f>
        <v>1108171.46</v>
      </c>
      <c r="P19" s="69">
        <f>IF(_epmOfflineCondition_,1121974.83,_xll.EVGTS($B$1,1,$B$3,$B$5,$B$7,$B$9,P$16,P$17,P$18,$G$19,$H$19))</f>
        <v>1121974.83</v>
      </c>
      <c r="Q19" s="69">
        <f>IF(_epmOfflineCondition_,362654.36,_xll.EVGTS($B$1,1,$B$3,$B$5,$B$7,$B$9,Q$16,Q$17,Q$18,$G$19,$H$19))</f>
        <v>362654.36</v>
      </c>
      <c r="R19" s="69">
        <f>IF(_epmOfflineCondition_,-6257.08,_xll.EVGTS($B$1,1,$B$3,$B$5,$B$7,$B$9,R$16,R$17,R$18,$G$19,$H$19))</f>
        <v>-6257.08</v>
      </c>
      <c r="S19" s="69">
        <f>IF(_epmOfflineCondition_,-9836,_xll.EVGTS($B$1,1,$B$3,$B$5,$B$7,$B$9,S$16,S$17,S$18,$G$19,$H$19))</f>
        <v>-9836</v>
      </c>
      <c r="T19" s="69">
        <f>IF(_epmOfflineCondition_,89865.39,_xll.EVGTS($B$1,1,$B$3,$B$5,$B$7,$B$9,T$16,T$17,T$18,$G$19,$H$19))</f>
        <v>89865.39</v>
      </c>
      <c r="U19" s="69">
        <f>IF(_epmOfflineCondition_,73614.19,_xll.EVGTS($B$1,1,$B$3,$B$5,$B$7,$B$9,U$16,U$17,U$18,$G$19,$H$19))</f>
        <v>73614.19</v>
      </c>
      <c r="V19" s="69">
        <f>IF(_epmOfflineCondition_,115214.64,_xll.EVGTS($B$1,1,$B$3,$B$5,$B$7,$B$9,V$16,V$17,V$18,$G$19,$H$19))</f>
        <v>115214.64</v>
      </c>
      <c r="W19" s="69">
        <f>IF(_epmOfflineCondition_,210916.56,_xll.EVGTS($B$1,1,$B$3,$B$5,$B$7,$B$9,W$16,W$17,W$18,$G$19,$H$19))</f>
        <v>210916.56</v>
      </c>
      <c r="X19" s="69">
        <f>IF(_epmOfflineCondition_,258182.46,_xll.EVGTS($B$1,1,$B$3,$B$5,$B$7,$B$9,X$16,X$17,X$18,$G$19,$H$19))</f>
        <v>258182.46</v>
      </c>
      <c r="Y19" s="69">
        <f>IF(_epmOfflineCondition_,259380.21,_xll.EVGTS($B$1,1,$B$3,$B$5,$B$7,$B$9,Y$16,Y$17,Y$18,$G$19,$H$19))</f>
        <v>259380.21</v>
      </c>
      <c r="Z19" s="69">
        <f>IF(_epmOfflineCondition_,484557.79,_xll.EVGTS($B$1,1,$B$3,$B$5,$B$7,$B$9,Z$16,Z$17,Z$18,$G$19,$H$19))</f>
        <v>484557.79</v>
      </c>
      <c r="AA19" s="69">
        <f>SUM(O19:Z19)</f>
        <v>4068438.81</v>
      </c>
      <c r="AB19" s="67"/>
      <c r="AC19" s="67"/>
      <c r="AD19" s="69">
        <f>IF(_epmOfflineCondition_,8426837.48,_xll.EVGTS($B$1,1,$B$3,$B$5,$B$7,$B$9,AD$16,AD$17,AD$18,$G$19,$H$19))</f>
        <v>8426837.4800000004</v>
      </c>
      <c r="AE19" s="67"/>
      <c r="AF19" s="67"/>
      <c r="AG19" s="69">
        <f>IF(_epmOfflineCondition_,6339944.54,_xll.EVGTS($B$1,1,$B$3,$B$5,$B$7,$B$9,AG$16,AG$17,AG$18,$G$19,$H$19))</f>
        <v>6339944.54</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IF(_epmOfflineCondition_,"'Rooms'!$A$36:$F$41",_xll.EVRNG(A36:F41))</f>
        <v>'Rooms'!$A$36:$F$41</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IF(_epmOfflineCondition_,"'Rooms'!$A$89:$B$110",_xll.EVRNG($A$89:$B$110))</f>
        <v>'Rooms'!$A$89:$B$110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IF(_epmOfflineCondition_,"Rooms Department",IF(_xll.EVDES(B6,$B$1)="#NODATA","",_xll.EVDES(B6,$B$1)&amp;" Department"))</f>
        <v>Rooms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118</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4"/>
      <c r="AM30" s="75"/>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77"/>
      <c r="AM31" s="80" t="str">
        <f>IF(_epmOfflineCondition_,"2019",_xll.EVPRO($B$1,AG$16,"YEAR"))</f>
        <v>2019</v>
      </c>
      <c r="AN31" s="77"/>
      <c r="AO31" s="11"/>
    </row>
    <row r="32" spans="1:41" s="8" customFormat="1" ht="30" customHeight="1" x14ac:dyDescent="0.35">
      <c r="A32" s="81" t="s">
        <v>16</v>
      </c>
      <c r="B32" s="82"/>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
        <v>747</v>
      </c>
      <c r="AM32" s="87" t="str">
        <f>AG32</f>
        <v>Actual</v>
      </c>
      <c r="AN32" s="8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33" t="s">
        <v>364</v>
      </c>
      <c r="M33" s="133" t="s">
        <v>782</v>
      </c>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70</v>
      </c>
      <c r="I34" s="59" t="str">
        <f>IF(_epmOfflineCondition_,"B1",_xll.EVPRO($B$1,$H34,"STYLE"))</f>
        <v>B1</v>
      </c>
      <c r="J34" s="59" t="str">
        <f>IF(_epmOfflineCondition_,"Y",_xll.EVPRO($B$1,$H34,"CALC"))</f>
        <v>Y</v>
      </c>
      <c r="K34" s="11"/>
      <c r="L34" s="59"/>
      <c r="M34" s="59"/>
      <c r="N34" s="53" t="str">
        <f>IF(_epmOfflineCondition_,"Transient Rooms Revenue",IF(_xll.EVDES(H34,$B$1)="#NODATA","",_xll.EVDES(H34,$B$1)))</f>
        <v>Transient Rooms Revenue</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83</v>
      </c>
      <c r="I35" s="122" t="str">
        <f>IF(_epmOfflineCondition_,"T5",_xll.EVPRO($B$1,$H35,"STYLE"))</f>
        <v>T5</v>
      </c>
      <c r="J35" s="122" t="str">
        <f>IF(_epmOfflineCondition_,"Y",_xll.EVPRO($B$1,$H35,"CALC"))</f>
        <v>Y</v>
      </c>
      <c r="K35" s="179" t="str">
        <f t="shared" ref="K35:K51" si="0">IF(AND(I35&gt;="T5"),"&gt;","")</f>
        <v>&gt;</v>
      </c>
      <c r="L35" s="90" t="str">
        <f>IF(_epmOfflineCondition_,"",_xll.EVPRO($B$1,H35,"JDEID"))</f>
        <v/>
      </c>
      <c r="M35" s="90" t="str">
        <f>IF(_epmOfflineCondition_,"",IF(AND(I35="N",J35="N"),_xll.EVPRO($B$1,H35,"PSFTID"),""))</f>
        <v/>
      </c>
      <c r="N35" s="90" t="str">
        <f>IF(_epmOfflineCondition_,"Retail",IF(_xll.EVDES(H35,$B$1)="#NODATA","",_xll.EVDES(H35,$B$1)))</f>
        <v>Retail</v>
      </c>
      <c r="O35" s="143">
        <v>277288.84000000003</v>
      </c>
      <c r="P35" s="143">
        <v>348321.74</v>
      </c>
      <c r="Q35" s="143">
        <v>149509.23000000001</v>
      </c>
      <c r="R35" s="143">
        <v>-2589.66</v>
      </c>
      <c r="S35" s="143">
        <v>-2735.32</v>
      </c>
      <c r="T35" s="143">
        <v>54997.72</v>
      </c>
      <c r="U35" s="143">
        <v>40875.660000000003</v>
      </c>
      <c r="V35" s="143">
        <v>53976.51</v>
      </c>
      <c r="W35" s="143">
        <v>77550.27</v>
      </c>
      <c r="X35" s="143">
        <v>61586.97</v>
      </c>
      <c r="Y35" s="143">
        <v>74286.990000000005</v>
      </c>
      <c r="Z35" s="143">
        <v>174185.92</v>
      </c>
      <c r="AA35" s="250">
        <f t="shared" ref="AA35:AA51" si="1">IF($I35="B1","",SUM(O35:Z35))</f>
        <v>1307254.8700000001</v>
      </c>
      <c r="AB35" s="144">
        <f t="shared" ref="AB35:AB51" si="2">IF(AA35=0,"",IFERROR(AA35/AA$19,""))</f>
        <v>0.32131609471103245</v>
      </c>
      <c r="AC35" s="140"/>
      <c r="AD35" s="143">
        <v>2488963.1800000002</v>
      </c>
      <c r="AE35" s="144">
        <f t="shared" ref="AE35:AE51" si="3">IF(AD35=0,"",IFERROR(AD35/AD$19,""))</f>
        <v>0.29536147883559277</v>
      </c>
      <c r="AF35" s="145">
        <f t="shared" ref="AF35:AF51" si="4">IF(AND($AA35="",AD35=""),"",$AA35-AD35)</f>
        <v>-1181708.31</v>
      </c>
      <c r="AG35" s="143">
        <v>1655848.53</v>
      </c>
      <c r="AH35" s="144">
        <f t="shared" ref="AH35:AH51" si="5">IF(AG35=0,"",IFERROR(AG35/AG$19,""))</f>
        <v>0.26117713168512985</v>
      </c>
      <c r="AI35" s="145">
        <f t="shared" ref="AI35:AI51" si="6">IF(AND($AA35="",AG35=""),"",$AA35-AG35)</f>
        <v>-348593.65999999992</v>
      </c>
      <c r="AJ35" s="212">
        <f t="shared" ref="AJ35:AJ51" si="7">IFERROR(AA35/AA$20,0)</f>
        <v>65.199744139650875</v>
      </c>
      <c r="AK35" s="213">
        <f t="shared" ref="AK35:AK51" si="8">IFERROR(AD35/AD$20,0)</f>
        <v>65.854297658420435</v>
      </c>
      <c r="AL35" s="214">
        <f t="shared" ref="AL35:AL51" si="9">AJ35-AK35</f>
        <v>-0.65455351876956058</v>
      </c>
      <c r="AM35" s="215">
        <f t="shared" ref="AM35:AM51" si="10">IFERROR(AG35/AG$20,0)</f>
        <v>50.357293656103643</v>
      </c>
      <c r="AN35" s="214">
        <f t="shared" ref="AN35:AN51" si="11">AJ35-AM35</f>
        <v>14.842450483547232</v>
      </c>
      <c r="AO35" s="11"/>
    </row>
    <row r="36" spans="1:41" x14ac:dyDescent="0.35">
      <c r="A36" s="11"/>
      <c r="B36" s="11"/>
      <c r="C36" s="11"/>
      <c r="D36" s="11"/>
      <c r="E36" s="11"/>
      <c r="F36" s="11"/>
      <c r="G36" s="11"/>
      <c r="H36" s="185" t="s">
        <v>84</v>
      </c>
      <c r="I36" s="122" t="str">
        <f>IF(_epmOfflineCondition_,"T5",_xll.EVPRO($B$1,$H36,"STYLE"))</f>
        <v>T5</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IF(_epmOfflineCondition_,"Discount",IF(_xll.EVDES(H36,$B$1)="#NODATA","",_xll.EVDES(H36,$B$1)))</f>
        <v>Discount</v>
      </c>
      <c r="O36" s="143">
        <v>299075.03999999998</v>
      </c>
      <c r="P36" s="143">
        <v>421078.06</v>
      </c>
      <c r="Q36" s="143">
        <v>172073.12</v>
      </c>
      <c r="R36" s="143">
        <v>101.96</v>
      </c>
      <c r="S36" s="143">
        <v>-7100.68</v>
      </c>
      <c r="T36" s="143">
        <v>27528.02</v>
      </c>
      <c r="U36" s="143">
        <v>23048.16</v>
      </c>
      <c r="V36" s="143">
        <v>50201.56</v>
      </c>
      <c r="W36" s="143">
        <v>120293.89</v>
      </c>
      <c r="X36" s="143">
        <v>163923.29</v>
      </c>
      <c r="Y36" s="143">
        <v>159334.41</v>
      </c>
      <c r="Z36" s="143">
        <v>250507.82</v>
      </c>
      <c r="AA36" s="250">
        <f t="shared" si="1"/>
        <v>1680064.65</v>
      </c>
      <c r="AB36" s="144">
        <f t="shared" si="2"/>
        <v>0.41295069889474384</v>
      </c>
      <c r="AC36" s="140"/>
      <c r="AD36" s="143">
        <v>2982010.1</v>
      </c>
      <c r="AE36" s="144">
        <f t="shared" si="3"/>
        <v>0.35387060769564049</v>
      </c>
      <c r="AF36" s="145">
        <f t="shared" si="4"/>
        <v>-1301945.4500000002</v>
      </c>
      <c r="AG36" s="143">
        <v>2763109.48</v>
      </c>
      <c r="AH36" s="144">
        <f t="shared" si="5"/>
        <v>0.43582549698455247</v>
      </c>
      <c r="AI36" s="145">
        <f t="shared" si="6"/>
        <v>-1083044.83</v>
      </c>
      <c r="AJ36" s="212">
        <f t="shared" si="7"/>
        <v>83.793748129675805</v>
      </c>
      <c r="AK36" s="213">
        <f t="shared" si="8"/>
        <v>78.8995925386956</v>
      </c>
      <c r="AL36" s="214">
        <f t="shared" si="9"/>
        <v>4.8941555909802048</v>
      </c>
      <c r="AM36" s="215">
        <f t="shared" si="10"/>
        <v>84.031065020375891</v>
      </c>
      <c r="AN36" s="214">
        <f t="shared" si="11"/>
        <v>-0.23731689070008599</v>
      </c>
      <c r="AO36" s="11"/>
    </row>
    <row r="37" spans="1:41" x14ac:dyDescent="0.35">
      <c r="A37" s="11" t="s">
        <v>105</v>
      </c>
      <c r="B37" s="11"/>
      <c r="C37" s="104" t="s">
        <v>101</v>
      </c>
      <c r="D37" s="11" t="s">
        <v>103</v>
      </c>
      <c r="E37" s="11"/>
      <c r="F37" s="11" t="s">
        <v>98</v>
      </c>
      <c r="G37" s="11"/>
      <c r="H37" s="185" t="s">
        <v>85</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IF(_epmOfflineCondition_,"Negotiated",IF(_xll.EVDES(H37,$B$1)="#NODATA","",_xll.EVDES(H37,$B$1)))</f>
        <v>Negotiated</v>
      </c>
      <c r="O37" s="143">
        <v>67073.72</v>
      </c>
      <c r="P37" s="143">
        <v>59598.34</v>
      </c>
      <c r="Q37" s="143">
        <v>12065.98</v>
      </c>
      <c r="R37" s="143"/>
      <c r="S37" s="143"/>
      <c r="T37" s="143">
        <v>1348.54</v>
      </c>
      <c r="U37" s="143"/>
      <c r="V37" s="143">
        <v>2377.66</v>
      </c>
      <c r="W37" s="143">
        <v>1815.6</v>
      </c>
      <c r="X37" s="143">
        <v>2363.77</v>
      </c>
      <c r="Y37" s="143">
        <v>2626.44</v>
      </c>
      <c r="Z37" s="143">
        <v>1783.2</v>
      </c>
      <c r="AA37" s="250">
        <f t="shared" si="1"/>
        <v>151053.25000000003</v>
      </c>
      <c r="AB37" s="144">
        <f t="shared" si="2"/>
        <v>3.7128062397969314E-2</v>
      </c>
      <c r="AC37" s="140"/>
      <c r="AD37" s="143">
        <v>515685.3</v>
      </c>
      <c r="AE37" s="144">
        <f t="shared" si="3"/>
        <v>6.1195591017853587E-2</v>
      </c>
      <c r="AF37" s="145">
        <f t="shared" si="4"/>
        <v>-364632.04999999993</v>
      </c>
      <c r="AG37" s="143">
        <v>378040.81</v>
      </c>
      <c r="AH37" s="144">
        <f t="shared" si="5"/>
        <v>5.9628409620125791E-2</v>
      </c>
      <c r="AI37" s="145">
        <f t="shared" si="6"/>
        <v>-226987.55999999997</v>
      </c>
      <c r="AJ37" s="212">
        <f t="shared" si="7"/>
        <v>7.5338279301745654</v>
      </c>
      <c r="AK37" s="213">
        <f t="shared" si="8"/>
        <v>13.644273051991004</v>
      </c>
      <c r="AL37" s="214">
        <f t="shared" si="9"/>
        <v>-6.1104451218164382</v>
      </c>
      <c r="AM37" s="215">
        <f t="shared" si="10"/>
        <v>11.496892220667842</v>
      </c>
      <c r="AN37" s="214">
        <f t="shared" si="11"/>
        <v>-3.9630642904932767</v>
      </c>
      <c r="AO37" s="11"/>
    </row>
    <row r="38" spans="1:41" x14ac:dyDescent="0.35">
      <c r="A38" s="11" t="s">
        <v>104</v>
      </c>
      <c r="B38" s="11"/>
      <c r="C38" s="104" t="s">
        <v>101</v>
      </c>
      <c r="D38" s="11" t="s">
        <v>106</v>
      </c>
      <c r="E38" s="11"/>
      <c r="F38" s="11" t="s">
        <v>98</v>
      </c>
      <c r="G38" s="11"/>
      <c r="H38" s="88" t="s">
        <v>86</v>
      </c>
      <c r="I38" s="122" t="str">
        <f>IF(_epmOfflineCondition_,"T5",_xll.EVPRO($B$1,$H38,"STYLE"))</f>
        <v>T5</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IF(_epmOfflineCondition_,"Qualified",IF(_xll.EVDES(H38,$B$1)="#NODATA","",_xll.EVDES(H38,$B$1)))</f>
        <v>Qualified</v>
      </c>
      <c r="O38" s="143">
        <v>58170.38</v>
      </c>
      <c r="P38" s="143">
        <v>47994.57</v>
      </c>
      <c r="Q38" s="143">
        <v>18503.919999999998</v>
      </c>
      <c r="R38" s="143"/>
      <c r="S38" s="143"/>
      <c r="T38" s="143">
        <v>3673.65</v>
      </c>
      <c r="U38" s="143">
        <v>2476.75</v>
      </c>
      <c r="V38" s="143">
        <v>4140.8999999999996</v>
      </c>
      <c r="W38" s="143">
        <v>3684.5</v>
      </c>
      <c r="X38" s="143">
        <v>12205.1</v>
      </c>
      <c r="Y38" s="143">
        <v>7931.2</v>
      </c>
      <c r="Z38" s="143">
        <v>9646.25</v>
      </c>
      <c r="AA38" s="250">
        <f t="shared" si="1"/>
        <v>168427.22</v>
      </c>
      <c r="AB38" s="144">
        <f t="shared" si="2"/>
        <v>4.1398489166413199E-2</v>
      </c>
      <c r="AC38" s="140"/>
      <c r="AD38" s="143">
        <v>529355.56000000006</v>
      </c>
      <c r="AE38" s="144">
        <f t="shared" si="3"/>
        <v>6.2817820001436653E-2</v>
      </c>
      <c r="AF38" s="145">
        <f t="shared" si="4"/>
        <v>-360928.34000000008</v>
      </c>
      <c r="AG38" s="143">
        <v>294774.32</v>
      </c>
      <c r="AH38" s="144">
        <f t="shared" si="5"/>
        <v>4.649477895906011E-2</v>
      </c>
      <c r="AI38" s="145">
        <f t="shared" si="6"/>
        <v>-126347.1</v>
      </c>
      <c r="AJ38" s="212">
        <f t="shared" si="7"/>
        <v>8.4003600997506229</v>
      </c>
      <c r="AK38" s="213">
        <f t="shared" si="8"/>
        <v>14.005967985183227</v>
      </c>
      <c r="AL38" s="214">
        <f t="shared" si="9"/>
        <v>-5.6056078854326046</v>
      </c>
      <c r="AM38" s="215">
        <f t="shared" si="10"/>
        <v>8.9646104251566214</v>
      </c>
      <c r="AN38" s="214">
        <f t="shared" si="11"/>
        <v>-0.56425032540599851</v>
      </c>
      <c r="AO38" s="11"/>
    </row>
    <row r="39" spans="1:41" x14ac:dyDescent="0.35">
      <c r="A39" s="11" t="s">
        <v>100</v>
      </c>
      <c r="B39" s="11"/>
      <c r="C39" s="53" t="s">
        <v>101</v>
      </c>
      <c r="D39" s="11" t="s">
        <v>106</v>
      </c>
      <c r="E39" s="11"/>
      <c r="F39" s="11" t="s">
        <v>98</v>
      </c>
      <c r="G39" s="11"/>
      <c r="H39" s="88" t="s">
        <v>65</v>
      </c>
      <c r="I39" s="122" t="str">
        <f>IF(_epmOfflineCondition_,"T5",_xll.EVPRO($B$1,$H39,"STYLE"))</f>
        <v>T5</v>
      </c>
      <c r="J39" s="122" t="str">
        <f>IF(_epmOfflineCondition_,"Y",_xll.EVPRO($B$1,$H39,"CALC"))</f>
        <v>Y</v>
      </c>
      <c r="K39" s="179" t="str">
        <f t="shared" si="0"/>
        <v>&gt;</v>
      </c>
      <c r="L39" s="90" t="str">
        <f>IF(_epmOfflineCondition_,"402200",_xll.EVPRO($B$1,H39,"JDEID"))</f>
        <v>402200</v>
      </c>
      <c r="M39" s="90" t="str">
        <f>IF(_epmOfflineCondition_,"",IF(AND(I39="N",J39="N"),_xll.EVPRO($B$1,H39,"PSFTID"),""))</f>
        <v/>
      </c>
      <c r="N39" s="90" t="str">
        <f>IF(_epmOfflineCondition_,"Wholesale",IF(_xll.EVDES(H39,$B$1)="#NODATA","",_xll.EVDES(H39,$B$1)))</f>
        <v>Wholesale</v>
      </c>
      <c r="O39" s="217">
        <v>47500.31</v>
      </c>
      <c r="P39" s="217">
        <v>30128.82</v>
      </c>
      <c r="Q39" s="217">
        <v>5322.29</v>
      </c>
      <c r="R39" s="217"/>
      <c r="S39" s="217"/>
      <c r="T39" s="217">
        <v>1272.75</v>
      </c>
      <c r="U39" s="217">
        <v>3721.98</v>
      </c>
      <c r="V39" s="217">
        <v>505</v>
      </c>
      <c r="W39" s="217">
        <v>1492.25</v>
      </c>
      <c r="X39" s="217">
        <v>1297.05</v>
      </c>
      <c r="Y39" s="217">
        <v>680</v>
      </c>
      <c r="Z39" s="217">
        <v>13193.9</v>
      </c>
      <c r="AA39" s="251">
        <f t="shared" si="1"/>
        <v>105114.34999999999</v>
      </c>
      <c r="AB39" s="219">
        <f t="shared" si="2"/>
        <v>2.5836532121764906E-2</v>
      </c>
      <c r="AC39" s="140"/>
      <c r="AD39" s="217">
        <v>651000.48</v>
      </c>
      <c r="AE39" s="219">
        <f t="shared" si="3"/>
        <v>7.7253237830332513E-2</v>
      </c>
      <c r="AF39" s="220">
        <f t="shared" si="4"/>
        <v>-545886.13</v>
      </c>
      <c r="AG39" s="217">
        <v>589808.88</v>
      </c>
      <c r="AH39" s="219">
        <f t="shared" si="5"/>
        <v>9.3030605595802257E-2</v>
      </c>
      <c r="AI39" s="220">
        <f t="shared" si="6"/>
        <v>-484694.53</v>
      </c>
      <c r="AJ39" s="221">
        <f t="shared" si="7"/>
        <v>5.2426109725685786</v>
      </c>
      <c r="AK39" s="222">
        <f t="shared" si="8"/>
        <v>17.224513295409444</v>
      </c>
      <c r="AL39" s="223">
        <f t="shared" si="9"/>
        <v>-11.981902322840867</v>
      </c>
      <c r="AM39" s="224">
        <f t="shared" si="10"/>
        <v>17.937135210753603</v>
      </c>
      <c r="AN39" s="223">
        <f t="shared" si="11"/>
        <v>-12.694524238185025</v>
      </c>
      <c r="AO39" s="11"/>
    </row>
    <row r="40" spans="1:41" x14ac:dyDescent="0.35">
      <c r="A40" s="11" t="s">
        <v>102</v>
      </c>
      <c r="B40" s="11"/>
      <c r="C40" s="106" t="s">
        <v>101</v>
      </c>
      <c r="D40" s="11" t="s">
        <v>106</v>
      </c>
      <c r="E40" s="11"/>
      <c r="F40" s="11" t="s">
        <v>98</v>
      </c>
      <c r="G40" s="11"/>
      <c r="H40" s="88" t="s">
        <v>66</v>
      </c>
      <c r="I40" s="188" t="str">
        <f>IF(_epmOfflineCondition_,"T4",_xll.EVPRO($B$1,$H40,"STYLE"))</f>
        <v>T4</v>
      </c>
      <c r="J40" s="188" t="str">
        <f>IF(_epmOfflineCondition_,"Y",_xll.EVPRO($B$1,$H40,"CALC"))</f>
        <v>Y</v>
      </c>
      <c r="K40" s="189" t="str">
        <f t="shared" si="0"/>
        <v/>
      </c>
      <c r="L40" s="190" t="str">
        <f>IF(_epmOfflineCondition_,"402000",_xll.EVPRO($B$1,H40,"JDEID"))</f>
        <v>402000</v>
      </c>
      <c r="M40" s="190" t="str">
        <f>IF(_epmOfflineCondition_,"",IF(AND(I40="N",J40="N"),_xll.EVPRO($B$1,H40,"PSFTID"),""))</f>
        <v/>
      </c>
      <c r="N40" s="190" t="str">
        <f>IF(_epmOfflineCondition_,"Total Transient Room Rev",IF(_xll.EVDES(H40,$B$1)="#NODATA","",_xll.EVDES(H40,$B$1)))</f>
        <v>Total Transient Room Rev</v>
      </c>
      <c r="O40" s="225">
        <v>749108.29</v>
      </c>
      <c r="P40" s="225">
        <v>907121.53</v>
      </c>
      <c r="Q40" s="225">
        <v>357474.54</v>
      </c>
      <c r="R40" s="225">
        <v>-2487.6999999999998</v>
      </c>
      <c r="S40" s="225">
        <v>-9836</v>
      </c>
      <c r="T40" s="225">
        <v>88820.68</v>
      </c>
      <c r="U40" s="225">
        <v>70122.55</v>
      </c>
      <c r="V40" s="225">
        <v>111201.63</v>
      </c>
      <c r="W40" s="225">
        <v>204836.51</v>
      </c>
      <c r="X40" s="225">
        <v>241376.18</v>
      </c>
      <c r="Y40" s="225">
        <v>244859.04</v>
      </c>
      <c r="Z40" s="225">
        <v>449317.09</v>
      </c>
      <c r="AA40" s="225">
        <f t="shared" si="1"/>
        <v>3411914.3400000003</v>
      </c>
      <c r="AB40" s="226">
        <f t="shared" si="2"/>
        <v>0.83862987729192373</v>
      </c>
      <c r="AC40" s="227"/>
      <c r="AD40" s="225">
        <v>7167014.6200000001</v>
      </c>
      <c r="AE40" s="226">
        <f t="shared" si="3"/>
        <v>0.85049873538085607</v>
      </c>
      <c r="AF40" s="228">
        <f t="shared" si="4"/>
        <v>-3755100.28</v>
      </c>
      <c r="AG40" s="225">
        <v>5681582.0199999996</v>
      </c>
      <c r="AH40" s="226">
        <f t="shared" si="5"/>
        <v>0.89615642284467045</v>
      </c>
      <c r="AI40" s="228">
        <f t="shared" si="6"/>
        <v>-2269667.6799999992</v>
      </c>
      <c r="AJ40" s="229">
        <f t="shared" si="7"/>
        <v>170.17029127182047</v>
      </c>
      <c r="AK40" s="230">
        <f t="shared" si="8"/>
        <v>189.6286445296997</v>
      </c>
      <c r="AL40" s="231">
        <f t="shared" si="9"/>
        <v>-19.458353257879224</v>
      </c>
      <c r="AM40" s="232">
        <f t="shared" si="10"/>
        <v>172.78699653305759</v>
      </c>
      <c r="AN40" s="231">
        <f t="shared" si="11"/>
        <v>-2.6167052612371151</v>
      </c>
      <c r="AO40" s="11"/>
    </row>
    <row r="41" spans="1:41" x14ac:dyDescent="0.35">
      <c r="A41" s="11" t="s">
        <v>102</v>
      </c>
      <c r="B41" s="11"/>
      <c r="C41" s="196" t="s">
        <v>101</v>
      </c>
      <c r="D41" s="11" t="s">
        <v>107</v>
      </c>
      <c r="E41" s="11"/>
      <c r="F41" s="11" t="s">
        <v>99</v>
      </c>
      <c r="G41" s="11"/>
      <c r="H41" s="88" t="s">
        <v>71</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IF(_epmOfflineCondition_,"Group Rooms Revenue",IF(_xll.EVDES(H41,$B$1)="#NODATA","",_xll.EVDES(H41,$B$1)))</f>
        <v>Group Rooms Revenue</v>
      </c>
      <c r="O41" s="210"/>
      <c r="P41" s="210"/>
      <c r="Q41" s="210"/>
      <c r="R41" s="210"/>
      <c r="S41" s="210"/>
      <c r="T41" s="210"/>
      <c r="U41" s="210"/>
      <c r="V41" s="210"/>
      <c r="W41" s="210"/>
      <c r="X41" s="210"/>
      <c r="Y41" s="210"/>
      <c r="Z41" s="210"/>
      <c r="AA41" s="252" t="str">
        <f t="shared" si="1"/>
        <v/>
      </c>
      <c r="AB41" s="211" t="str">
        <f t="shared" si="2"/>
        <v/>
      </c>
      <c r="AC41" s="140"/>
      <c r="AD41" s="210"/>
      <c r="AE41" s="211" t="str">
        <f t="shared" si="3"/>
        <v/>
      </c>
      <c r="AF41" s="253" t="str">
        <f t="shared" si="4"/>
        <v/>
      </c>
      <c r="AG41" s="210"/>
      <c r="AH41" s="211" t="str">
        <f t="shared" si="5"/>
        <v/>
      </c>
      <c r="AI41" s="253" t="str">
        <f t="shared" si="6"/>
        <v/>
      </c>
      <c r="AJ41" s="234">
        <f t="shared" si="7"/>
        <v>0</v>
      </c>
      <c r="AK41" s="235">
        <f t="shared" si="8"/>
        <v>0</v>
      </c>
      <c r="AL41" s="236">
        <f t="shared" si="9"/>
        <v>0</v>
      </c>
      <c r="AM41" s="237">
        <f t="shared" si="10"/>
        <v>0</v>
      </c>
      <c r="AN41" s="236">
        <f t="shared" si="11"/>
        <v>0</v>
      </c>
      <c r="AO41" s="11"/>
    </row>
    <row r="42" spans="1:41" x14ac:dyDescent="0.35">
      <c r="A42" s="11"/>
      <c r="B42" s="11"/>
      <c r="C42" s="11"/>
      <c r="D42" s="11"/>
      <c r="E42" s="11"/>
      <c r="F42" s="11"/>
      <c r="G42" s="11"/>
      <c r="H42" s="88" t="s">
        <v>87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IF(_epmOfflineCondition_,"Corporate",IF(_xll.EVDES(H42,$B$1)="#NODATA","",_xll.EVDES(H42,$B$1)))</f>
        <v>Corporate</v>
      </c>
      <c r="O42" s="143">
        <v>174274</v>
      </c>
      <c r="P42" s="143">
        <v>124942</v>
      </c>
      <c r="Q42" s="143">
        <v>1295</v>
      </c>
      <c r="R42" s="143"/>
      <c r="S42" s="143"/>
      <c r="T42" s="143"/>
      <c r="U42" s="143"/>
      <c r="V42" s="143"/>
      <c r="W42" s="143"/>
      <c r="X42" s="143"/>
      <c r="Y42" s="143">
        <v>1520</v>
      </c>
      <c r="Z42" s="143">
        <v>27300</v>
      </c>
      <c r="AA42" s="250">
        <f t="shared" si="1"/>
        <v>329331</v>
      </c>
      <c r="AB42" s="144">
        <f t="shared" si="2"/>
        <v>8.0947757943543946E-2</v>
      </c>
      <c r="AC42" s="140"/>
      <c r="AD42" s="143">
        <v>606656.34</v>
      </c>
      <c r="AE42" s="144">
        <f t="shared" si="3"/>
        <v>7.1990986113096359E-2</v>
      </c>
      <c r="AF42" s="145">
        <f t="shared" si="4"/>
        <v>-277325.33999999997</v>
      </c>
      <c r="AG42" s="143">
        <v>419665.25</v>
      </c>
      <c r="AH42" s="144">
        <f t="shared" si="5"/>
        <v>6.6193836137247983E-2</v>
      </c>
      <c r="AI42" s="145">
        <f t="shared" si="6"/>
        <v>-90334.25</v>
      </c>
      <c r="AJ42" s="212">
        <f t="shared" si="7"/>
        <v>16.425486284289278</v>
      </c>
      <c r="AK42" s="213">
        <f t="shared" si="8"/>
        <v>16.051232702738456</v>
      </c>
      <c r="AL42" s="214">
        <f t="shared" si="9"/>
        <v>0.37425358155082122</v>
      </c>
      <c r="AM42" s="215">
        <f t="shared" si="10"/>
        <v>12.762765342740709</v>
      </c>
      <c r="AN42" s="214">
        <f t="shared" si="11"/>
        <v>3.6627209415485691</v>
      </c>
      <c r="AO42" s="11"/>
    </row>
    <row r="43" spans="1:41" x14ac:dyDescent="0.35">
      <c r="A43" s="11"/>
      <c r="B43" s="11"/>
      <c r="C43" s="11"/>
      <c r="D43" s="11"/>
      <c r="E43" s="11"/>
      <c r="F43" s="11"/>
      <c r="G43" s="11"/>
      <c r="H43" s="88" t="s">
        <v>88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IF(_epmOfflineCondition_,"Association/Convention",IF(_xll.EVDES(H43,$B$1)="#NODATA","",_xll.EVDES(H43,$B$1)))</f>
        <v>Association/Convention</v>
      </c>
      <c r="O43" s="143">
        <v>152995</v>
      </c>
      <c r="P43" s="143">
        <v>47284.52</v>
      </c>
      <c r="Q43" s="143"/>
      <c r="R43" s="143"/>
      <c r="S43" s="143"/>
      <c r="T43" s="143"/>
      <c r="U43" s="143"/>
      <c r="V43" s="143"/>
      <c r="W43" s="143"/>
      <c r="X43" s="143"/>
      <c r="Y43" s="143"/>
      <c r="Z43" s="143"/>
      <c r="AA43" s="250">
        <f t="shared" si="1"/>
        <v>200279.52</v>
      </c>
      <c r="AB43" s="144">
        <f t="shared" si="2"/>
        <v>4.9227610234108446E-2</v>
      </c>
      <c r="AC43" s="140"/>
      <c r="AD43" s="143">
        <v>352443.14</v>
      </c>
      <c r="AE43" s="144">
        <f t="shared" si="3"/>
        <v>4.1823891921076897E-2</v>
      </c>
      <c r="AF43" s="145">
        <f t="shared" si="4"/>
        <v>-152163.62000000002</v>
      </c>
      <c r="AG43" s="143">
        <v>56507.4</v>
      </c>
      <c r="AH43" s="144">
        <f t="shared" si="5"/>
        <v>8.9129170836563815E-3</v>
      </c>
      <c r="AI43" s="145">
        <f t="shared" si="6"/>
        <v>143772.12</v>
      </c>
      <c r="AJ43" s="212">
        <f t="shared" si="7"/>
        <v>9.98900349127182</v>
      </c>
      <c r="AK43" s="213">
        <f t="shared" si="8"/>
        <v>9.3251260748776303</v>
      </c>
      <c r="AL43" s="214">
        <f t="shared" si="9"/>
        <v>0.66387741639418962</v>
      </c>
      <c r="AM43" s="215">
        <f t="shared" si="10"/>
        <v>1.7184903594671856</v>
      </c>
      <c r="AN43" s="214">
        <f t="shared" si="11"/>
        <v>8.2705131318046341</v>
      </c>
      <c r="AO43" s="11"/>
    </row>
    <row r="44" spans="1:41" x14ac:dyDescent="0.35">
      <c r="A44" s="61" t="str">
        <f>IF(_epmOfflineCondition_,"Evdre:Ok",_xll.EVDRE($B$1,A47:B54,A57:B63))</f>
        <v>Evdre:Ok</v>
      </c>
      <c r="B44" s="11"/>
      <c r="C44" s="11"/>
      <c r="D44" s="11"/>
      <c r="E44" s="11"/>
      <c r="F44" s="11"/>
      <c r="G44" s="11"/>
      <c r="H44" s="88" t="s">
        <v>89</v>
      </c>
      <c r="I44" s="122" t="str">
        <f>IF(_epmOfflineCondition_,"T5",_xll.EVPRO($B$1,$H44,"STYLE"))</f>
        <v>T5</v>
      </c>
      <c r="J44" s="122" t="str">
        <f>IF(_epmOfflineCondition_,"Y",_xll.EVPRO($B$1,$H44,"CALC"))</f>
        <v>Y</v>
      </c>
      <c r="K44" s="179" t="str">
        <f t="shared" si="0"/>
        <v>&gt;</v>
      </c>
      <c r="L44" s="90" t="str">
        <f>IF(_epmOfflineCondition_,"401800",_xll.EVPRO($B$1,H44,"JDEID"))</f>
        <v>401800</v>
      </c>
      <c r="M44" s="90" t="str">
        <f>IF(_epmOfflineCondition_,"",IF(AND(I44="N",J44="N"),_xll.EVPRO($B$1,H44,"PSFTID"),""))</f>
        <v/>
      </c>
      <c r="N44" s="90" t="str">
        <f>IF(_epmOfflineCondition_,"Government",IF(_xll.EVDES(H44,$B$1)="#NODATA","",_xll.EVDES(H44,$B$1)))</f>
        <v>Government</v>
      </c>
      <c r="O44" s="143">
        <v>7790</v>
      </c>
      <c r="P44" s="143"/>
      <c r="Q44" s="143"/>
      <c r="R44" s="143"/>
      <c r="S44" s="143"/>
      <c r="T44" s="143"/>
      <c r="U44" s="143"/>
      <c r="V44" s="143"/>
      <c r="W44" s="143"/>
      <c r="X44" s="143"/>
      <c r="Y44" s="143"/>
      <c r="Z44" s="143"/>
      <c r="AA44" s="250">
        <f t="shared" si="1"/>
        <v>7790</v>
      </c>
      <c r="AB44" s="144">
        <f t="shared" si="2"/>
        <v>1.9147393788626257E-3</v>
      </c>
      <c r="AC44" s="140"/>
      <c r="AD44" s="143">
        <v>7790</v>
      </c>
      <c r="AE44" s="144">
        <f t="shared" si="3"/>
        <v>9.2442746386038046E-4</v>
      </c>
      <c r="AF44" s="145">
        <f t="shared" si="4"/>
        <v>0</v>
      </c>
      <c r="AG44" s="143"/>
      <c r="AH44" s="144" t="str">
        <f t="shared" si="5"/>
        <v/>
      </c>
      <c r="AI44" s="145">
        <f t="shared" si="6"/>
        <v>7790</v>
      </c>
      <c r="AJ44" s="212">
        <f t="shared" si="7"/>
        <v>0.38852867830423943</v>
      </c>
      <c r="AK44" s="213">
        <f t="shared" si="8"/>
        <v>0.20611191956608016</v>
      </c>
      <c r="AL44" s="214">
        <f t="shared" si="9"/>
        <v>0.18241675873815927</v>
      </c>
      <c r="AM44" s="215">
        <f t="shared" si="10"/>
        <v>0</v>
      </c>
      <c r="AN44" s="214">
        <f t="shared" si="11"/>
        <v>0.38852867830423943</v>
      </c>
      <c r="AO44" s="11"/>
    </row>
    <row r="45" spans="1:41" x14ac:dyDescent="0.35">
      <c r="A45" s="11"/>
      <c r="B45" s="11"/>
      <c r="C45" s="11"/>
      <c r="D45" s="11"/>
      <c r="E45" s="11"/>
      <c r="F45" s="11"/>
      <c r="G45" s="11"/>
      <c r="H45" s="88" t="s">
        <v>90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IF(_epmOfflineCondition_,"Tour/Wholesalers",IF(_xll.EVDES(H45,$B$1)="#NODATA","",_xll.EVDES(H45,$B$1)))</f>
        <v>Tour/Wholesalers</v>
      </c>
      <c r="O45" s="143"/>
      <c r="P45" s="143">
        <v>25477</v>
      </c>
      <c r="Q45" s="143">
        <v>406.72</v>
      </c>
      <c r="R45" s="143"/>
      <c r="S45" s="143"/>
      <c r="T45" s="143"/>
      <c r="U45" s="143"/>
      <c r="V45" s="143"/>
      <c r="W45" s="143"/>
      <c r="X45" s="143">
        <v>1830</v>
      </c>
      <c r="Y45" s="143">
        <v>3050</v>
      </c>
      <c r="Z45" s="143"/>
      <c r="AA45" s="250">
        <f t="shared" si="1"/>
        <v>30763.72</v>
      </c>
      <c r="AB45" s="144">
        <f t="shared" si="2"/>
        <v>7.5615540596025337E-3</v>
      </c>
      <c r="AC45" s="140"/>
      <c r="AD45" s="143">
        <v>157002.35999999999</v>
      </c>
      <c r="AE45" s="144">
        <f t="shared" si="3"/>
        <v>1.8631231511539722E-2</v>
      </c>
      <c r="AF45" s="145">
        <f t="shared" si="4"/>
        <v>-126238.63999999998</v>
      </c>
      <c r="AG45" s="143">
        <v>121697</v>
      </c>
      <c r="AH45" s="144">
        <f t="shared" si="5"/>
        <v>1.9195278323365272E-2</v>
      </c>
      <c r="AI45" s="145">
        <f t="shared" si="6"/>
        <v>-90933.28</v>
      </c>
      <c r="AJ45" s="212">
        <f t="shared" si="7"/>
        <v>1.5343501246882794</v>
      </c>
      <c r="AK45" s="213">
        <f t="shared" si="8"/>
        <v>4.1540510649556817</v>
      </c>
      <c r="AL45" s="214">
        <f t="shared" si="9"/>
        <v>-2.6197009402674025</v>
      </c>
      <c r="AM45" s="215">
        <f t="shared" si="10"/>
        <v>3.7010218356547657</v>
      </c>
      <c r="AN45" s="214">
        <f t="shared" si="11"/>
        <v>-2.1666717109664866</v>
      </c>
      <c r="AO45" s="11"/>
    </row>
    <row r="46" spans="1:41" x14ac:dyDescent="0.35">
      <c r="A46" s="62" t="s">
        <v>0</v>
      </c>
      <c r="B46" s="63" t="s">
        <v>1</v>
      </c>
      <c r="C46" s="11"/>
      <c r="D46" s="11"/>
      <c r="E46" s="11"/>
      <c r="F46" s="11"/>
      <c r="G46" s="11"/>
      <c r="H46" s="88" t="s">
        <v>68</v>
      </c>
      <c r="I46" s="122" t="str">
        <f>IF(_epmOfflineCondition_,"T5",_xll.EVPRO($B$1,$H46,"STYLE"))</f>
        <v>T5</v>
      </c>
      <c r="J46" s="122" t="str">
        <f>IF(_epmOfflineCondition_,"Y",_xll.EVPRO($B$1,$H46,"CALC"))</f>
        <v>Y</v>
      </c>
      <c r="K46" s="179" t="str">
        <f t="shared" si="0"/>
        <v>&gt;</v>
      </c>
      <c r="L46" s="90" t="str">
        <f>IF(_epmOfflineCondition_,"401200",_xll.EVPRO($B$1,H46,"JDEID"))</f>
        <v>401200</v>
      </c>
      <c r="M46" s="90" t="str">
        <f>IF(_epmOfflineCondition_,"",IF(AND(I46="N",J46="N"),_xll.EVPRO($B$1,H46,"PSFTID"),""))</f>
        <v/>
      </c>
      <c r="N46" s="90" t="str">
        <f>IF(_epmOfflineCondition_,"SMERF",IF(_xll.EVDES(H46,$B$1)="#NODATA","",_xll.EVDES(H46,$B$1)))</f>
        <v>SMERF</v>
      </c>
      <c r="O46" s="217">
        <v>7768</v>
      </c>
      <c r="P46" s="217">
        <v>12407</v>
      </c>
      <c r="Q46" s="217"/>
      <c r="R46" s="217"/>
      <c r="S46" s="217"/>
      <c r="T46" s="217"/>
      <c r="U46" s="217"/>
      <c r="V46" s="217"/>
      <c r="W46" s="217"/>
      <c r="X46" s="217">
        <v>5825</v>
      </c>
      <c r="Y46" s="217"/>
      <c r="Z46" s="217"/>
      <c r="AA46" s="251">
        <f t="shared" si="1"/>
        <v>26000</v>
      </c>
      <c r="AB46" s="219">
        <f t="shared" si="2"/>
        <v>6.3906577471666585E-3</v>
      </c>
      <c r="AC46" s="140"/>
      <c r="AD46" s="217">
        <v>54419.19</v>
      </c>
      <c r="AE46" s="219">
        <f t="shared" si="3"/>
        <v>6.457842592687571E-3</v>
      </c>
      <c r="AF46" s="220">
        <f t="shared" si="4"/>
        <v>-28419.190000000002</v>
      </c>
      <c r="AG46" s="217">
        <v>46745.279999999999</v>
      </c>
      <c r="AH46" s="219">
        <f t="shared" si="5"/>
        <v>7.3731370527099277E-3</v>
      </c>
      <c r="AI46" s="220">
        <f t="shared" si="6"/>
        <v>-20745.28</v>
      </c>
      <c r="AJ46" s="221">
        <f t="shared" si="7"/>
        <v>1.2967581047381547</v>
      </c>
      <c r="AK46" s="222">
        <f t="shared" si="8"/>
        <v>1.4398515676676811</v>
      </c>
      <c r="AL46" s="223">
        <f t="shared" si="9"/>
        <v>-0.1430934629295264</v>
      </c>
      <c r="AM46" s="224">
        <f t="shared" si="10"/>
        <v>1.4216069582142206</v>
      </c>
      <c r="AN46" s="223">
        <f t="shared" si="11"/>
        <v>-0.12484885347606589</v>
      </c>
      <c r="AO46" s="11"/>
    </row>
    <row r="47" spans="1:41" x14ac:dyDescent="0.35">
      <c r="A47" s="65" t="s">
        <v>2</v>
      </c>
      <c r="B47" s="66" t="str">
        <f>IF(_epmOfflineCondition_,"'Rooms'!$B$2:$B$10",_xll.EVRNG($B$2:$B$10))</f>
        <v>'Rooms'!$B$2:$B$10</v>
      </c>
      <c r="C47" s="11"/>
      <c r="D47" s="11"/>
      <c r="E47" s="11"/>
      <c r="F47" s="11"/>
      <c r="G47" s="11"/>
      <c r="H47" s="88" t="s">
        <v>64</v>
      </c>
      <c r="I47" s="188" t="str">
        <f>IF(_epmOfflineCondition_,"T4",_xll.EVPRO($B$1,$H47,"STYLE"))</f>
        <v>T4</v>
      </c>
      <c r="J47" s="188" t="str">
        <f>IF(_epmOfflineCondition_,"Y",_xll.EVPRO($B$1,$H47,"CALC"))</f>
        <v>Y</v>
      </c>
      <c r="K47" s="189" t="str">
        <f t="shared" si="0"/>
        <v/>
      </c>
      <c r="L47" s="190" t="str">
        <f>IF(_epmOfflineCondition_,"401000",_xll.EVPRO($B$1,H47,"JDEID"))</f>
        <v>401000</v>
      </c>
      <c r="M47" s="190" t="str">
        <f>IF(_epmOfflineCondition_,"",IF(AND(I47="N",J47="N"),_xll.EVPRO($B$1,H47,"PSFTID"),""))</f>
        <v/>
      </c>
      <c r="N47" s="190" t="str">
        <f>IF(_epmOfflineCondition_,"Total Group Room Rev",IF(_xll.EVDES(H47,$B$1)="#NODATA","",_xll.EVDES(H47,$B$1)))</f>
        <v>Total Group Room Rev</v>
      </c>
      <c r="O47" s="225">
        <v>342827</v>
      </c>
      <c r="P47" s="225">
        <v>210110.52</v>
      </c>
      <c r="Q47" s="225">
        <v>1701.72</v>
      </c>
      <c r="R47" s="225"/>
      <c r="S47" s="225"/>
      <c r="T47" s="225"/>
      <c r="U47" s="225"/>
      <c r="V47" s="225"/>
      <c r="W47" s="225"/>
      <c r="X47" s="225">
        <v>7655</v>
      </c>
      <c r="Y47" s="225">
        <v>4570</v>
      </c>
      <c r="Z47" s="225">
        <v>27300</v>
      </c>
      <c r="AA47" s="225">
        <f t="shared" si="1"/>
        <v>594164.24</v>
      </c>
      <c r="AB47" s="226">
        <f t="shared" si="2"/>
        <v>0.14604231936328421</v>
      </c>
      <c r="AC47" s="227"/>
      <c r="AD47" s="225">
        <v>1178311.03</v>
      </c>
      <c r="AE47" s="226">
        <f t="shared" si="3"/>
        <v>0.13982837960226094</v>
      </c>
      <c r="AF47" s="228">
        <f t="shared" si="4"/>
        <v>-584146.79</v>
      </c>
      <c r="AG47" s="225">
        <v>644614.93000000005</v>
      </c>
      <c r="AH47" s="226">
        <f t="shared" si="5"/>
        <v>0.10167516859697956</v>
      </c>
      <c r="AI47" s="228">
        <f t="shared" si="6"/>
        <v>-50450.690000000061</v>
      </c>
      <c r="AJ47" s="229">
        <f t="shared" si="7"/>
        <v>29.634126683291772</v>
      </c>
      <c r="AK47" s="230">
        <f t="shared" si="8"/>
        <v>31.176373329805532</v>
      </c>
      <c r="AL47" s="231">
        <f t="shared" si="9"/>
        <v>-1.5422466465137603</v>
      </c>
      <c r="AM47" s="232">
        <f t="shared" si="10"/>
        <v>19.603884496076883</v>
      </c>
      <c r="AN47" s="231">
        <f t="shared" si="11"/>
        <v>10.030242187214888</v>
      </c>
      <c r="AO47" s="11"/>
    </row>
    <row r="48" spans="1:41" x14ac:dyDescent="0.35">
      <c r="A48" s="65" t="s">
        <v>3</v>
      </c>
      <c r="B48" s="66" t="str">
        <f>IF(_epmOfflineCondition_,"'Rooms'!$O$16:$AN$18",_xll.EVRNG($O$16:$AN$18))</f>
        <v>'Rooms'!$O$16:$AN$18</v>
      </c>
      <c r="C48" s="11"/>
      <c r="D48" s="11"/>
      <c r="E48" s="11"/>
      <c r="F48" s="11"/>
      <c r="G48" s="11"/>
      <c r="H48" s="88" t="s">
        <v>119</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IF(_epmOfflineCondition_,"Contract Rooms Revenue",IF(_xll.EVDES(H48,$B$1)="#NODATA","",_xll.EVDES(H48,$B$1)))</f>
        <v>Contract Rooms Revenue</v>
      </c>
      <c r="O48" s="210"/>
      <c r="P48" s="210"/>
      <c r="Q48" s="210"/>
      <c r="R48" s="210"/>
      <c r="S48" s="210"/>
      <c r="T48" s="210"/>
      <c r="U48" s="210"/>
      <c r="V48" s="210"/>
      <c r="W48" s="210"/>
      <c r="X48" s="210"/>
      <c r="Y48" s="210"/>
      <c r="Z48" s="210"/>
      <c r="AA48" s="252">
        <f t="shared" si="1"/>
        <v>0</v>
      </c>
      <c r="AB48" s="211" t="str">
        <f t="shared" si="2"/>
        <v/>
      </c>
      <c r="AC48" s="140"/>
      <c r="AD48" s="210"/>
      <c r="AE48" s="211" t="str">
        <f t="shared" si="3"/>
        <v/>
      </c>
      <c r="AF48" s="253">
        <f t="shared" si="4"/>
        <v>0</v>
      </c>
      <c r="AG48" s="210"/>
      <c r="AH48" s="211" t="str">
        <f t="shared" si="5"/>
        <v/>
      </c>
      <c r="AI48" s="253">
        <f t="shared" si="6"/>
        <v>0</v>
      </c>
      <c r="AJ48" s="234">
        <f t="shared" si="7"/>
        <v>0</v>
      </c>
      <c r="AK48" s="235">
        <f t="shared" si="8"/>
        <v>0</v>
      </c>
      <c r="AL48" s="236">
        <f t="shared" si="9"/>
        <v>0</v>
      </c>
      <c r="AM48" s="237">
        <f t="shared" si="10"/>
        <v>0</v>
      </c>
      <c r="AN48" s="236">
        <f t="shared" si="11"/>
        <v>0</v>
      </c>
      <c r="AO48" s="11"/>
    </row>
    <row r="49" spans="1:41" x14ac:dyDescent="0.35">
      <c r="A49" s="65" t="s">
        <v>4</v>
      </c>
      <c r="B49" s="66" t="str">
        <f>IF(_epmOfflineCondition_,"'Rooms'!$H$55:$H$56,'Rooms'!$H$58:$H$70,'Rooms'!$H$73:$H$96",_xll.EVRNG(H55:H56,H58:H70,H73:H96))</f>
        <v>'Rooms'!$H$55:$H$56,'Rooms'!$H$58:$H$70,'Rooms'!$H$73:$H$96</v>
      </c>
      <c r="C49" s="11"/>
      <c r="D49" s="11"/>
      <c r="E49" s="11"/>
      <c r="F49" s="11"/>
      <c r="G49" s="11"/>
      <c r="H49" s="88" t="s">
        <v>67</v>
      </c>
      <c r="I49" s="122" t="str">
        <f>IF(_epmOfflineCondition_,"T5",_xll.EVPRO($B$1,$H49,"STYLE"))</f>
        <v>T5</v>
      </c>
      <c r="J49" s="122" t="str">
        <f>IF(_epmOfflineCondition_,"Y",_xll.EVPRO($B$1,$H49,"CALC"))</f>
        <v>Y</v>
      </c>
      <c r="K49" s="179" t="str">
        <f t="shared" si="0"/>
        <v>&gt;</v>
      </c>
      <c r="L49" s="90" t="str">
        <f>IF(_epmOfflineCondition_,"403000",_xll.EVPRO($B$1,H49,"JDEID"))</f>
        <v>403000</v>
      </c>
      <c r="M49" s="90" t="str">
        <f>IF(_epmOfflineCondition_,"",IF(AND(I49="N",J49="N"),_xll.EVPRO($B$1,H49,"PSFTID"),""))</f>
        <v/>
      </c>
      <c r="N49" s="90" t="str">
        <f>IF(_epmOfflineCondition_,"Other Rooms Revenue",IF(_xll.EVDES(H49,$B$1)="#NODATA","",_xll.EVDES(H49,$B$1)))</f>
        <v>Other Rooms Revenue</v>
      </c>
      <c r="O49" s="143">
        <v>17543.62</v>
      </c>
      <c r="P49" s="143">
        <v>7230.78</v>
      </c>
      <c r="Q49" s="143">
        <v>5594.86</v>
      </c>
      <c r="R49" s="143">
        <v>-1947.41</v>
      </c>
      <c r="S49" s="143"/>
      <c r="T49" s="143">
        <v>1222</v>
      </c>
      <c r="U49" s="143">
        <v>3668.97</v>
      </c>
      <c r="V49" s="143">
        <v>4420.72</v>
      </c>
      <c r="W49" s="143">
        <v>6104.05</v>
      </c>
      <c r="X49" s="143">
        <v>9559.73</v>
      </c>
      <c r="Y49" s="143">
        <v>10257.780000000001</v>
      </c>
      <c r="Z49" s="143">
        <v>9057.93</v>
      </c>
      <c r="AA49" s="250">
        <f t="shared" si="1"/>
        <v>72713.03</v>
      </c>
      <c r="AB49" s="144">
        <f t="shared" si="2"/>
        <v>1.787246494190237E-2</v>
      </c>
      <c r="AC49" s="140"/>
      <c r="AD49" s="143">
        <v>118594.83</v>
      </c>
      <c r="AE49" s="144">
        <f t="shared" si="3"/>
        <v>1.4073468282907954E-2</v>
      </c>
      <c r="AF49" s="145">
        <f t="shared" si="4"/>
        <v>-45881.8</v>
      </c>
      <c r="AG49" s="143">
        <v>50315.38</v>
      </c>
      <c r="AH49" s="144">
        <f t="shared" si="5"/>
        <v>7.9362492341297358E-3</v>
      </c>
      <c r="AI49" s="145">
        <f t="shared" si="6"/>
        <v>22397.65</v>
      </c>
      <c r="AJ49" s="212">
        <f t="shared" si="7"/>
        <v>3.6265850374064836</v>
      </c>
      <c r="AK49" s="213">
        <f t="shared" si="8"/>
        <v>3.1378444238655909</v>
      </c>
      <c r="AL49" s="214">
        <f t="shared" si="9"/>
        <v>0.48874061354089271</v>
      </c>
      <c r="AM49" s="215">
        <f t="shared" si="10"/>
        <v>1.5301800377106014</v>
      </c>
      <c r="AN49" s="214">
        <f t="shared" si="11"/>
        <v>2.0964049996958822</v>
      </c>
      <c r="AO49" s="11"/>
    </row>
    <row r="50" spans="1:41" x14ac:dyDescent="0.35">
      <c r="A50" s="65" t="s">
        <v>5</v>
      </c>
      <c r="B50" s="66"/>
      <c r="C50" s="11"/>
      <c r="D50" s="11"/>
      <c r="E50" s="11"/>
      <c r="F50" s="11"/>
      <c r="G50" s="11"/>
      <c r="H50" s="88" t="s">
        <v>91</v>
      </c>
      <c r="I50" s="122" t="str">
        <f>IF(_epmOfflineCondition_,"N",_xll.EVPRO($B$1,$H50,"STYLE"))</f>
        <v>N</v>
      </c>
      <c r="J50" s="122" t="str">
        <f>IF(_epmOfflineCondition_,"N",_xll.EVPRO($B$1,$H50,"CALC"))</f>
        <v>N</v>
      </c>
      <c r="K50" s="179" t="str">
        <f t="shared" si="0"/>
        <v/>
      </c>
      <c r="L50" s="90" t="str">
        <f>IF(_epmOfflineCondition_,"403990",_xll.EVPRO($B$1,H50,"JDEID"))</f>
        <v>403990</v>
      </c>
      <c r="M50" s="90" t="str">
        <f>IF(_epmOfflineCondition_,"200529",IF(AND(I50="N",J50="N"),_xll.EVPRO($B$1,H50,"PSFTID"),""))</f>
        <v>200529</v>
      </c>
      <c r="N50" s="90" t="str">
        <f>IF(_epmOfflineCondition_,"Rooms: Allowances",IF(_xll.EVDES(H50,$B$1)="#NODATA","",_xll.EVDES(H50,$B$1)))</f>
        <v>Rooms: Allowances</v>
      </c>
      <c r="O50" s="217">
        <v>-1307.45</v>
      </c>
      <c r="P50" s="217">
        <v>-2488</v>
      </c>
      <c r="Q50" s="217">
        <v>-2116.7600000000002</v>
      </c>
      <c r="R50" s="217">
        <v>-1821.97</v>
      </c>
      <c r="S50" s="217"/>
      <c r="T50" s="217">
        <v>-177.29</v>
      </c>
      <c r="U50" s="217">
        <v>-177.33</v>
      </c>
      <c r="V50" s="217">
        <v>-407.71</v>
      </c>
      <c r="W50" s="217">
        <v>-24</v>
      </c>
      <c r="X50" s="217">
        <v>-408.45</v>
      </c>
      <c r="Y50" s="217">
        <v>-306.61</v>
      </c>
      <c r="Z50" s="217">
        <v>-1117.23</v>
      </c>
      <c r="AA50" s="251">
        <f t="shared" si="1"/>
        <v>-10352.800000000001</v>
      </c>
      <c r="AB50" s="219">
        <f t="shared" si="2"/>
        <v>-2.5446615971102685E-3</v>
      </c>
      <c r="AC50" s="140"/>
      <c r="AD50" s="217">
        <v>-37083</v>
      </c>
      <c r="AE50" s="219">
        <f t="shared" si="3"/>
        <v>-4.4005832660249664E-3</v>
      </c>
      <c r="AF50" s="220">
        <f t="shared" si="4"/>
        <v>26730.199999999997</v>
      </c>
      <c r="AG50" s="217">
        <v>-36567.79</v>
      </c>
      <c r="AH50" s="219">
        <f t="shared" si="5"/>
        <v>-5.7678406757797913E-3</v>
      </c>
      <c r="AI50" s="220">
        <f t="shared" si="6"/>
        <v>26214.989999999998</v>
      </c>
      <c r="AJ50" s="221">
        <f t="shared" si="7"/>
        <v>-0.51634912718204495</v>
      </c>
      <c r="AK50" s="222">
        <f t="shared" si="8"/>
        <v>-0.98116152930281786</v>
      </c>
      <c r="AL50" s="223">
        <f t="shared" si="9"/>
        <v>0.46481240212077291</v>
      </c>
      <c r="AM50" s="224">
        <f t="shared" si="10"/>
        <v>-1.112091417796971</v>
      </c>
      <c r="AN50" s="223">
        <f t="shared" si="11"/>
        <v>0.59574229061492601</v>
      </c>
      <c r="AO50" s="11"/>
    </row>
    <row r="51" spans="1:41" x14ac:dyDescent="0.35">
      <c r="A51" s="65" t="s">
        <v>6</v>
      </c>
      <c r="B51" s="66"/>
      <c r="C51" s="11"/>
      <c r="D51" s="11"/>
      <c r="E51" s="11"/>
      <c r="F51" s="11"/>
      <c r="G51" s="11"/>
      <c r="H51" s="88" t="s">
        <v>72</v>
      </c>
      <c r="I51" s="188" t="str">
        <f>IF(_epmOfflineCondition_,"T4",_xll.EVPRO($B$1,$H51,"STYLE"))</f>
        <v>T4</v>
      </c>
      <c r="J51" s="188" t="str">
        <f>IF(_epmOfflineCondition_,"Y",_xll.EVPRO($B$1,$H51,"CALC"))</f>
        <v>Y</v>
      </c>
      <c r="K51" s="189" t="str">
        <f t="shared" si="0"/>
        <v/>
      </c>
      <c r="L51" s="190" t="str">
        <f>IF(_epmOfflineCondition_,"",_xll.EVPRO($B$1,H51,"JDEID"))</f>
        <v/>
      </c>
      <c r="M51" s="190" t="str">
        <f>IF(_epmOfflineCondition_,"",IF(AND(I51="N",J51="N"),_xll.EVPRO($B$1,H51,"PSFTID"),""))</f>
        <v/>
      </c>
      <c r="N51" s="190" t="str">
        <f>IF(_epmOfflineCondition_,"Total Rooms Revenue",IF(_xll.EVDES(H51,$B$1)="#NODATA","",_xll.EVDES(H51,$B$1)))</f>
        <v>Total Rooms Revenue</v>
      </c>
      <c r="O51" s="225">
        <v>1108171.46</v>
      </c>
      <c r="P51" s="225">
        <v>1121974.83</v>
      </c>
      <c r="Q51" s="225">
        <v>362654.36</v>
      </c>
      <c r="R51" s="225">
        <v>-6257.08</v>
      </c>
      <c r="S51" s="225">
        <v>-9836</v>
      </c>
      <c r="T51" s="225">
        <v>89865.39</v>
      </c>
      <c r="U51" s="225">
        <v>73614.19</v>
      </c>
      <c r="V51" s="225">
        <v>115214.64</v>
      </c>
      <c r="W51" s="225">
        <v>210916.56</v>
      </c>
      <c r="X51" s="225">
        <v>258182.46</v>
      </c>
      <c r="Y51" s="225">
        <v>259380.21</v>
      </c>
      <c r="Z51" s="225">
        <v>484557.79</v>
      </c>
      <c r="AA51" s="225">
        <f t="shared" si="1"/>
        <v>4068438.81</v>
      </c>
      <c r="AB51" s="226">
        <f t="shared" si="2"/>
        <v>1</v>
      </c>
      <c r="AC51" s="227"/>
      <c r="AD51" s="225">
        <v>8426837.4800000098</v>
      </c>
      <c r="AE51" s="226">
        <f t="shared" si="3"/>
        <v>1.0000000000000011</v>
      </c>
      <c r="AF51" s="228">
        <f t="shared" si="4"/>
        <v>-4358398.6700000092</v>
      </c>
      <c r="AG51" s="225">
        <v>6339944.54</v>
      </c>
      <c r="AH51" s="226">
        <f t="shared" si="5"/>
        <v>1</v>
      </c>
      <c r="AI51" s="228">
        <f t="shared" si="6"/>
        <v>-2271505.73</v>
      </c>
      <c r="AJ51" s="229">
        <f t="shared" si="7"/>
        <v>202.91465386533667</v>
      </c>
      <c r="AK51" s="230">
        <f t="shared" si="8"/>
        <v>222.96170075406826</v>
      </c>
      <c r="AL51" s="231">
        <f t="shared" si="9"/>
        <v>-20.047046888731586</v>
      </c>
      <c r="AM51" s="232">
        <f t="shared" si="10"/>
        <v>192.80896964904812</v>
      </c>
      <c r="AN51" s="231">
        <f t="shared" si="11"/>
        <v>10.105684216288552</v>
      </c>
      <c r="AO51" s="11"/>
    </row>
    <row r="52" spans="1:41" x14ac:dyDescent="0.35">
      <c r="A52" s="65" t="s">
        <v>7</v>
      </c>
      <c r="B52" s="66" t="str">
        <f>IF(_epmOfflineCondition_,"'Rooms'!$A$66:$F$72",_xll.EVRNG(A66:F72))</f>
        <v>'Rooms'!$A$66:$F$72</v>
      </c>
      <c r="C52" s="11"/>
      <c r="D52" s="11"/>
      <c r="E52" s="11"/>
      <c r="F52" s="11"/>
      <c r="G52" s="76"/>
      <c r="H52" s="11"/>
      <c r="I52" s="59"/>
      <c r="J52" s="59"/>
      <c r="K52" s="11"/>
      <c r="L52" s="59"/>
      <c r="M52" s="59"/>
      <c r="N52" s="11"/>
      <c r="O52" s="203"/>
      <c r="P52" s="204"/>
      <c r="Q52" s="204"/>
      <c r="R52" s="204"/>
      <c r="S52" s="204"/>
      <c r="T52" s="204"/>
      <c r="U52" s="204"/>
      <c r="V52" s="204"/>
      <c r="W52" s="204"/>
      <c r="X52" s="204"/>
      <c r="Y52" s="204"/>
      <c r="Z52" s="204"/>
      <c r="AA52" s="204"/>
      <c r="AB52" s="118"/>
      <c r="AC52" s="11"/>
      <c r="AD52" s="203"/>
      <c r="AE52" s="204"/>
      <c r="AF52" s="118"/>
      <c r="AG52" s="203"/>
      <c r="AH52" s="204"/>
      <c r="AI52" s="118"/>
      <c r="AJ52" s="11"/>
      <c r="AK52" s="11"/>
      <c r="AL52" s="11"/>
      <c r="AM52" s="11"/>
      <c r="AN52" s="11"/>
      <c r="AO52" s="11"/>
    </row>
    <row r="53" spans="1:41" x14ac:dyDescent="0.35">
      <c r="A53" s="65" t="s">
        <v>47</v>
      </c>
      <c r="B53" s="66" t="str">
        <f>IF(_epmOfflineCondition_,"'Rooms'!$A$89:$B$110",_xll.EVRNG($A$89:$B$110))</f>
        <v>'Rooms'!$A$89:$B$110</v>
      </c>
      <c r="C53" s="11"/>
      <c r="D53" s="11"/>
      <c r="E53" s="11"/>
      <c r="F53" s="11"/>
      <c r="G53" s="11"/>
      <c r="H53" s="11" t="s">
        <v>73</v>
      </c>
      <c r="I53" s="59" t="str">
        <f>IF(_epmOfflineCondition_,"B1",_xll.EVPRO($B$1,$H53,"STYLE"))</f>
        <v>B1</v>
      </c>
      <c r="J53" s="59" t="str">
        <f>IF(_epmOfflineCondition_,"Y",_xll.EVPRO($B$1,$H53,"CALC"))</f>
        <v>Y</v>
      </c>
      <c r="K53" s="11"/>
      <c r="L53" s="59"/>
      <c r="M53" s="90"/>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118"/>
      <c r="AC53" s="11"/>
      <c r="AD53" s="203"/>
      <c r="AE53" s="204"/>
      <c r="AF53" s="118"/>
      <c r="AG53" s="203"/>
      <c r="AH53" s="204"/>
      <c r="AI53" s="118"/>
      <c r="AJ53" s="11"/>
      <c r="AK53" s="11"/>
      <c r="AL53" s="11"/>
      <c r="AM53" s="11"/>
      <c r="AN53" s="11"/>
      <c r="AO53" s="11"/>
    </row>
    <row r="54" spans="1:41" x14ac:dyDescent="0.35">
      <c r="A54" s="65" t="s">
        <v>8</v>
      </c>
      <c r="B54" s="66"/>
      <c r="C54" s="11"/>
      <c r="D54" s="11"/>
      <c r="E54" s="11"/>
      <c r="F54" s="11"/>
      <c r="G54" s="11"/>
      <c r="H54" s="11" t="s">
        <v>74</v>
      </c>
      <c r="I54" s="59" t="str">
        <f>IF(_epmOfflineCondition_,"B1",_xll.EVPRO($B$1,$H54,"STYLE"))</f>
        <v>B1</v>
      </c>
      <c r="J54" s="59" t="str">
        <f>IF(_epmOfflineCondition_,"Y",_xll.EVPRO($B$1,$H54,"CALC"))</f>
        <v>Y</v>
      </c>
      <c r="K54" s="11"/>
      <c r="L54" s="59"/>
      <c r="M54" s="90"/>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19"/>
      <c r="AH54" s="120"/>
      <c r="AI54" s="121"/>
      <c r="AJ54" s="11"/>
      <c r="AK54" s="11"/>
      <c r="AL54" s="11"/>
      <c r="AM54" s="11"/>
      <c r="AN54" s="11"/>
      <c r="AO54" s="11"/>
    </row>
    <row r="55" spans="1:41" x14ac:dyDescent="0.35">
      <c r="A55" s="11"/>
      <c r="B55" s="11"/>
      <c r="C55" s="11"/>
      <c r="D55" s="11"/>
      <c r="E55" s="11"/>
      <c r="F55" s="11"/>
      <c r="G55" s="11"/>
      <c r="H55" s="88" t="s">
        <v>859</v>
      </c>
      <c r="I55" s="122" t="str">
        <f>IF(_epmOfflineCondition_,"T3",_xll.EVPRO($B$1,$H55,"STYLE"))</f>
        <v>T3</v>
      </c>
      <c r="J55" s="122" t="str">
        <f>IF(_epmOfflineCondition_,"Y",_xll.EVPRO($B$1,$H55,"CALC"))</f>
        <v>Y</v>
      </c>
      <c r="K55" s="179" t="str">
        <f t="shared" ref="K55:K70" si="12">IF(AND(I55&gt;="T3"),"&gt;","")</f>
        <v>&gt;</v>
      </c>
      <c r="L55" s="90" t="str">
        <f>IF(_epmOfflineCondition_,"",_xll.EVPRO($B$1,H55,"JDEID"))</f>
        <v/>
      </c>
      <c r="M55" s="90" t="str">
        <f>IF(_epmOfflineCondition_,"",IF(AND(I55="N",J55="N"),_xll.EVPRO($B$1,H55,"PSFTID"),""))</f>
        <v/>
      </c>
      <c r="N55" s="90" t="str">
        <f>IF(_epmOfflineCondition_,"Management",IF(_xll.EVDES(H55,$B$1)="#NODATA","",_xll.EVDES(H55,$B$1)))</f>
        <v>Management</v>
      </c>
      <c r="O55" s="210">
        <v>13754.49</v>
      </c>
      <c r="P55" s="210">
        <v>14431.02</v>
      </c>
      <c r="Q55" s="210">
        <v>10707.1</v>
      </c>
      <c r="R55" s="210">
        <v>7608.98</v>
      </c>
      <c r="S55" s="210">
        <v>7719.54</v>
      </c>
      <c r="T55" s="210">
        <v>9840.1</v>
      </c>
      <c r="U55" s="210">
        <v>7925.96</v>
      </c>
      <c r="V55" s="210">
        <v>9879.64</v>
      </c>
      <c r="W55" s="210">
        <v>9972.42</v>
      </c>
      <c r="X55" s="210">
        <v>8979.5300000000007</v>
      </c>
      <c r="Y55" s="210">
        <v>9072.49</v>
      </c>
      <c r="Z55" s="210">
        <v>9072.6</v>
      </c>
      <c r="AA55" s="143">
        <f>IF($I55="B1","",SUM(O55:Z55))</f>
        <v>118963.87000000001</v>
      </c>
      <c r="AB55" s="211">
        <f>IF(AA55=0,"",IFERROR(AA55/AA$19,""))</f>
        <v>2.924066836340105E-2</v>
      </c>
      <c r="AC55" s="140"/>
      <c r="AD55" s="143">
        <v>204673.19770881999</v>
      </c>
      <c r="AE55" s="144">
        <f>IF(AD55=0,"",IFERROR(AD55/AD$19,""))</f>
        <v>2.4288257391291233E-2</v>
      </c>
      <c r="AF55" s="145">
        <f>IF(AND($AA55="",AD55=""),"",$AA55-AD55)</f>
        <v>-85709.327708819983</v>
      </c>
      <c r="AG55" s="143">
        <v>170503.43</v>
      </c>
      <c r="AH55" s="144">
        <f>IF(AG55=0,"",IFERROR(AG55/AG$19,""))</f>
        <v>2.6893520743637291E-2</v>
      </c>
      <c r="AI55" s="145">
        <f>IF(AND($AA55="",AG55=""),"",$AA55-AG55)</f>
        <v>-51539.559999999983</v>
      </c>
      <c r="AJ55" s="212">
        <f t="shared" ref="AJ55:AJ70" si="13">IFERROR(AA55/AA$20,0)</f>
        <v>5.9333600997506242</v>
      </c>
      <c r="AK55" s="213">
        <f t="shared" ref="AK55:AK70" si="14">IFERROR(AD55/AD$20,0)</f>
        <v>5.4153511763148563</v>
      </c>
      <c r="AL55" s="214">
        <f t="shared" ref="AL55:AL70" si="15">AJ55-AK55</f>
        <v>0.51800892343576788</v>
      </c>
      <c r="AM55" s="215">
        <f t="shared" ref="AM55:AM70" si="16">IFERROR(AG55/AG$20,0)</f>
        <v>5.1853120248160085</v>
      </c>
      <c r="AN55" s="214">
        <f t="shared" ref="AN55:AN70" si="17">AJ55-AM55</f>
        <v>0.74804807493461567</v>
      </c>
      <c r="AO55" s="11"/>
    </row>
    <row r="56" spans="1:41" hidden="1" x14ac:dyDescent="0.35">
      <c r="A56" s="62" t="s">
        <v>9</v>
      </c>
      <c r="B56" s="63" t="s">
        <v>10</v>
      </c>
      <c r="C56" s="11"/>
      <c r="D56" s="11"/>
      <c r="E56" s="11"/>
      <c r="F56" s="11"/>
      <c r="G56" s="11"/>
      <c r="H56" s="88"/>
      <c r="I56" s="122" t="str">
        <f>IF(_epmOfflineCondition_,"",_xll.EVPRO($B$1,$H56,"STYLE"))</f>
        <v/>
      </c>
      <c r="J56" s="122" t="str">
        <f>IF(_epmOfflineCondition_,"",_xll.EVPRO($B$1,$H56,"CALC"))</f>
        <v/>
      </c>
      <c r="K56" s="179" t="str">
        <f t="shared" si="12"/>
        <v/>
      </c>
      <c r="L56" s="90" t="str">
        <f>IF(_epmOfflineCondition_,"",_xll.EVPRO($B$1,H56,"JDEID"))</f>
        <v/>
      </c>
      <c r="M56" s="90" t="str">
        <f>IF(_epmOfflineCondition_,"",IF(AND(I56="N",J56="N"),_xll.EVPRO($B$1,H56,"PSFTID"),""))</f>
        <v/>
      </c>
      <c r="N56" s="90" t="str">
        <f>IF(_epmOfflineCondition_,"",IF(_xll.EVDES(H56,$B$1)="#NODATA","",_xll.EVDES(H56,$B$1)))</f>
        <v/>
      </c>
      <c r="O56" s="210"/>
      <c r="P56" s="210"/>
      <c r="Q56" s="210"/>
      <c r="R56" s="210"/>
      <c r="S56" s="210"/>
      <c r="T56" s="210"/>
      <c r="U56" s="210"/>
      <c r="V56" s="210"/>
      <c r="W56" s="210"/>
      <c r="X56" s="210"/>
      <c r="Y56" s="210"/>
      <c r="Z56" s="210"/>
      <c r="AA56" s="143">
        <f>IF($I56="B1","",SUM(O56:Z56))</f>
        <v>0</v>
      </c>
      <c r="AB56" s="211" t="str">
        <f>IF(AA56=0,"",IFERROR(AA56/AA$19,""))</f>
        <v/>
      </c>
      <c r="AC56" s="140"/>
      <c r="AD56" s="143"/>
      <c r="AE56" s="144" t="str">
        <f>IF(AD56=0,"",IFERROR(AD56/AD$19,""))</f>
        <v/>
      </c>
      <c r="AF56" s="145">
        <f>IF(AND($AA56="",AD56=""),"",$AA56-AD56)</f>
        <v>0</v>
      </c>
      <c r="AG56" s="143"/>
      <c r="AH56" s="144" t="str">
        <f>IF(AG56=0,"",IFERROR(AG56/AG$19,""))</f>
        <v/>
      </c>
      <c r="AI56" s="145">
        <f>IF(AND($AA56="",AG56=""),"",$AA56-AG56)</f>
        <v>0</v>
      </c>
      <c r="AJ56" s="212">
        <f t="shared" si="13"/>
        <v>0</v>
      </c>
      <c r="AK56" s="213">
        <f t="shared" si="14"/>
        <v>0</v>
      </c>
      <c r="AL56" s="214">
        <f t="shared" si="15"/>
        <v>0</v>
      </c>
      <c r="AM56" s="215">
        <f t="shared" si="16"/>
        <v>0</v>
      </c>
      <c r="AN56" s="214">
        <f t="shared" si="17"/>
        <v>0</v>
      </c>
      <c r="AO56" s="11"/>
    </row>
    <row r="57" spans="1:41" x14ac:dyDescent="0.35">
      <c r="A57" s="65" t="s">
        <v>11</v>
      </c>
      <c r="B57" s="66" t="s">
        <v>21</v>
      </c>
      <c r="C57" s="11"/>
      <c r="D57" s="11"/>
      <c r="E57" s="11"/>
      <c r="F57" s="11"/>
      <c r="G57" s="11"/>
      <c r="H57" s="88" t="s">
        <v>75</v>
      </c>
      <c r="I57" s="122" t="str">
        <f>IF(_epmOfflineCondition_,"B1",_xll.EVPRO($B$1,$H57,"STYLE"))</f>
        <v>B1</v>
      </c>
      <c r="J57" s="122" t="str">
        <f>IF(_epmOfflineCondition_,"Y",_xll.EVPRO($B$1,$H57,"CALC"))</f>
        <v>Y</v>
      </c>
      <c r="K57" s="179" t="str">
        <f t="shared" si="12"/>
        <v/>
      </c>
      <c r="L57" s="90"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91"/>
      <c r="AB57" s="198"/>
      <c r="AC57" s="11"/>
      <c r="AD57" s="91"/>
      <c r="AE57" s="100"/>
      <c r="AF57" s="92"/>
      <c r="AG57" s="91"/>
      <c r="AH57" s="100"/>
      <c r="AI57" s="92"/>
      <c r="AJ57" s="181">
        <f t="shared" si="13"/>
        <v>0</v>
      </c>
      <c r="AK57" s="182">
        <f t="shared" si="14"/>
        <v>0</v>
      </c>
      <c r="AL57" s="183">
        <f t="shared" si="15"/>
        <v>0</v>
      </c>
      <c r="AM57" s="184">
        <f t="shared" si="16"/>
        <v>0</v>
      </c>
      <c r="AN57" s="183">
        <f t="shared" si="17"/>
        <v>0</v>
      </c>
      <c r="AO57" s="11"/>
    </row>
    <row r="58" spans="1:41" x14ac:dyDescent="0.35">
      <c r="A58" s="65" t="s">
        <v>12</v>
      </c>
      <c r="B58" s="66" t="s">
        <v>22</v>
      </c>
      <c r="C58" s="11"/>
      <c r="D58" s="11"/>
      <c r="E58" s="11"/>
      <c r="F58" s="11"/>
      <c r="G58" s="11"/>
      <c r="H58" s="88" t="s">
        <v>938</v>
      </c>
      <c r="I58" s="122" t="str">
        <f>IF(_epmOfflineCondition_,"T3",_xll.EVPRO($B$1,$H58,"STYLE"))</f>
        <v>T3</v>
      </c>
      <c r="J58" s="122" t="str">
        <f>IF(_epmOfflineCondition_,"Y",_xll.EVPRO($B$1,$H58,"CALC"))</f>
        <v>Y</v>
      </c>
      <c r="K58" s="179" t="str">
        <f t="shared" si="12"/>
        <v>&gt;</v>
      </c>
      <c r="L58" s="90" t="str">
        <f>IF(_epmOfflineCondition_,"",_xll.EVPRO($B$1,H58,"JDEID"))</f>
        <v/>
      </c>
      <c r="M58" s="90" t="str">
        <f>IF(_epmOfflineCondition_,"",IF(AND(I58="N",J58="N"),_xll.EVPRO($B$1,H58,"PSFTID"),""))</f>
        <v/>
      </c>
      <c r="N58" s="90" t="str">
        <f>IF(_epmOfflineCondition_,"Front Office",IF(_xll.EVDES(H58,$B$1)="#NODATA","",_xll.EVDES(H58,$B$1)))</f>
        <v>Front Office</v>
      </c>
      <c r="O58" s="216">
        <v>13986.66</v>
      </c>
      <c r="P58" s="216">
        <v>13162.62</v>
      </c>
      <c r="Q58" s="216">
        <v>9685.65</v>
      </c>
      <c r="R58" s="216">
        <v>2190</v>
      </c>
      <c r="S58" s="216">
        <v>2253.75</v>
      </c>
      <c r="T58" s="216">
        <v>5733.26</v>
      </c>
      <c r="U58" s="216">
        <v>7185.88</v>
      </c>
      <c r="V58" s="216">
        <v>7290</v>
      </c>
      <c r="W58" s="216">
        <v>8062.27</v>
      </c>
      <c r="X58" s="216">
        <v>10617.36</v>
      </c>
      <c r="Y58" s="216">
        <v>11097.92</v>
      </c>
      <c r="Z58" s="216">
        <v>12210.01</v>
      </c>
      <c r="AA58" s="217">
        <f t="shared" ref="AA58:AA70" si="18">IF($I58="B1","",SUM(O58:Z58))</f>
        <v>103475.37999999999</v>
      </c>
      <c r="AB58" s="218">
        <f t="shared" ref="AB58:AB70" si="19">IF(AA58=0,"",IFERROR(AA58/AA$19,""))</f>
        <v>2.543368226300053E-2</v>
      </c>
      <c r="AC58" s="140"/>
      <c r="AD58" s="217">
        <v>215639.69714285701</v>
      </c>
      <c r="AE58" s="219">
        <f t="shared" ref="AE58:AE70" si="20">IF(AD58=0,"",IFERROR(AD58/AD$19,""))</f>
        <v>2.5589635216609993E-2</v>
      </c>
      <c r="AF58" s="220">
        <f t="shared" ref="AF58:AF70" si="21">IF(AND($AA58="",AD58=""),"",$AA58-AD58)</f>
        <v>-112164.31714285702</v>
      </c>
      <c r="AG58" s="217">
        <v>182591.37</v>
      </c>
      <c r="AH58" s="219">
        <f t="shared" ref="AH58:AH70" si="22">IF(AG58=0,"",IFERROR(AG58/AG$19,""))</f>
        <v>2.8800152564110601E-2</v>
      </c>
      <c r="AI58" s="220">
        <f t="shared" ref="AI58:AI70" si="23">IF(AND($AA58="",AG58=""),"",$AA58-AG58)</f>
        <v>-79115.990000000005</v>
      </c>
      <c r="AJ58" s="212">
        <f t="shared" si="13"/>
        <v>5.160866832917705</v>
      </c>
      <c r="AK58" s="213">
        <f t="shared" si="14"/>
        <v>5.7055085895715569</v>
      </c>
      <c r="AL58" s="214">
        <f t="shared" si="15"/>
        <v>-0.54464175665385195</v>
      </c>
      <c r="AM58" s="215">
        <f t="shared" si="16"/>
        <v>5.5529277416215557</v>
      </c>
      <c r="AN58" s="214">
        <f t="shared" si="17"/>
        <v>-0.39206090870385069</v>
      </c>
      <c r="AO58" s="11"/>
    </row>
    <row r="59" spans="1:41" x14ac:dyDescent="0.35">
      <c r="A59" s="65" t="s">
        <v>13</v>
      </c>
      <c r="B59" s="66" t="s">
        <v>735</v>
      </c>
      <c r="C59" s="11"/>
      <c r="D59" s="11"/>
      <c r="E59" s="11"/>
      <c r="F59" s="11"/>
      <c r="G59" s="11"/>
      <c r="H59" s="88" t="s">
        <v>939</v>
      </c>
      <c r="I59" s="122" t="str">
        <f>IF(_epmOfflineCondition_,"T3",_xll.EVPRO($B$1,$H59,"STYLE"))</f>
        <v>T3</v>
      </c>
      <c r="J59" s="122" t="str">
        <f>IF(_epmOfflineCondition_,"Y",_xll.EVPRO($B$1,$H59,"CALC"))</f>
        <v>Y</v>
      </c>
      <c r="K59" s="179" t="str">
        <f t="shared" si="12"/>
        <v>&gt;</v>
      </c>
      <c r="L59" s="90" t="str">
        <f>IF(_epmOfflineCondition_,"",_xll.EVPRO($B$1,H59,"JDEID"))</f>
        <v/>
      </c>
      <c r="M59" s="90" t="str">
        <f>IF(_epmOfflineCondition_,"",IF(AND(I59="N",J59="N"),_xll.EVPRO($B$1,H59,"PSFTID"),""))</f>
        <v/>
      </c>
      <c r="N59" s="90" t="str">
        <f>IF(_epmOfflineCondition_,"Guest Services",IF(_xll.EVDES(H59,$B$1)="#NODATA","",_xll.EVDES(H59,$B$1)))</f>
        <v>Guest Services</v>
      </c>
      <c r="O59" s="216">
        <v>2448</v>
      </c>
      <c r="P59" s="216">
        <v>2244</v>
      </c>
      <c r="Q59" s="216">
        <v>1004</v>
      </c>
      <c r="R59" s="216"/>
      <c r="S59" s="216"/>
      <c r="T59" s="216"/>
      <c r="U59" s="216"/>
      <c r="V59" s="216"/>
      <c r="W59" s="216"/>
      <c r="X59" s="216"/>
      <c r="Y59" s="216"/>
      <c r="Z59" s="216"/>
      <c r="AA59" s="217">
        <f t="shared" si="18"/>
        <v>5696</v>
      </c>
      <c r="AB59" s="218">
        <f t="shared" si="19"/>
        <v>1.4000456356869724E-3</v>
      </c>
      <c r="AC59" s="140"/>
      <c r="AD59" s="217">
        <v>19176.4285714289</v>
      </c>
      <c r="AE59" s="219">
        <f t="shared" si="20"/>
        <v>2.2756376418723691E-3</v>
      </c>
      <c r="AF59" s="220">
        <f t="shared" si="21"/>
        <v>-13480.4285714289</v>
      </c>
      <c r="AG59" s="217">
        <v>23631.83</v>
      </c>
      <c r="AH59" s="219">
        <f t="shared" si="22"/>
        <v>3.7274505874463062E-3</v>
      </c>
      <c r="AI59" s="220">
        <f t="shared" si="23"/>
        <v>-17935.830000000002</v>
      </c>
      <c r="AJ59" s="212">
        <f t="shared" si="13"/>
        <v>0.28408977556109727</v>
      </c>
      <c r="AK59" s="213">
        <f t="shared" si="14"/>
        <v>0.50738003893184014</v>
      </c>
      <c r="AL59" s="214">
        <f t="shared" si="15"/>
        <v>-0.22329026337074287</v>
      </c>
      <c r="AM59" s="215">
        <f t="shared" si="16"/>
        <v>0.71868590718326142</v>
      </c>
      <c r="AN59" s="214">
        <f t="shared" si="17"/>
        <v>-0.43459613162216415</v>
      </c>
      <c r="AO59" s="11"/>
    </row>
    <row r="60" spans="1:41" x14ac:dyDescent="0.35">
      <c r="A60" s="65" t="s">
        <v>14</v>
      </c>
      <c r="B60" s="66"/>
      <c r="C60" s="11"/>
      <c r="D60" s="11"/>
      <c r="E60" s="11"/>
      <c r="F60" s="11"/>
      <c r="G60" s="11"/>
      <c r="H60" s="88" t="s">
        <v>940</v>
      </c>
      <c r="I60" s="122" t="str">
        <f>IF(_epmOfflineCondition_,"T3",_xll.EVPRO($B$1,$H60,"STYLE"))</f>
        <v>T3</v>
      </c>
      <c r="J60" s="122" t="str">
        <f>IF(_epmOfflineCondition_,"Y",_xll.EVPRO($B$1,$H60,"CALC"))</f>
        <v>Y</v>
      </c>
      <c r="K60" s="179" t="str">
        <f t="shared" si="12"/>
        <v>&gt;</v>
      </c>
      <c r="L60" s="90" t="str">
        <f>IF(_epmOfflineCondition_,"",_xll.EVPRO($B$1,H60,"JDEID"))</f>
        <v/>
      </c>
      <c r="M60" s="90" t="str">
        <f>IF(_epmOfflineCondition_,"",IF(AND(I60="N",J60="N"),_xll.EVPRO($B$1,H60,"PSFTID"),""))</f>
        <v/>
      </c>
      <c r="N60" s="90" t="str">
        <f>IF(_epmOfflineCondition_,"Housekeeping",IF(_xll.EVDES(H60,$B$1)="#NODATA","",_xll.EVDES(H60,$B$1)))</f>
        <v>Housekeeping</v>
      </c>
      <c r="O60" s="216">
        <v>23119.200000000001</v>
      </c>
      <c r="P60" s="216">
        <v>19470.22</v>
      </c>
      <c r="Q60" s="216">
        <v>14993.54</v>
      </c>
      <c r="R60" s="216"/>
      <c r="S60" s="216"/>
      <c r="T60" s="216">
        <v>7699.31</v>
      </c>
      <c r="U60" s="216">
        <v>9043.5499999999993</v>
      </c>
      <c r="V60" s="216">
        <v>10952.48</v>
      </c>
      <c r="W60" s="216">
        <v>13728.21</v>
      </c>
      <c r="X60" s="216">
        <v>13666.86</v>
      </c>
      <c r="Y60" s="216">
        <v>15447.33</v>
      </c>
      <c r="Z60" s="216">
        <v>15512.64</v>
      </c>
      <c r="AA60" s="217">
        <f t="shared" si="18"/>
        <v>143633.33999999997</v>
      </c>
      <c r="AB60" s="218">
        <f t="shared" si="19"/>
        <v>3.5304289116247015E-2</v>
      </c>
      <c r="AC60" s="140"/>
      <c r="AD60" s="217">
        <v>433472.68353571399</v>
      </c>
      <c r="AE60" s="219">
        <f t="shared" si="20"/>
        <v>5.1439544736029963E-2</v>
      </c>
      <c r="AF60" s="220">
        <f t="shared" si="21"/>
        <v>-289839.34353571403</v>
      </c>
      <c r="AG60" s="217">
        <v>343994.53</v>
      </c>
      <c r="AH60" s="219">
        <f t="shared" si="22"/>
        <v>5.4258286934478456E-2</v>
      </c>
      <c r="AI60" s="220">
        <f t="shared" si="23"/>
        <v>-200361.19000000006</v>
      </c>
      <c r="AJ60" s="212">
        <f t="shared" si="13"/>
        <v>7.1637576059850359</v>
      </c>
      <c r="AK60" s="213">
        <f t="shared" si="14"/>
        <v>11.469048380360206</v>
      </c>
      <c r="AL60" s="214">
        <f t="shared" si="15"/>
        <v>-4.3052907743751705</v>
      </c>
      <c r="AM60" s="215">
        <f t="shared" si="16"/>
        <v>10.4614843987592</v>
      </c>
      <c r="AN60" s="214">
        <f t="shared" si="17"/>
        <v>-3.2977267927741645</v>
      </c>
      <c r="AO60" s="11"/>
    </row>
    <row r="61" spans="1:41" x14ac:dyDescent="0.35">
      <c r="A61" s="65" t="s">
        <v>15</v>
      </c>
      <c r="B61" s="66"/>
      <c r="C61" s="11"/>
      <c r="D61" s="11"/>
      <c r="E61" s="11"/>
      <c r="F61" s="11"/>
      <c r="G61" s="11"/>
      <c r="H61" s="88" t="s">
        <v>941</v>
      </c>
      <c r="I61" s="122" t="str">
        <f>IF(_epmOfflineCondition_,"T3",_xll.EVPRO($B$1,$H61,"STYLE"))</f>
        <v>T3</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IF(_epmOfflineCondition_,"Reservations",IF(_xll.EVDES(H61,$B$1)="#NODATA","",_xll.EVDES(H61,$B$1)))</f>
        <v>Reservations</v>
      </c>
      <c r="O61" s="216">
        <v>1975.76</v>
      </c>
      <c r="P61" s="216">
        <v>960.78</v>
      </c>
      <c r="Q61" s="216">
        <v>596.57000000000005</v>
      </c>
      <c r="R61" s="216"/>
      <c r="S61" s="216"/>
      <c r="T61" s="216"/>
      <c r="U61" s="216"/>
      <c r="V61" s="216"/>
      <c r="W61" s="216"/>
      <c r="X61" s="216"/>
      <c r="Y61" s="216"/>
      <c r="Z61" s="216"/>
      <c r="AA61" s="217">
        <f t="shared" si="18"/>
        <v>3533.11</v>
      </c>
      <c r="AB61" s="218">
        <f t="shared" si="19"/>
        <v>8.6841910742661507E-4</v>
      </c>
      <c r="AC61" s="140"/>
      <c r="AD61" s="217">
        <v>11976</v>
      </c>
      <c r="AE61" s="219">
        <f t="shared" si="20"/>
        <v>1.421173723644662E-3</v>
      </c>
      <c r="AF61" s="220">
        <f t="shared" si="21"/>
        <v>-8442.89</v>
      </c>
      <c r="AG61" s="217">
        <v>13987.93</v>
      </c>
      <c r="AH61" s="219">
        <f t="shared" si="22"/>
        <v>2.2063174073128407E-3</v>
      </c>
      <c r="AI61" s="220">
        <f t="shared" si="23"/>
        <v>-10454.82</v>
      </c>
      <c r="AJ61" s="221">
        <f t="shared" si="13"/>
        <v>0.17621496259351621</v>
      </c>
      <c r="AK61" s="222">
        <f t="shared" si="14"/>
        <v>0.31686731049080569</v>
      </c>
      <c r="AL61" s="223">
        <f t="shared" si="15"/>
        <v>-0.14065234789728948</v>
      </c>
      <c r="AM61" s="224">
        <f t="shared" si="16"/>
        <v>0.42539778602274803</v>
      </c>
      <c r="AN61" s="223">
        <f t="shared" si="17"/>
        <v>-0.24918282342923181</v>
      </c>
      <c r="AO61" s="11"/>
    </row>
    <row r="62" spans="1:41" x14ac:dyDescent="0.35">
      <c r="A62" s="65" t="s">
        <v>16</v>
      </c>
      <c r="B62" s="66" t="s">
        <v>78</v>
      </c>
      <c r="C62" s="11"/>
      <c r="D62" s="11"/>
      <c r="E62" s="11"/>
      <c r="F62" s="11"/>
      <c r="G62" s="11"/>
      <c r="H62" s="88" t="s">
        <v>852</v>
      </c>
      <c r="I62" s="188" t="str">
        <f>IF(_epmOfflineCondition_,"T2",_xll.EVPRO($B$1,$H62,"STYLE"))</f>
        <v>T2</v>
      </c>
      <c r="J62" s="188" t="str">
        <f>IF(_epmOfflineCondition_,"Y",_xll.EVPRO($B$1,$H62,"CALC"))</f>
        <v>Y</v>
      </c>
      <c r="K62" s="189" t="str">
        <f t="shared" si="12"/>
        <v/>
      </c>
      <c r="L62" s="190" t="str">
        <f>IF(_epmOfflineCondition_,"",_xll.EVPRO($B$1,H62,"JDEID"))</f>
        <v/>
      </c>
      <c r="M62" s="190" t="str">
        <f>IF(_epmOfflineCondition_,"",IF(AND(I62="N",J62="N"),_xll.EVPRO($B$1,H62,"PSFTID"),""))</f>
        <v/>
      </c>
      <c r="N62" s="190" t="str">
        <f>IF(_epmOfflineCondition_,"Total Salaries and Wages",IF(_xll.EVDES(H62,$B$1)="#NODATA","",_xll.EVDES(H62,$B$1)))</f>
        <v>Total Salaries and Wages</v>
      </c>
      <c r="O62" s="225">
        <v>55284.11</v>
      </c>
      <c r="P62" s="225">
        <v>50268.639999999999</v>
      </c>
      <c r="Q62" s="225">
        <v>36986.86</v>
      </c>
      <c r="R62" s="225">
        <v>9798.98</v>
      </c>
      <c r="S62" s="225">
        <v>9973.2900000000009</v>
      </c>
      <c r="T62" s="225">
        <v>23272.67</v>
      </c>
      <c r="U62" s="225">
        <v>24155.39</v>
      </c>
      <c r="V62" s="225">
        <v>28122.12</v>
      </c>
      <c r="W62" s="225">
        <v>31762.9</v>
      </c>
      <c r="X62" s="225">
        <v>33263.75</v>
      </c>
      <c r="Y62" s="225">
        <v>35617.74</v>
      </c>
      <c r="Z62" s="225">
        <v>36795.25</v>
      </c>
      <c r="AA62" s="225">
        <f t="shared" si="18"/>
        <v>375301.7</v>
      </c>
      <c r="AB62" s="226">
        <f t="shared" si="19"/>
        <v>9.2247104485762191E-2</v>
      </c>
      <c r="AC62" s="227"/>
      <c r="AD62" s="225">
        <v>884938.00695882004</v>
      </c>
      <c r="AE62" s="226">
        <f t="shared" si="20"/>
        <v>0.10501424870944823</v>
      </c>
      <c r="AF62" s="228">
        <f t="shared" si="21"/>
        <v>-509636.30695882003</v>
      </c>
      <c r="AG62" s="225">
        <v>734709.09</v>
      </c>
      <c r="AH62" s="226">
        <f t="shared" si="22"/>
        <v>0.11588572823698548</v>
      </c>
      <c r="AI62" s="228">
        <f t="shared" si="23"/>
        <v>-359407.38999999996</v>
      </c>
      <c r="AJ62" s="229">
        <f t="shared" si="13"/>
        <v>18.71828927680798</v>
      </c>
      <c r="AK62" s="230">
        <f t="shared" si="14"/>
        <v>23.41415549566927</v>
      </c>
      <c r="AL62" s="231">
        <f t="shared" si="15"/>
        <v>-4.6958662188612905</v>
      </c>
      <c r="AM62" s="232">
        <f t="shared" si="16"/>
        <v>22.343807858402773</v>
      </c>
      <c r="AN62" s="231">
        <f t="shared" si="17"/>
        <v>-3.6255185815947932</v>
      </c>
      <c r="AO62" s="11"/>
    </row>
    <row r="63" spans="1:41" x14ac:dyDescent="0.35">
      <c r="A63" s="65" t="s">
        <v>17</v>
      </c>
      <c r="B63" s="66"/>
      <c r="C63" s="11"/>
      <c r="D63" s="11"/>
      <c r="E63" s="11"/>
      <c r="F63" s="11"/>
      <c r="G63" s="11"/>
      <c r="H63" s="88" t="s">
        <v>874</v>
      </c>
      <c r="I63" s="122" t="str">
        <f>IF(_epmOfflineCondition_,"T3",_xll.EVPRO($B$1,$H63,"STYLE"))</f>
        <v>T3</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IF(_epmOfflineCondition_,"Contracted &amp; Leased Labor",IF(_xll.EVDES(H63,$B$1)="#NODATA","",_xll.EVDES(H63,$B$1)))</f>
        <v>Contracted &amp; Leased Labor</v>
      </c>
      <c r="O63" s="216">
        <v>14417.07</v>
      </c>
      <c r="P63" s="216">
        <v>15933</v>
      </c>
      <c r="Q63" s="216">
        <v>21340.12</v>
      </c>
      <c r="R63" s="216"/>
      <c r="S63" s="216"/>
      <c r="T63" s="216">
        <v>536.20000000000005</v>
      </c>
      <c r="U63" s="216">
        <v>2201.8000000000002</v>
      </c>
      <c r="V63" s="216">
        <v>2052</v>
      </c>
      <c r="W63" s="216">
        <v>8276.06</v>
      </c>
      <c r="X63" s="216">
        <v>10464.969999999999</v>
      </c>
      <c r="Y63" s="216">
        <v>13422.84</v>
      </c>
      <c r="Z63" s="216">
        <v>14783.21</v>
      </c>
      <c r="AA63" s="216">
        <f t="shared" si="18"/>
        <v>103427.26999999999</v>
      </c>
      <c r="AB63" s="218">
        <f t="shared" si="19"/>
        <v>2.5421857088222987E-2</v>
      </c>
      <c r="AC63" s="140"/>
      <c r="AD63" s="216"/>
      <c r="AE63" s="218" t="str">
        <f t="shared" si="20"/>
        <v/>
      </c>
      <c r="AF63" s="233">
        <f t="shared" si="21"/>
        <v>103427.26999999999</v>
      </c>
      <c r="AG63" s="216">
        <v>60458.02</v>
      </c>
      <c r="AH63" s="218">
        <f t="shared" si="22"/>
        <v>9.5360487175491903E-3</v>
      </c>
      <c r="AI63" s="233">
        <f t="shared" si="23"/>
        <v>42969.249999999993</v>
      </c>
      <c r="AJ63" s="234">
        <f t="shared" si="13"/>
        <v>5.1584673316708223</v>
      </c>
      <c r="AK63" s="235">
        <f t="shared" si="14"/>
        <v>0</v>
      </c>
      <c r="AL63" s="236">
        <f t="shared" si="15"/>
        <v>5.1584673316708223</v>
      </c>
      <c r="AM63" s="237">
        <f t="shared" si="16"/>
        <v>1.8386357277537861</v>
      </c>
      <c r="AN63" s="236">
        <f t="shared" si="17"/>
        <v>3.3198316039170361</v>
      </c>
      <c r="AO63" s="11"/>
    </row>
    <row r="64" spans="1:41" x14ac:dyDescent="0.35">
      <c r="A64" s="11"/>
      <c r="B64" s="11"/>
      <c r="C64" s="11"/>
      <c r="D64" s="11"/>
      <c r="E64" s="11"/>
      <c r="F64" s="11"/>
      <c r="G64" s="11"/>
      <c r="H64" s="88" t="s">
        <v>853</v>
      </c>
      <c r="I64" s="122" t="str">
        <f>IF(_epmOfflineCondition_,"T3",_xll.EVPRO($B$1,$H64,"STYLE"))</f>
        <v>T3</v>
      </c>
      <c r="J64" s="122" t="str">
        <f>IF(_epmOfflineCondition_,"Y",_xll.EVPRO($B$1,$H64,"CALC"))</f>
        <v>Y</v>
      </c>
      <c r="K64" s="179" t="str">
        <f t="shared" si="12"/>
        <v>&gt;</v>
      </c>
      <c r="L64" s="90" t="str">
        <f>IF(_epmOfflineCondition_,"",_xll.EVPRO($B$1,H64,"JDEID"))</f>
        <v/>
      </c>
      <c r="M64" s="90" t="str">
        <f>IF(_epmOfflineCondition_,"",IF(AND(I64="N",J64="N"),_xll.EVPRO($B$1,H64,"PSFTID"),""))</f>
        <v/>
      </c>
      <c r="N64" s="90" t="str">
        <f>IF(_epmOfflineCondition_,"Bonuses &amp; Incentives",IF(_xll.EVDES(H64,$B$1)="#NODATA","",_xll.EVDES(H64,$B$1)))</f>
        <v>Bonuses &amp; Incentives</v>
      </c>
      <c r="O64" s="216">
        <v>2205.16</v>
      </c>
      <c r="P64" s="216">
        <v>2619.3200000000002</v>
      </c>
      <c r="Q64" s="216">
        <v>1499.51</v>
      </c>
      <c r="R64" s="216"/>
      <c r="S64" s="216"/>
      <c r="T64" s="216">
        <v>18</v>
      </c>
      <c r="U64" s="216">
        <v>70</v>
      </c>
      <c r="V64" s="216">
        <v>70.5</v>
      </c>
      <c r="W64" s="216">
        <v>279.89999999999998</v>
      </c>
      <c r="X64" s="216">
        <v>-2551.5</v>
      </c>
      <c r="Y64" s="216">
        <v>997.94</v>
      </c>
      <c r="Z64" s="216">
        <v>-20.87</v>
      </c>
      <c r="AA64" s="217">
        <f t="shared" si="18"/>
        <v>5187.96</v>
      </c>
      <c r="AB64" s="218">
        <f t="shared" si="19"/>
        <v>1.2751721833073361E-3</v>
      </c>
      <c r="AC64" s="140"/>
      <c r="AD64" s="217">
        <v>16784.673390495002</v>
      </c>
      <c r="AE64" s="219">
        <f t="shared" si="20"/>
        <v>1.9918116885879471E-3</v>
      </c>
      <c r="AF64" s="220">
        <f t="shared" si="21"/>
        <v>-11596.713390495002</v>
      </c>
      <c r="AG64" s="217">
        <v>26569</v>
      </c>
      <c r="AH64" s="219">
        <f t="shared" si="22"/>
        <v>4.1907306652874919E-3</v>
      </c>
      <c r="AI64" s="220">
        <f t="shared" si="23"/>
        <v>-21381.040000000001</v>
      </c>
      <c r="AJ64" s="221">
        <f t="shared" si="13"/>
        <v>0.25875112219451374</v>
      </c>
      <c r="AK64" s="222">
        <f t="shared" si="14"/>
        <v>0.44409772166940076</v>
      </c>
      <c r="AL64" s="223">
        <f t="shared" si="15"/>
        <v>-0.18534659947488702</v>
      </c>
      <c r="AM64" s="224">
        <f t="shared" si="16"/>
        <v>0.80801046165075119</v>
      </c>
      <c r="AN64" s="223">
        <f t="shared" si="17"/>
        <v>-0.54925933945623751</v>
      </c>
      <c r="AO64" s="11"/>
    </row>
    <row r="65" spans="1:41" x14ac:dyDescent="0.35">
      <c r="A65" s="97" t="s">
        <v>92</v>
      </c>
      <c r="B65" s="98" t="s">
        <v>93</v>
      </c>
      <c r="C65" s="98" t="s">
        <v>94</v>
      </c>
      <c r="D65" s="98" t="s">
        <v>95</v>
      </c>
      <c r="E65" s="98" t="s">
        <v>96</v>
      </c>
      <c r="F65" s="99" t="s">
        <v>97</v>
      </c>
      <c r="G65" s="11"/>
      <c r="H65" s="88" t="s">
        <v>854</v>
      </c>
      <c r="I65" s="188" t="str">
        <f>IF(_epmOfflineCondition_,"T2",_xll.EVPRO($B$1,$H65,"STYLE"))</f>
        <v>T2</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IF(_epmOfflineCondition_,"Total Labor Expense",IF(_xll.EVDES(H65,$B$1)="#NODATA","",_xll.EVDES(H65,$B$1)))</f>
        <v>Total Labor Expense</v>
      </c>
      <c r="O65" s="225">
        <v>71906.34</v>
      </c>
      <c r="P65" s="225">
        <v>68820.960000000006</v>
      </c>
      <c r="Q65" s="225">
        <v>59826.49</v>
      </c>
      <c r="R65" s="225">
        <v>9798.98</v>
      </c>
      <c r="S65" s="225">
        <v>9973.2900000000009</v>
      </c>
      <c r="T65" s="225">
        <v>23826.87</v>
      </c>
      <c r="U65" s="225">
        <v>26427.19</v>
      </c>
      <c r="V65" s="225">
        <v>30244.62</v>
      </c>
      <c r="W65" s="225">
        <v>40318.86</v>
      </c>
      <c r="X65" s="225">
        <v>41177.22</v>
      </c>
      <c r="Y65" s="225">
        <v>50038.52</v>
      </c>
      <c r="Z65" s="225">
        <v>51557.59</v>
      </c>
      <c r="AA65" s="225">
        <f t="shared" si="18"/>
        <v>483916.92999999993</v>
      </c>
      <c r="AB65" s="226">
        <f t="shared" si="19"/>
        <v>0.1189441337572925</v>
      </c>
      <c r="AC65" s="227"/>
      <c r="AD65" s="225">
        <v>901722.68034931505</v>
      </c>
      <c r="AE65" s="226">
        <f t="shared" si="20"/>
        <v>0.10700606039803617</v>
      </c>
      <c r="AF65" s="228">
        <f t="shared" si="21"/>
        <v>-417805.75034931512</v>
      </c>
      <c r="AG65" s="225">
        <v>821736.11</v>
      </c>
      <c r="AH65" s="226">
        <f t="shared" si="22"/>
        <v>0.12961250761982218</v>
      </c>
      <c r="AI65" s="228">
        <f t="shared" si="23"/>
        <v>-337819.18000000005</v>
      </c>
      <c r="AJ65" s="229">
        <f t="shared" si="13"/>
        <v>24.135507730673314</v>
      </c>
      <c r="AK65" s="230">
        <f t="shared" si="14"/>
        <v>23.858253217338671</v>
      </c>
      <c r="AL65" s="231">
        <f t="shared" si="15"/>
        <v>0.27725451333464335</v>
      </c>
      <c r="AM65" s="232">
        <f t="shared" si="16"/>
        <v>24.990454047807312</v>
      </c>
      <c r="AN65" s="231">
        <f t="shared" si="17"/>
        <v>-0.85494631713399727</v>
      </c>
      <c r="AO65" s="11"/>
    </row>
    <row r="66" spans="1:41" x14ac:dyDescent="0.35">
      <c r="A66" s="11"/>
      <c r="B66" s="11"/>
      <c r="C66" s="11"/>
      <c r="D66" s="11"/>
      <c r="E66" s="11"/>
      <c r="F66" s="11"/>
      <c r="G66" s="11"/>
      <c r="H66" s="88" t="s">
        <v>855</v>
      </c>
      <c r="I66" s="122" t="str">
        <f>IF(_epmOfflineCondition_,"T3",_xll.EVPRO($B$1,$H66,"STYLE"))</f>
        <v>T3</v>
      </c>
      <c r="J66" s="122" t="str">
        <f>IF(_epmOfflineCondition_,"Y",_xll.EVPRO($B$1,$H66,"CALC"))</f>
        <v>Y</v>
      </c>
      <c r="K66" s="179" t="str">
        <f t="shared" si="12"/>
        <v>&gt;</v>
      </c>
      <c r="L66" s="90" t="str">
        <f>IF(_epmOfflineCondition_,"",_xll.EVPRO($B$1,H66,"JDEID"))</f>
        <v/>
      </c>
      <c r="M66" s="90" t="str">
        <f>IF(_epmOfflineCondition_,"",IF(AND(I66="N",J66="N"),_xll.EVPRO($B$1,H66,"PSFTID"),""))</f>
        <v/>
      </c>
      <c r="N66" s="90" t="str">
        <f>IF(_epmOfflineCondition_,"Payroll Taxes",IF(_xll.EVDES(H66,$B$1)="#NODATA","",_xll.EVDES(H66,$B$1)))</f>
        <v>Payroll Taxes</v>
      </c>
      <c r="O66" s="216">
        <v>5296.38</v>
      </c>
      <c r="P66" s="216">
        <v>5766.95</v>
      </c>
      <c r="Q66" s="216">
        <v>4091.07</v>
      </c>
      <c r="R66" s="216">
        <v>717.47</v>
      </c>
      <c r="S66" s="216">
        <v>731.55</v>
      </c>
      <c r="T66" s="216">
        <v>1659.19</v>
      </c>
      <c r="U66" s="216">
        <v>1898.89</v>
      </c>
      <c r="V66" s="216">
        <v>2114.17</v>
      </c>
      <c r="W66" s="216">
        <v>2451.0300000000002</v>
      </c>
      <c r="X66" s="216">
        <v>2416.2399999999998</v>
      </c>
      <c r="Y66" s="216">
        <v>2896.15</v>
      </c>
      <c r="Z66" s="216">
        <v>3418.33</v>
      </c>
      <c r="AA66" s="216">
        <f t="shared" si="18"/>
        <v>33457.42</v>
      </c>
      <c r="AB66" s="218">
        <f t="shared" si="19"/>
        <v>8.2236507816618731E-3</v>
      </c>
      <c r="AC66" s="140"/>
      <c r="AD66" s="216">
        <v>78849.212631680799</v>
      </c>
      <c r="AE66" s="218">
        <f t="shared" si="20"/>
        <v>9.3569162593700322E-3</v>
      </c>
      <c r="AF66" s="233">
        <f t="shared" si="21"/>
        <v>-45391.792631680801</v>
      </c>
      <c r="AG66" s="216">
        <v>60016.32</v>
      </c>
      <c r="AH66" s="218">
        <f t="shared" si="22"/>
        <v>9.4663793383908679E-3</v>
      </c>
      <c r="AI66" s="233">
        <f t="shared" si="23"/>
        <v>-26558.9</v>
      </c>
      <c r="AJ66" s="234">
        <f t="shared" si="13"/>
        <v>1.6686992518703241</v>
      </c>
      <c r="AK66" s="235">
        <f t="shared" si="14"/>
        <v>2.0862339630025346</v>
      </c>
      <c r="AL66" s="236">
        <f t="shared" si="15"/>
        <v>-0.41753471113221052</v>
      </c>
      <c r="AM66" s="237">
        <f t="shared" si="16"/>
        <v>1.8252028465421812</v>
      </c>
      <c r="AN66" s="236">
        <f t="shared" si="17"/>
        <v>-0.15650359467185715</v>
      </c>
      <c r="AO66" s="11"/>
    </row>
    <row r="67" spans="1:41" x14ac:dyDescent="0.35">
      <c r="A67" s="11" t="s">
        <v>108</v>
      </c>
      <c r="B67" s="11"/>
      <c r="C67" s="104" t="s">
        <v>101</v>
      </c>
      <c r="D67" s="11" t="s">
        <v>106</v>
      </c>
      <c r="E67" s="11"/>
      <c r="F67" s="11" t="s">
        <v>98</v>
      </c>
      <c r="G67" s="76"/>
      <c r="H67" s="88" t="s">
        <v>856</v>
      </c>
      <c r="I67" s="122" t="str">
        <f>IF(_epmOfflineCondition_,"T3",_xll.EVPRO($B$1,$H67,"STYLE"))</f>
        <v>T3</v>
      </c>
      <c r="J67" s="122" t="str">
        <f>IF(_epmOfflineCondition_,"Y",_xll.EVPRO($B$1,$H67,"CALC"))</f>
        <v>Y</v>
      </c>
      <c r="K67" s="179" t="str">
        <f t="shared" si="12"/>
        <v>&gt;</v>
      </c>
      <c r="L67" s="90" t="str">
        <f>IF(_epmOfflineCondition_,"",_xll.EVPRO($B$1,H67,"JDEID"))</f>
        <v/>
      </c>
      <c r="M67" s="90" t="str">
        <f>IF(_epmOfflineCondition_,"",IF(AND(I67="N",J67="N"),_xll.EVPRO($B$1,H67,"PSFTID"),""))</f>
        <v/>
      </c>
      <c r="N67" s="90" t="str">
        <f>IF(_epmOfflineCondition_,"Supplemental Pay",IF(_xll.EVDES(H67,$B$1)="#NODATA","",_xll.EVDES(H67,$B$1)))</f>
        <v>Supplemental Pay</v>
      </c>
      <c r="O67" s="216">
        <v>8085.12</v>
      </c>
      <c r="P67" s="216">
        <v>8943.75</v>
      </c>
      <c r="Q67" s="216">
        <v>-4383.9399999999996</v>
      </c>
      <c r="R67" s="216">
        <v>394.73</v>
      </c>
      <c r="S67" s="216">
        <v>1414.59</v>
      </c>
      <c r="T67" s="216">
        <v>1523.2</v>
      </c>
      <c r="U67" s="216">
        <v>4095.44</v>
      </c>
      <c r="V67" s="216">
        <v>2762.45</v>
      </c>
      <c r="W67" s="216">
        <v>3756.91</v>
      </c>
      <c r="X67" s="216">
        <v>572.48</v>
      </c>
      <c r="Y67" s="216">
        <v>3845.45</v>
      </c>
      <c r="Z67" s="216">
        <v>3995.59</v>
      </c>
      <c r="AA67" s="217">
        <f t="shared" si="18"/>
        <v>35005.770000000004</v>
      </c>
      <c r="AB67" s="218">
        <f t="shared" si="19"/>
        <v>8.6042267402320852E-3</v>
      </c>
      <c r="AC67" s="140"/>
      <c r="AD67" s="217">
        <v>77732.912073887797</v>
      </c>
      <c r="AE67" s="219">
        <f t="shared" si="20"/>
        <v>9.224446568285756E-3</v>
      </c>
      <c r="AF67" s="220">
        <f t="shared" si="21"/>
        <v>-42727.142073887793</v>
      </c>
      <c r="AG67" s="217">
        <v>60083.01</v>
      </c>
      <c r="AH67" s="219">
        <f t="shared" si="22"/>
        <v>9.4768983578521968E-3</v>
      </c>
      <c r="AI67" s="220">
        <f t="shared" si="23"/>
        <v>-25077.239999999998</v>
      </c>
      <c r="AJ67" s="212">
        <f t="shared" si="13"/>
        <v>1.7459236907730675</v>
      </c>
      <c r="AK67" s="213">
        <f t="shared" si="14"/>
        <v>2.0566982953800186</v>
      </c>
      <c r="AL67" s="214">
        <f t="shared" si="15"/>
        <v>-0.31077460460695105</v>
      </c>
      <c r="AM67" s="215">
        <f t="shared" si="16"/>
        <v>1.8272310078462382</v>
      </c>
      <c r="AN67" s="214">
        <f t="shared" si="17"/>
        <v>-8.1307317073170626E-2</v>
      </c>
      <c r="AO67" s="11"/>
    </row>
    <row r="68" spans="1:41" x14ac:dyDescent="0.35">
      <c r="A68" s="11" t="s">
        <v>100</v>
      </c>
      <c r="B68" s="11"/>
      <c r="C68" s="53" t="s">
        <v>101</v>
      </c>
      <c r="D68" s="11" t="s">
        <v>106</v>
      </c>
      <c r="E68" s="11"/>
      <c r="F68" s="11" t="s">
        <v>98</v>
      </c>
      <c r="G68" s="11"/>
      <c r="H68" s="88" t="s">
        <v>857</v>
      </c>
      <c r="I68" s="122" t="str">
        <f>IF(_epmOfflineCondition_,"T3",_xll.EVPRO($B$1,$H68,"STYLE"))</f>
        <v>T3</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IF(_epmOfflineCondition_,"Employee Benefits",IF(_xll.EVDES(H68,$B$1)="#NODATA","",_xll.EVDES(H68,$B$1)))</f>
        <v>Employee Benefits</v>
      </c>
      <c r="O68" s="216">
        <v>3084.18</v>
      </c>
      <c r="P68" s="216">
        <v>5283.41</v>
      </c>
      <c r="Q68" s="216">
        <v>2972.89</v>
      </c>
      <c r="R68" s="216">
        <v>5265.89</v>
      </c>
      <c r="S68" s="216">
        <v>3881.82</v>
      </c>
      <c r="T68" s="216">
        <v>2402.21</v>
      </c>
      <c r="U68" s="216">
        <v>820.6</v>
      </c>
      <c r="V68" s="216">
        <v>2938.89</v>
      </c>
      <c r="W68" s="216">
        <v>1118.0999999999999</v>
      </c>
      <c r="X68" s="216">
        <v>3721.65</v>
      </c>
      <c r="Y68" s="216">
        <v>3288.37</v>
      </c>
      <c r="Z68" s="216">
        <v>2431.23</v>
      </c>
      <c r="AA68" s="217">
        <f t="shared" si="18"/>
        <v>37209.24</v>
      </c>
      <c r="AB68" s="218">
        <f t="shared" si="19"/>
        <v>9.1458276104685963E-3</v>
      </c>
      <c r="AC68" s="140"/>
      <c r="AD68" s="217">
        <v>62849.157961414603</v>
      </c>
      <c r="AE68" s="219">
        <f t="shared" si="20"/>
        <v>7.4582140821605834E-3</v>
      </c>
      <c r="AF68" s="220">
        <f t="shared" si="21"/>
        <v>-25639.917961414605</v>
      </c>
      <c r="AG68" s="217">
        <v>46177</v>
      </c>
      <c r="AH68" s="219">
        <f t="shared" si="22"/>
        <v>7.2835021992163984E-3</v>
      </c>
      <c r="AI68" s="220">
        <f t="shared" si="23"/>
        <v>-8967.760000000002</v>
      </c>
      <c r="AJ68" s="221">
        <f t="shared" si="13"/>
        <v>1.8558224438902742</v>
      </c>
      <c r="AK68" s="222">
        <f t="shared" si="14"/>
        <v>1.6628960963464638</v>
      </c>
      <c r="AL68" s="223">
        <f t="shared" si="15"/>
        <v>0.19292634754381033</v>
      </c>
      <c r="AM68" s="224">
        <f t="shared" si="16"/>
        <v>1.4043245544674898</v>
      </c>
      <c r="AN68" s="223">
        <f t="shared" si="17"/>
        <v>0.45149788942278435</v>
      </c>
      <c r="AO68" s="11"/>
    </row>
    <row r="69" spans="1:41" x14ac:dyDescent="0.35">
      <c r="A69" s="11" t="s">
        <v>109</v>
      </c>
      <c r="B69" s="11"/>
      <c r="C69" s="106" t="s">
        <v>101</v>
      </c>
      <c r="D69" s="11" t="s">
        <v>106</v>
      </c>
      <c r="E69" s="11"/>
      <c r="F69" s="11" t="s">
        <v>98</v>
      </c>
      <c r="G69" s="11"/>
      <c r="H69" s="88" t="s">
        <v>858</v>
      </c>
      <c r="I69" s="188" t="str">
        <f>IF(_epmOfflineCondition_,"T2",_xll.EVPRO($B$1,$H69,"STYLE"))</f>
        <v>T2</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Payroll Related",IF(_xll.EVDES(H69,$B$1)="#NODATA","",_xll.EVDES(H69,$B$1)))</f>
        <v>Total Payroll Related</v>
      </c>
      <c r="O69" s="238">
        <v>16465.68</v>
      </c>
      <c r="P69" s="238">
        <v>19994.11</v>
      </c>
      <c r="Q69" s="238">
        <v>2680.02</v>
      </c>
      <c r="R69" s="238">
        <v>6378.09</v>
      </c>
      <c r="S69" s="238">
        <v>6027.96</v>
      </c>
      <c r="T69" s="238">
        <v>5584.6</v>
      </c>
      <c r="U69" s="238">
        <v>6814.93</v>
      </c>
      <c r="V69" s="238">
        <v>7815.51</v>
      </c>
      <c r="W69" s="238">
        <v>7326.04</v>
      </c>
      <c r="X69" s="238">
        <v>6710.37</v>
      </c>
      <c r="Y69" s="238">
        <v>10029.969999999999</v>
      </c>
      <c r="Z69" s="238">
        <v>9845.15</v>
      </c>
      <c r="AA69" s="238">
        <f t="shared" si="18"/>
        <v>105672.42999999998</v>
      </c>
      <c r="AB69" s="239">
        <f t="shared" si="19"/>
        <v>2.5973705132362548E-2</v>
      </c>
      <c r="AC69" s="240"/>
      <c r="AD69" s="238">
        <v>219431.282666983</v>
      </c>
      <c r="AE69" s="239">
        <f t="shared" si="20"/>
        <v>2.6039576909816349E-2</v>
      </c>
      <c r="AF69" s="241">
        <f t="shared" si="21"/>
        <v>-113758.85266698302</v>
      </c>
      <c r="AG69" s="238">
        <v>166276.32999999999</v>
      </c>
      <c r="AH69" s="239">
        <f t="shared" si="22"/>
        <v>2.6226779895459462E-2</v>
      </c>
      <c r="AI69" s="241">
        <f t="shared" si="23"/>
        <v>-60603.900000000009</v>
      </c>
      <c r="AJ69" s="242">
        <f t="shared" si="13"/>
        <v>5.2704453865336651</v>
      </c>
      <c r="AK69" s="243">
        <f t="shared" si="14"/>
        <v>5.8058283547290115</v>
      </c>
      <c r="AL69" s="244">
        <f t="shared" si="15"/>
        <v>-0.53538296819534636</v>
      </c>
      <c r="AM69" s="245">
        <f t="shared" si="16"/>
        <v>5.0567584088559085</v>
      </c>
      <c r="AN69" s="244">
        <f t="shared" si="17"/>
        <v>0.21368697767775657</v>
      </c>
      <c r="AO69" s="11"/>
    </row>
    <row r="70" spans="1:41" x14ac:dyDescent="0.35">
      <c r="A70" s="11" t="s">
        <v>109</v>
      </c>
      <c r="B70" s="11"/>
      <c r="C70" s="196" t="s">
        <v>101</v>
      </c>
      <c r="D70" s="11" t="s">
        <v>107</v>
      </c>
      <c r="E70" s="11"/>
      <c r="F70" s="11" t="s">
        <v>99</v>
      </c>
      <c r="G70" s="11"/>
      <c r="H70" s="88" t="s">
        <v>76</v>
      </c>
      <c r="I70" s="188" t="str">
        <f>IF(_epmOfflineCondition_,"T1",_xll.EVPRO($B$1,$H70,"STYLE"))</f>
        <v>T1</v>
      </c>
      <c r="J70" s="188" t="str">
        <f>IF(_epmOfflineCondition_,"Y",_xll.EVPRO($B$1,$H70,"CALC"))</f>
        <v>Y</v>
      </c>
      <c r="K70" s="189" t="str">
        <f t="shared" si="12"/>
        <v/>
      </c>
      <c r="L70" s="190" t="str">
        <f>IF(_epmOfflineCondition_,"600000",_xll.EVPRO($B$1,H70,"JDEID"))</f>
        <v>600000</v>
      </c>
      <c r="M70" s="190" t="str">
        <f>IF(_epmOfflineCondition_,"",IF(AND(I70="N",J70="N"),_xll.EVPRO($B$1,H70,"PSFTID"),""))</f>
        <v/>
      </c>
      <c r="N70" s="190" t="str">
        <f>IF(_epmOfflineCondition_,"Total Labor &amp; Related Exp",IF(_xll.EVDES(H70,$B$1)="#NODATA","",_xll.EVDES(H70,$B$1)))</f>
        <v>Total Labor &amp; Related Exp</v>
      </c>
      <c r="O70" s="238">
        <v>88372.02</v>
      </c>
      <c r="P70" s="238">
        <v>88815.07</v>
      </c>
      <c r="Q70" s="238">
        <v>62506.51</v>
      </c>
      <c r="R70" s="238">
        <v>16177.07</v>
      </c>
      <c r="S70" s="238">
        <v>16001.25</v>
      </c>
      <c r="T70" s="238">
        <v>29411.47</v>
      </c>
      <c r="U70" s="238">
        <v>33242.120000000003</v>
      </c>
      <c r="V70" s="238">
        <v>38060.129999999997</v>
      </c>
      <c r="W70" s="238">
        <v>47644.9</v>
      </c>
      <c r="X70" s="238">
        <v>47887.59</v>
      </c>
      <c r="Y70" s="238">
        <v>60068.49</v>
      </c>
      <c r="Z70" s="238">
        <v>61402.74</v>
      </c>
      <c r="AA70" s="238">
        <f t="shared" si="18"/>
        <v>589589.36</v>
      </c>
      <c r="AB70" s="239">
        <f t="shared" si="19"/>
        <v>0.14491783888965507</v>
      </c>
      <c r="AC70" s="240"/>
      <c r="AD70" s="238">
        <v>1121153.9630163</v>
      </c>
      <c r="AE70" s="239">
        <f t="shared" si="20"/>
        <v>0.13304563730785277</v>
      </c>
      <c r="AF70" s="241">
        <f t="shared" si="21"/>
        <v>-531564.60301630001</v>
      </c>
      <c r="AG70" s="238">
        <v>988012.44</v>
      </c>
      <c r="AH70" s="239">
        <f t="shared" si="22"/>
        <v>0.15583928751528164</v>
      </c>
      <c r="AI70" s="241">
        <f t="shared" si="23"/>
        <v>-398423.07999999996</v>
      </c>
      <c r="AJ70" s="246">
        <f t="shared" si="13"/>
        <v>29.40595311720698</v>
      </c>
      <c r="AK70" s="247">
        <f t="shared" si="14"/>
        <v>29.664081572067733</v>
      </c>
      <c r="AL70" s="248">
        <f t="shared" si="15"/>
        <v>-0.25812845486075275</v>
      </c>
      <c r="AM70" s="249">
        <f t="shared" si="16"/>
        <v>30.047212456663217</v>
      </c>
      <c r="AN70" s="248">
        <f t="shared" si="17"/>
        <v>-0.64125933945623714</v>
      </c>
      <c r="AO70" s="11"/>
    </row>
    <row r="71" spans="1:41" x14ac:dyDescent="0.35">
      <c r="A71" s="11" t="s">
        <v>110</v>
      </c>
      <c r="B71" s="11"/>
      <c r="C71" s="106" t="s">
        <v>101</v>
      </c>
      <c r="D71" s="11" t="s">
        <v>106</v>
      </c>
      <c r="E71" s="11"/>
      <c r="F71" s="11" t="s">
        <v>98</v>
      </c>
      <c r="G71" s="11"/>
      <c r="H71" s="11"/>
      <c r="I71" s="59"/>
      <c r="J71" s="59"/>
      <c r="K71" s="11"/>
      <c r="L71" s="59"/>
      <c r="M71" s="59"/>
      <c r="N71" s="11"/>
      <c r="O71" s="129"/>
      <c r="P71" s="130"/>
      <c r="Q71" s="130"/>
      <c r="R71" s="130"/>
      <c r="S71" s="130"/>
      <c r="T71" s="130"/>
      <c r="U71" s="130"/>
      <c r="V71" s="130"/>
      <c r="W71" s="130"/>
      <c r="X71" s="130"/>
      <c r="Y71" s="130"/>
      <c r="Z71" s="130"/>
      <c r="AA71" s="130"/>
      <c r="AB71" s="131"/>
      <c r="AC71" s="11"/>
      <c r="AD71" s="129"/>
      <c r="AE71" s="130"/>
      <c r="AF71" s="131"/>
      <c r="AG71" s="129"/>
      <c r="AH71" s="130"/>
      <c r="AI71" s="131"/>
      <c r="AJ71" s="11"/>
      <c r="AK71" s="11"/>
      <c r="AL71" s="11"/>
      <c r="AM71" s="11"/>
      <c r="AN71" s="11"/>
      <c r="AO71" s="11"/>
    </row>
    <row r="72" spans="1:41" x14ac:dyDescent="0.35">
      <c r="A72" s="11" t="s">
        <v>110</v>
      </c>
      <c r="B72" s="11"/>
      <c r="C72" s="109" t="s">
        <v>101</v>
      </c>
      <c r="D72" s="11" t="s">
        <v>107</v>
      </c>
      <c r="E72" s="11"/>
      <c r="F72" s="11" t="s">
        <v>99</v>
      </c>
      <c r="G72" s="76"/>
      <c r="H72" s="11" t="s">
        <v>82</v>
      </c>
      <c r="I72" s="59" t="str">
        <f>IF(_epmOfflineCondition_,"B1",_xll.EVPRO($B$1,$H72,"STYLE"))</f>
        <v>B1</v>
      </c>
      <c r="J72" s="59" t="str">
        <f>IF(_epmOfflineCondition_,"Y",_xll.EVPRO($B$1,$H72,"CALC"))</f>
        <v>Y</v>
      </c>
      <c r="K72" s="11"/>
      <c r="L72" s="59"/>
      <c r="M72" s="59"/>
      <c r="N72" s="105" t="str">
        <f>IF(_epmOfflineCondition_,"Other Expenses",IF(_xll.EVDES(H72,$B$1)="#NODATA","",_xll.EVDES(H72,$B$1)))</f>
        <v>Other Expenses</v>
      </c>
      <c r="O72" s="119"/>
      <c r="P72" s="120"/>
      <c r="Q72" s="120"/>
      <c r="R72" s="120"/>
      <c r="S72" s="120"/>
      <c r="T72" s="120"/>
      <c r="U72" s="120"/>
      <c r="V72" s="120"/>
      <c r="W72" s="120"/>
      <c r="X72" s="120"/>
      <c r="Y72" s="120"/>
      <c r="Z72" s="120"/>
      <c r="AA72" s="120"/>
      <c r="AB72" s="121"/>
      <c r="AC72" s="11"/>
      <c r="AD72" s="119"/>
      <c r="AE72" s="120"/>
      <c r="AF72" s="121"/>
      <c r="AG72" s="119"/>
      <c r="AH72" s="120"/>
      <c r="AI72" s="121"/>
      <c r="AJ72" s="11"/>
      <c r="AK72" s="11"/>
      <c r="AL72" s="11"/>
      <c r="AM72" s="11"/>
      <c r="AN72" s="11"/>
      <c r="AO72" s="11"/>
    </row>
    <row r="73" spans="1:41" x14ac:dyDescent="0.35">
      <c r="A73" s="11"/>
      <c r="B73" s="11"/>
      <c r="C73" s="208"/>
      <c r="D73" s="11"/>
      <c r="E73" s="11"/>
      <c r="F73" s="11"/>
      <c r="G73" s="76"/>
      <c r="H73" s="88" t="s">
        <v>826</v>
      </c>
      <c r="I73" s="122" t="str">
        <f>IF(_epmOfflineCondition_,"N",_xll.EVPRO($B$1,$H73,"STYLE"))</f>
        <v>N</v>
      </c>
      <c r="J73" s="122" t="str">
        <f>IF(_epmOfflineCondition_,"N",_xll.EVPRO($B$1,$H73,"CALC"))</f>
        <v>N</v>
      </c>
      <c r="K73" s="179" t="str">
        <f t="shared" ref="K73:K96" si="24">IF(AND(I73&lt;&gt;"B1",J73="Y"),"&gt;","")</f>
        <v/>
      </c>
      <c r="L73" s="90" t="str">
        <f>IF(_epmOfflineCondition_,"701100",_xll.EVPRO($B$1,H73,"JDEID"))</f>
        <v>701100</v>
      </c>
      <c r="M73" s="90" t="str">
        <f>IF(_epmOfflineCondition_,"690015",IF(AND(I73="N",J73="N"),_xll.EVPRO($B$1,H73,"PSFTID"),""))</f>
        <v>690015</v>
      </c>
      <c r="N73" s="90" t="str">
        <f>IF(_epmOfflineCondition_,"Dues and Subscriptions",IF(_xll.EVDES(H73,$B$1)="#NODATA","",_xll.EVDES(H73,$B$1)))</f>
        <v>Dues and Subscriptions</v>
      </c>
      <c r="O73" s="143"/>
      <c r="P73" s="143">
        <v>48.15</v>
      </c>
      <c r="Q73" s="143"/>
      <c r="R73" s="143"/>
      <c r="S73" s="143"/>
      <c r="T73" s="143"/>
      <c r="U73" s="143"/>
      <c r="V73" s="143"/>
      <c r="W73" s="143"/>
      <c r="X73" s="143">
        <v>179.46</v>
      </c>
      <c r="Y73" s="143"/>
      <c r="Z73" s="143">
        <v>162.5</v>
      </c>
      <c r="AA73" s="143">
        <f t="shared" ref="AA73:AA97" si="25">IF($I73="B1","",SUM(O73:Z73))</f>
        <v>390.11</v>
      </c>
      <c r="AB73" s="144">
        <f t="shared" ref="AB73:AB97" si="26">IF(AA73=0,"",IFERROR(AA73/AA$19,""))</f>
        <v>9.5886903605660968E-5</v>
      </c>
      <c r="AC73" s="140"/>
      <c r="AD73" s="143">
        <v>2400</v>
      </c>
      <c r="AE73" s="144">
        <f t="shared" ref="AE73:AE97" si="27">IF(AD73=0,"",IFERROR(AD73/AD$19,""))</f>
        <v>2.84804353435804E-4</v>
      </c>
      <c r="AF73" s="145">
        <f t="shared" ref="AF73:AF97" si="28">IF(AND($AA73="",AD73=""),"",$AA73-AD73)</f>
        <v>-2009.8899999999999</v>
      </c>
      <c r="AG73" s="143">
        <v>200</v>
      </c>
      <c r="AH73" s="144">
        <f t="shared" ref="AH73:AH97" si="29">IF(AG73=0,"",IFERROR(AG73/AG$19,""))</f>
        <v>3.1546017277936629E-5</v>
      </c>
      <c r="AI73" s="145">
        <f t="shared" ref="AI73:AI97" si="30">IF(AND($AA73="",AG73=""),"",$AA73-AG73)</f>
        <v>190.11</v>
      </c>
      <c r="AJ73" s="212">
        <f t="shared" ref="AJ73:AJ97" si="31">IFERROR(AA73/AA$20,0)</f>
        <v>1.9456857855361595E-2</v>
      </c>
      <c r="AK73" s="213">
        <f t="shared" ref="AK73:AK97" si="32">IFERROR(AD73/AD$20,0)</f>
        <v>6.3500463024209558E-2</v>
      </c>
      <c r="AL73" s="214">
        <f t="shared" ref="AL73:AL97" si="33">AJ73-AK73</f>
        <v>-4.4043605168847963E-2</v>
      </c>
      <c r="AM73" s="215">
        <f t="shared" ref="AM73:AM97" si="34">IFERROR(AG73/AG$20,0)</f>
        <v>6.0823550878900314E-3</v>
      </c>
      <c r="AN73" s="214">
        <f t="shared" ref="AN73:AN97" si="35">AJ73-AM73</f>
        <v>1.3374502767471564E-2</v>
      </c>
      <c r="AO73" s="11"/>
    </row>
    <row r="74" spans="1:41" x14ac:dyDescent="0.35">
      <c r="A74" s="11"/>
      <c r="B74" s="11"/>
      <c r="C74" s="11"/>
      <c r="D74" s="11"/>
      <c r="E74" s="11"/>
      <c r="F74" s="11"/>
      <c r="G74" s="11"/>
      <c r="H74" s="88" t="s">
        <v>860</v>
      </c>
      <c r="I74" s="122" t="str">
        <f>IF(_epmOfflineCondition_,"N",_xll.EVPRO($B$1,$H74,"STYLE"))</f>
        <v>N</v>
      </c>
      <c r="J74" s="122" t="str">
        <f>IF(_epmOfflineCondition_,"N",_xll.EVPRO($B$1,$H74,"CALC"))</f>
        <v>N</v>
      </c>
      <c r="K74" s="179" t="str">
        <f t="shared" si="24"/>
        <v/>
      </c>
      <c r="L74" s="90" t="str">
        <f>IF(_epmOfflineCondition_,"701300",_xll.EVPRO($B$1,H74,"JDEID"))</f>
        <v>701300</v>
      </c>
      <c r="M74" s="90" t="str">
        <f>IF(_epmOfflineCondition_,"690205",IF(AND(I74="N",J74="N"),_xll.EVPRO($B$1,H74,"PSFTID"),""))</f>
        <v>690205</v>
      </c>
      <c r="N74" s="90" t="str">
        <f>IF(_epmOfflineCondition_,"Printing &amp; Stationery",IF(_xll.EVDES(H74,$B$1)="#NODATA","",_xll.EVDES(H74,$B$1)))</f>
        <v>Printing &amp; Stationery</v>
      </c>
      <c r="O74" s="143">
        <v>615.29</v>
      </c>
      <c r="P74" s="143">
        <v>2421</v>
      </c>
      <c r="Q74" s="143">
        <v>-245.41</v>
      </c>
      <c r="R74" s="143"/>
      <c r="S74" s="143"/>
      <c r="T74" s="143">
        <v>175.95</v>
      </c>
      <c r="U74" s="143">
        <v>431.21</v>
      </c>
      <c r="V74" s="143">
        <v>41.95</v>
      </c>
      <c r="W74" s="143">
        <v>636.73</v>
      </c>
      <c r="X74" s="143">
        <v>41.95</v>
      </c>
      <c r="Y74" s="143">
        <v>385.17</v>
      </c>
      <c r="Z74" s="143">
        <v>180.97</v>
      </c>
      <c r="AA74" s="143">
        <f t="shared" si="25"/>
        <v>4684.8100000000004</v>
      </c>
      <c r="AB74" s="144">
        <f t="shared" si="26"/>
        <v>1.1515006661732244E-3</v>
      </c>
      <c r="AC74" s="140"/>
      <c r="AD74" s="143">
        <v>9826.7000000000007</v>
      </c>
      <c r="AE74" s="144">
        <f t="shared" si="27"/>
        <v>1.1661195582948398E-3</v>
      </c>
      <c r="AF74" s="145">
        <f t="shared" si="28"/>
        <v>-5141.8900000000003</v>
      </c>
      <c r="AG74" s="143">
        <v>9470.0300000000007</v>
      </c>
      <c r="AH74" s="144">
        <f t="shared" si="29"/>
        <v>1.4937086500128912E-3</v>
      </c>
      <c r="AI74" s="145">
        <f t="shared" si="30"/>
        <v>-4785.22</v>
      </c>
      <c r="AJ74" s="212">
        <f t="shared" si="31"/>
        <v>0.23365635910224442</v>
      </c>
      <c r="AK74" s="213">
        <f t="shared" si="32"/>
        <v>0.26</v>
      </c>
      <c r="AL74" s="214">
        <f t="shared" si="33"/>
        <v>-2.6343640897755594E-2</v>
      </c>
      <c r="AM74" s="215">
        <f t="shared" si="34"/>
        <v>0.28800042576485618</v>
      </c>
      <c r="AN74" s="214">
        <f t="shared" si="35"/>
        <v>-5.4344066662611767E-2</v>
      </c>
      <c r="AO74" s="11"/>
    </row>
    <row r="75" spans="1:41" x14ac:dyDescent="0.35">
      <c r="A75" s="61" t="str">
        <f>IF(_epmOfflineCondition_,"Evdre:Ok",_xll.EVDRE($B$1,A78:B85))</f>
        <v>Evdre:Ok</v>
      </c>
      <c r="B75" s="11" t="s">
        <v>736</v>
      </c>
      <c r="C75" s="11"/>
      <c r="D75" s="11"/>
      <c r="E75" s="11"/>
      <c r="F75" s="11"/>
      <c r="G75" s="11"/>
      <c r="H75" s="88" t="s">
        <v>830</v>
      </c>
      <c r="I75" s="122" t="str">
        <f>IF(_epmOfflineCondition_,"T4",_xll.EVPRO($B$1,$H75,"STYLE"))</f>
        <v>T4</v>
      </c>
      <c r="J75" s="122" t="str">
        <f>IF(_epmOfflineCondition_,"Y",_xll.EVPRO($B$1,$H75,"CALC"))</f>
        <v>Y</v>
      </c>
      <c r="K75" s="179" t="str">
        <f t="shared" si="24"/>
        <v>&gt;</v>
      </c>
      <c r="L75" s="90" t="str">
        <f>IF(_epmOfflineCondition_,"701500",_xll.EVPRO($B$1,H75,"JDEID"))</f>
        <v>701500</v>
      </c>
      <c r="M75" s="90" t="str">
        <f>IF(_epmOfflineCondition_,"",IF(AND(I75="N",J75="N"),_xll.EVPRO($B$1,H75,"PSFTID"),""))</f>
        <v/>
      </c>
      <c r="N75" s="90" t="str">
        <f>IF(_epmOfflineCondition_,"Operating Supplies",IF(_xll.EVDES(H75,$B$1)="#NODATA","",_xll.EVDES(H75,$B$1)))</f>
        <v>Operating Supplies</v>
      </c>
      <c r="O75" s="143">
        <v>3056.31</v>
      </c>
      <c r="P75" s="143">
        <v>2863.29</v>
      </c>
      <c r="Q75" s="143">
        <v>1130.8699999999999</v>
      </c>
      <c r="R75" s="143">
        <v>454.15</v>
      </c>
      <c r="S75" s="143">
        <v>634.34</v>
      </c>
      <c r="T75" s="143">
        <v>1458.22</v>
      </c>
      <c r="U75" s="143">
        <v>1473.91</v>
      </c>
      <c r="V75" s="143">
        <v>457.6</v>
      </c>
      <c r="W75" s="143">
        <v>741.38</v>
      </c>
      <c r="X75" s="143">
        <v>2508.35</v>
      </c>
      <c r="Y75" s="143">
        <v>-21.78</v>
      </c>
      <c r="Z75" s="143">
        <v>2430.3200000000002</v>
      </c>
      <c r="AA75" s="143">
        <f t="shared" si="25"/>
        <v>17186.96</v>
      </c>
      <c r="AB75" s="144">
        <f t="shared" si="26"/>
        <v>4.2244607336247488E-3</v>
      </c>
      <c r="AC75" s="140"/>
      <c r="AD75" s="143">
        <v>39793.129999999997</v>
      </c>
      <c r="AE75" s="144">
        <f t="shared" si="27"/>
        <v>4.7221902753487059E-3</v>
      </c>
      <c r="AF75" s="145">
        <f t="shared" si="28"/>
        <v>-22606.17</v>
      </c>
      <c r="AG75" s="143">
        <v>33566.22</v>
      </c>
      <c r="AH75" s="144">
        <f t="shared" si="29"/>
        <v>5.2944027803751102E-3</v>
      </c>
      <c r="AI75" s="145">
        <f t="shared" si="30"/>
        <v>-16379.260000000002</v>
      </c>
      <c r="AJ75" s="212">
        <f t="shared" si="31"/>
        <v>0.85720498753117202</v>
      </c>
      <c r="AK75" s="213">
        <f t="shared" si="32"/>
        <v>1.0528675750760681</v>
      </c>
      <c r="AL75" s="214">
        <f t="shared" si="33"/>
        <v>-0.19566258754489607</v>
      </c>
      <c r="AM75" s="215">
        <f t="shared" si="34"/>
        <v>1.0208083449911807</v>
      </c>
      <c r="AN75" s="214">
        <f t="shared" si="35"/>
        <v>-0.16360335746000865</v>
      </c>
      <c r="AO75" s="11"/>
    </row>
    <row r="76" spans="1:41" x14ac:dyDescent="0.35">
      <c r="A76" s="11"/>
      <c r="B76" s="11"/>
      <c r="C76" s="11"/>
      <c r="D76" s="11"/>
      <c r="E76" s="11"/>
      <c r="F76" s="11"/>
      <c r="G76" s="11"/>
      <c r="H76" s="88" t="s">
        <v>861</v>
      </c>
      <c r="I76" s="122" t="str">
        <f>IF(_epmOfflineCondition_,"N",_xll.EVPRO($B$1,$H76,"STYLE"))</f>
        <v>N</v>
      </c>
      <c r="J76" s="122" t="str">
        <f>IF(_epmOfflineCondition_,"N",_xll.EVPRO($B$1,$H76,"CALC"))</f>
        <v>N</v>
      </c>
      <c r="K76" s="179" t="str">
        <f t="shared" si="24"/>
        <v/>
      </c>
      <c r="L76" s="90" t="str">
        <f>IF(_epmOfflineCondition_,"701600",_xll.EVPRO($B$1,H76,"JDEID"))</f>
        <v>701600</v>
      </c>
      <c r="M76" s="90" t="str">
        <f>IF(_epmOfflineCondition_,"590015",IF(AND(I76="N",J76="N"),_xll.EVPRO($B$1,H76,"PSFTID"),""))</f>
        <v>590015</v>
      </c>
      <c r="N76" s="90" t="str">
        <f>IF(_epmOfflineCondition_,"Cleaning Supplies",IF(_xll.EVDES(H76,$B$1)="#NODATA","",_xll.EVDES(H76,$B$1)))</f>
        <v>Cleaning Supplies</v>
      </c>
      <c r="O76" s="143">
        <v>1731.49</v>
      </c>
      <c r="P76" s="143">
        <v>2365.62</v>
      </c>
      <c r="Q76" s="143">
        <v>-560.64</v>
      </c>
      <c r="R76" s="143"/>
      <c r="S76" s="143">
        <v>75.959999999999994</v>
      </c>
      <c r="T76" s="143">
        <v>2175.89</v>
      </c>
      <c r="U76" s="143">
        <v>70.66</v>
      </c>
      <c r="V76" s="143">
        <v>59.21</v>
      </c>
      <c r="W76" s="143">
        <v>994.03</v>
      </c>
      <c r="X76" s="143">
        <v>1015.46</v>
      </c>
      <c r="Y76" s="143">
        <v>1517.5</v>
      </c>
      <c r="Z76" s="143">
        <v>924.86</v>
      </c>
      <c r="AA76" s="143">
        <f t="shared" si="25"/>
        <v>10370.040000000001</v>
      </c>
      <c r="AB76" s="144">
        <f t="shared" si="26"/>
        <v>2.5488990947856974E-3</v>
      </c>
      <c r="AC76" s="140"/>
      <c r="AD76" s="143">
        <v>13606.2</v>
      </c>
      <c r="AE76" s="144">
        <f t="shared" si="27"/>
        <v>1.614627080715932E-3</v>
      </c>
      <c r="AF76" s="145">
        <f t="shared" si="28"/>
        <v>-3236.16</v>
      </c>
      <c r="AG76" s="143">
        <v>13545.97</v>
      </c>
      <c r="AH76" s="144">
        <f t="shared" si="29"/>
        <v>2.1366070183320564E-3</v>
      </c>
      <c r="AI76" s="145">
        <f t="shared" si="30"/>
        <v>-3175.9299999999985</v>
      </c>
      <c r="AJ76" s="212">
        <f t="shared" si="31"/>
        <v>0.51720897755610973</v>
      </c>
      <c r="AK76" s="213">
        <f t="shared" si="32"/>
        <v>0.36000000000000004</v>
      </c>
      <c r="AL76" s="214">
        <f t="shared" si="33"/>
        <v>0.15720897755610969</v>
      </c>
      <c r="AM76" s="215">
        <f t="shared" si="34"/>
        <v>0.4119569977495286</v>
      </c>
      <c r="AN76" s="214">
        <f t="shared" si="35"/>
        <v>0.10525197980658113</v>
      </c>
      <c r="AO76" s="11"/>
    </row>
    <row r="77" spans="1:41" x14ac:dyDescent="0.35">
      <c r="A77" s="62" t="s">
        <v>0</v>
      </c>
      <c r="B77" s="63" t="s">
        <v>1</v>
      </c>
      <c r="C77" s="11"/>
      <c r="D77" s="11"/>
      <c r="E77" s="11"/>
      <c r="F77" s="11"/>
      <c r="G77" s="11"/>
      <c r="H77" s="88" t="s">
        <v>930</v>
      </c>
      <c r="I77" s="122" t="str">
        <f>IF(_epmOfflineCondition_,"N",_xll.EVPRO($B$1,$H77,"STYLE"))</f>
        <v>N</v>
      </c>
      <c r="J77" s="122" t="str">
        <f>IF(_epmOfflineCondition_,"N",_xll.EVPRO($B$1,$H77,"CALC"))</f>
        <v>N</v>
      </c>
      <c r="K77" s="179" t="str">
        <f t="shared" si="24"/>
        <v/>
      </c>
      <c r="L77" s="90" t="str">
        <f>IF(_epmOfflineCondition_,"701800",_xll.EVPRO($B$1,H77,"JDEID"))</f>
        <v>701800</v>
      </c>
      <c r="M77" s="90" t="str">
        <f>IF(_epmOfflineCondition_,"590020",IF(AND(I77="N",J77="N"),_xll.EVPRO($B$1,H77,"PSFTID"),""))</f>
        <v>590020</v>
      </c>
      <c r="N77" s="90" t="str">
        <f>IF(_epmOfflineCondition_,"Guest Supplies",IF(_xll.EVDES(H77,$B$1)="#NODATA","",_xll.EVDES(H77,$B$1)))</f>
        <v>Guest Supplies</v>
      </c>
      <c r="O77" s="143">
        <v>3338.29</v>
      </c>
      <c r="P77" s="143">
        <v>2435.1799999999998</v>
      </c>
      <c r="Q77" s="143">
        <v>4671.25</v>
      </c>
      <c r="R77" s="143"/>
      <c r="S77" s="143">
        <v>204.8</v>
      </c>
      <c r="T77" s="143">
        <v>479.34</v>
      </c>
      <c r="U77" s="143">
        <v>551.23</v>
      </c>
      <c r="V77" s="143">
        <v>583.4</v>
      </c>
      <c r="W77" s="143">
        <v>1335.94</v>
      </c>
      <c r="X77" s="143">
        <v>1066.6400000000001</v>
      </c>
      <c r="Y77" s="143">
        <v>1336.29</v>
      </c>
      <c r="Z77" s="143">
        <v>1217.46</v>
      </c>
      <c r="AA77" s="143">
        <f t="shared" si="25"/>
        <v>17219.819999999996</v>
      </c>
      <c r="AB77" s="144">
        <f t="shared" si="26"/>
        <v>4.2325375418390517E-3</v>
      </c>
      <c r="AC77" s="140"/>
      <c r="AD77" s="143">
        <v>43086.3</v>
      </c>
      <c r="AE77" s="144">
        <f t="shared" si="27"/>
        <v>5.1129857556004507E-3</v>
      </c>
      <c r="AF77" s="145">
        <f t="shared" si="28"/>
        <v>-25866.480000000007</v>
      </c>
      <c r="AG77" s="143">
        <v>41763.35</v>
      </c>
      <c r="AH77" s="144">
        <f t="shared" si="29"/>
        <v>6.5873368034225733E-3</v>
      </c>
      <c r="AI77" s="145">
        <f t="shared" si="30"/>
        <v>-24543.530000000002</v>
      </c>
      <c r="AJ77" s="212">
        <f t="shared" si="31"/>
        <v>0.85884389027431407</v>
      </c>
      <c r="AK77" s="213">
        <f t="shared" si="32"/>
        <v>1.1400000000000001</v>
      </c>
      <c r="AL77" s="214">
        <f t="shared" si="33"/>
        <v>-0.28115610972568605</v>
      </c>
      <c r="AM77" s="215">
        <f t="shared" si="34"/>
        <v>1.2700976217991606</v>
      </c>
      <c r="AN77" s="214">
        <f t="shared" si="35"/>
        <v>-0.41125373152484657</v>
      </c>
      <c r="AO77" s="11"/>
    </row>
    <row r="78" spans="1:41" x14ac:dyDescent="0.35">
      <c r="A78" s="65" t="s">
        <v>2</v>
      </c>
      <c r="B78" s="66" t="str">
        <f>IF(_epmOfflineCondition_,"'Rooms'!$B$2:$B$10",_xll.EVRNG($B$2:$B$10))</f>
        <v>'Rooms'!$B$2:$B$10</v>
      </c>
      <c r="C78" s="11"/>
      <c r="D78" s="11"/>
      <c r="E78" s="11"/>
      <c r="F78" s="11"/>
      <c r="G78" s="11"/>
      <c r="H78" s="88" t="s">
        <v>831</v>
      </c>
      <c r="I78" s="122" t="str">
        <f>IF(_epmOfflineCondition_,"N",_xll.EVPRO($B$1,$H78,"STYLE"))</f>
        <v>N</v>
      </c>
      <c r="J78" s="122" t="str">
        <f>IF(_epmOfflineCondition_,"N",_xll.EVPRO($B$1,$H78,"CALC"))</f>
        <v>N</v>
      </c>
      <c r="K78" s="179" t="str">
        <f t="shared" si="24"/>
        <v/>
      </c>
      <c r="L78" s="90" t="str">
        <f>IF(_epmOfflineCondition_,"702300",_xll.EVPRO($B$1,H78,"JDEID"))</f>
        <v>702300</v>
      </c>
      <c r="M78" s="90" t="str">
        <f>IF(_epmOfflineCondition_,"590040",IF(AND(I78="N",J78="N"),_xll.EVPRO($B$1,H78,"PSFTID"),""))</f>
        <v>590040</v>
      </c>
      <c r="N78" s="90" t="str">
        <f>IF(_epmOfflineCondition_,"Decorations",IF(_xll.EVDES(H78,$B$1)="#NODATA","",_xll.EVDES(H78,$B$1)))</f>
        <v>Decorations</v>
      </c>
      <c r="O78" s="143">
        <v>-26.15</v>
      </c>
      <c r="P78" s="143">
        <v>1062.94</v>
      </c>
      <c r="Q78" s="143">
        <v>19.260000000000002</v>
      </c>
      <c r="R78" s="143"/>
      <c r="S78" s="143"/>
      <c r="T78" s="143">
        <v>130.97</v>
      </c>
      <c r="U78" s="143"/>
      <c r="V78" s="143"/>
      <c r="W78" s="143"/>
      <c r="X78" s="143">
        <v>21.98</v>
      </c>
      <c r="Y78" s="143"/>
      <c r="Z78" s="143">
        <v>1156.01</v>
      </c>
      <c r="AA78" s="143">
        <f t="shared" si="25"/>
        <v>2365.0100000000002</v>
      </c>
      <c r="AB78" s="144">
        <f t="shared" si="26"/>
        <v>5.813065184087161E-4</v>
      </c>
      <c r="AC78" s="140"/>
      <c r="AD78" s="143">
        <v>13460</v>
      </c>
      <c r="AE78" s="144">
        <f t="shared" si="27"/>
        <v>1.5972777488524675E-3</v>
      </c>
      <c r="AF78" s="145">
        <f t="shared" si="28"/>
        <v>-11094.99</v>
      </c>
      <c r="AG78" s="143">
        <v>3604.69</v>
      </c>
      <c r="AH78" s="144">
        <f t="shared" si="29"/>
        <v>5.6856806510802692E-4</v>
      </c>
      <c r="AI78" s="145">
        <f t="shared" si="30"/>
        <v>-1239.6799999999998</v>
      </c>
      <c r="AJ78" s="212">
        <f t="shared" si="31"/>
        <v>0.11795561097256858</v>
      </c>
      <c r="AK78" s="213">
        <f t="shared" si="32"/>
        <v>0.35613176346077524</v>
      </c>
      <c r="AL78" s="214">
        <f t="shared" si="33"/>
        <v>-0.23817615248820667</v>
      </c>
      <c r="AM78" s="215">
        <f t="shared" si="34"/>
        <v>0.10962502280883159</v>
      </c>
      <c r="AN78" s="214">
        <f t="shared" si="35"/>
        <v>8.3305881637369961E-3</v>
      </c>
      <c r="AO78" s="11"/>
    </row>
    <row r="79" spans="1:41" x14ac:dyDescent="0.35">
      <c r="A79" s="65" t="s">
        <v>3</v>
      </c>
      <c r="B79" s="66" t="str">
        <f>IF(_epmOfflineCondition_,"'Rooms'!$O$16:$AN$18",_xll.EVRNG($O$16:$AN$18))</f>
        <v>'Rooms'!$O$16:$AN$18</v>
      </c>
      <c r="C79" s="11"/>
      <c r="D79" s="11"/>
      <c r="E79" s="11"/>
      <c r="F79" s="11"/>
      <c r="G79" s="11"/>
      <c r="H79" s="88" t="s">
        <v>931</v>
      </c>
      <c r="I79" s="122" t="str">
        <f>IF(_epmOfflineCondition_,"T4",_xll.EVPRO($B$1,$H79,"STYLE"))</f>
        <v>T4</v>
      </c>
      <c r="J79" s="122" t="str">
        <f>IF(_epmOfflineCondition_,"Y",_xll.EVPRO($B$1,$H79,"CALC"))</f>
        <v>Y</v>
      </c>
      <c r="K79" s="179" t="str">
        <f t="shared" si="24"/>
        <v>&gt;</v>
      </c>
      <c r="L79" s="90" t="str">
        <f>IF(_epmOfflineCondition_,"702500",_xll.EVPRO($B$1,H79,"JDEID"))</f>
        <v>702500</v>
      </c>
      <c r="M79" s="90" t="str">
        <f>IF(_epmOfflineCondition_,"",IF(AND(I79="N",J79="N"),_xll.EVPRO($B$1,H79,"PSFTID"),""))</f>
        <v/>
      </c>
      <c r="N79" s="90" t="str">
        <f>IF(_epmOfflineCondition_,"Laundry &amp; Dry Cleaning",IF(_xll.EVDES(H79,$B$1)="#NODATA","",_xll.EVDES(H79,$B$1)))</f>
        <v>Laundry &amp; Dry Cleaning</v>
      </c>
      <c r="O79" s="143">
        <v>11341.66</v>
      </c>
      <c r="P79" s="143">
        <v>16705.060000000001</v>
      </c>
      <c r="Q79" s="143">
        <v>9326.9</v>
      </c>
      <c r="R79" s="143"/>
      <c r="S79" s="143"/>
      <c r="T79" s="143">
        <v>2740.3</v>
      </c>
      <c r="U79" s="143">
        <v>1599.84</v>
      </c>
      <c r="V79" s="143">
        <v>5256.64</v>
      </c>
      <c r="W79" s="143">
        <v>7261.74</v>
      </c>
      <c r="X79" s="143">
        <v>7436.08</v>
      </c>
      <c r="Y79" s="143">
        <v>6968.74</v>
      </c>
      <c r="Z79" s="143">
        <v>9769.08</v>
      </c>
      <c r="AA79" s="143">
        <f t="shared" si="25"/>
        <v>78406.040000000008</v>
      </c>
      <c r="AB79" s="144">
        <f t="shared" si="26"/>
        <v>1.927177565194842E-2</v>
      </c>
      <c r="AC79" s="140"/>
      <c r="AD79" s="143">
        <v>188520.83</v>
      </c>
      <c r="AE79" s="144">
        <f t="shared" si="27"/>
        <v>2.2371480457221298E-2</v>
      </c>
      <c r="AF79" s="145">
        <f t="shared" si="28"/>
        <v>-110114.78999999998</v>
      </c>
      <c r="AG79" s="143">
        <v>159263.99</v>
      </c>
      <c r="AH79" s="144">
        <f t="shared" si="29"/>
        <v>2.5120722901465633E-2</v>
      </c>
      <c r="AI79" s="145">
        <f t="shared" si="30"/>
        <v>-80857.949999999983</v>
      </c>
      <c r="AJ79" s="212">
        <f t="shared" si="31"/>
        <v>3.9105256857855366</v>
      </c>
      <c r="AK79" s="213">
        <f t="shared" si="32"/>
        <v>4.987983331128456</v>
      </c>
      <c r="AL79" s="214">
        <f t="shared" si="33"/>
        <v>-1.0774576453429194</v>
      </c>
      <c r="AM79" s="215">
        <f t="shared" si="34"/>
        <v>4.8435006994708347</v>
      </c>
      <c r="AN79" s="214">
        <f t="shared" si="35"/>
        <v>-0.93297501368529812</v>
      </c>
      <c r="AO79" s="11"/>
    </row>
    <row r="80" spans="1:41" x14ac:dyDescent="0.35">
      <c r="A80" s="65" t="s">
        <v>4</v>
      </c>
      <c r="B80" s="66" t="str">
        <f>IF(_epmOfflineCondition_,"'Rooms'!$H$97:$H$100",_xll.EVRNG(H97:H100))</f>
        <v>'Rooms'!$H$97:$H$100</v>
      </c>
      <c r="C80" s="11"/>
      <c r="D80" s="11"/>
      <c r="E80" s="11"/>
      <c r="F80" s="11"/>
      <c r="G80" s="11"/>
      <c r="H80" s="88" t="s">
        <v>832</v>
      </c>
      <c r="I80" s="122" t="str">
        <f>IF(_epmOfflineCondition_,"T4",_xll.EVPRO($B$1,$H80,"STYLE"))</f>
        <v>T4</v>
      </c>
      <c r="J80" s="122" t="str">
        <f>IF(_epmOfflineCondition_,"Y",_xll.EVPRO($B$1,$H80,"CALC"))</f>
        <v>Y</v>
      </c>
      <c r="K80" s="179" t="str">
        <f t="shared" si="24"/>
        <v>&gt;</v>
      </c>
      <c r="L80" s="90" t="str">
        <f>IF(_epmOfflineCondition_,"",_xll.EVPRO($B$1,H80,"JDEID"))</f>
        <v/>
      </c>
      <c r="M80" s="90" t="str">
        <f>IF(_epmOfflineCondition_,"",IF(AND(I80="N",J80="N"),_xll.EVPRO($B$1,H80,"PSFTID"),""))</f>
        <v/>
      </c>
      <c r="N80" s="90" t="str">
        <f>IF(_epmOfflineCondition_,"Contract Services",IF(_xll.EVDES(H80,$B$1)="#NODATA","",_xll.EVDES(H80,$B$1)))</f>
        <v>Contract Services</v>
      </c>
      <c r="O80" s="143">
        <v>2064.75</v>
      </c>
      <c r="P80" s="143">
        <v>950</v>
      </c>
      <c r="Q80" s="143">
        <v>2065.09</v>
      </c>
      <c r="R80" s="143"/>
      <c r="S80" s="143">
        <v>1156</v>
      </c>
      <c r="T80" s="143">
        <v>1215</v>
      </c>
      <c r="U80" s="143">
        <v>735</v>
      </c>
      <c r="V80" s="143">
        <v>200</v>
      </c>
      <c r="W80" s="143">
        <v>885</v>
      </c>
      <c r="X80" s="143">
        <v>1220</v>
      </c>
      <c r="Y80" s="143">
        <v>1589</v>
      </c>
      <c r="Z80" s="143">
        <v>1665</v>
      </c>
      <c r="AA80" s="143">
        <f t="shared" si="25"/>
        <v>13744.84</v>
      </c>
      <c r="AB80" s="144">
        <f t="shared" si="26"/>
        <v>3.3784064703679295E-3</v>
      </c>
      <c r="AC80" s="140"/>
      <c r="AD80" s="143">
        <v>45220</v>
      </c>
      <c r="AE80" s="144">
        <f t="shared" si="27"/>
        <v>5.3661886926529402E-3</v>
      </c>
      <c r="AF80" s="145">
        <f t="shared" si="28"/>
        <v>-31475.16</v>
      </c>
      <c r="AG80" s="143">
        <v>54741.120000000003</v>
      </c>
      <c r="AH80" s="144">
        <f t="shared" si="29"/>
        <v>8.6343215866680131E-3</v>
      </c>
      <c r="AI80" s="145">
        <f t="shared" si="30"/>
        <v>-40996.28</v>
      </c>
      <c r="AJ80" s="212">
        <f t="shared" si="31"/>
        <v>0.68552817955112222</v>
      </c>
      <c r="AK80" s="213">
        <f t="shared" si="32"/>
        <v>1.1964545574811483</v>
      </c>
      <c r="AL80" s="214">
        <f t="shared" si="33"/>
        <v>-0.51092637793002604</v>
      </c>
      <c r="AM80" s="215">
        <f t="shared" si="34"/>
        <v>1.6647746487439938</v>
      </c>
      <c r="AN80" s="214">
        <f t="shared" si="35"/>
        <v>-0.97924646919287162</v>
      </c>
      <c r="AO80" s="11"/>
    </row>
    <row r="81" spans="1:41" x14ac:dyDescent="0.35">
      <c r="A81" s="65" t="s">
        <v>5</v>
      </c>
      <c r="B81" s="66"/>
      <c r="C81" s="11"/>
      <c r="D81" s="11"/>
      <c r="E81" s="11"/>
      <c r="F81" s="11"/>
      <c r="G81" s="11"/>
      <c r="H81" s="88" t="s">
        <v>833</v>
      </c>
      <c r="I81" s="122" t="str">
        <f>IF(_epmOfflineCondition_,"T4",_xll.EVPRO($B$1,$H81,"STYLE"))</f>
        <v>T4</v>
      </c>
      <c r="J81" s="122" t="str">
        <f>IF(_epmOfflineCondition_,"Y",_xll.EVPRO($B$1,$H81,"CALC"))</f>
        <v>Y</v>
      </c>
      <c r="K81" s="179" t="str">
        <f t="shared" si="24"/>
        <v>&gt;</v>
      </c>
      <c r="L81" s="90" t="str">
        <f>IF(_epmOfflineCondition_,"",_xll.EVPRO($B$1,H81,"JDEID"))</f>
        <v/>
      </c>
      <c r="M81" s="90" t="str">
        <f>IF(_epmOfflineCondition_,"",IF(AND(I81="N",J81="N"),_xll.EVPRO($B$1,H81,"PSFTID"),""))</f>
        <v/>
      </c>
      <c r="N81" s="90" t="str">
        <f>IF(_epmOfflineCondition_,"Travel - Other",IF(_xll.EVDES(H81,$B$1)="#NODATA","",_xll.EVDES(H81,$B$1)))</f>
        <v>Travel - Other</v>
      </c>
      <c r="O81" s="143">
        <v>288.7</v>
      </c>
      <c r="P81" s="143">
        <v>257.17</v>
      </c>
      <c r="Q81" s="143">
        <v>79.48</v>
      </c>
      <c r="R81" s="143"/>
      <c r="S81" s="143"/>
      <c r="T81" s="143"/>
      <c r="U81" s="143"/>
      <c r="V81" s="143"/>
      <c r="W81" s="143">
        <v>0.36</v>
      </c>
      <c r="X81" s="143"/>
      <c r="Y81" s="143"/>
      <c r="Z81" s="143">
        <v>19.71</v>
      </c>
      <c r="AA81" s="143">
        <f t="shared" si="25"/>
        <v>645.42000000000007</v>
      </c>
      <c r="AB81" s="144">
        <f t="shared" si="26"/>
        <v>1.586407047375502E-4</v>
      </c>
      <c r="AC81" s="140"/>
      <c r="AD81" s="143">
        <v>1196.0000000004</v>
      </c>
      <c r="AE81" s="144">
        <f t="shared" si="27"/>
        <v>1.4192750279555646E-4</v>
      </c>
      <c r="AF81" s="145">
        <f t="shared" si="28"/>
        <v>-550.58000000039988</v>
      </c>
      <c r="AG81" s="143">
        <v>1294.93</v>
      </c>
      <c r="AH81" s="144">
        <f t="shared" si="29"/>
        <v>2.042494207685924E-4</v>
      </c>
      <c r="AI81" s="145">
        <f t="shared" si="30"/>
        <v>-649.51</v>
      </c>
      <c r="AJ81" s="212">
        <f t="shared" si="31"/>
        <v>3.2190523690773069E-2</v>
      </c>
      <c r="AK81" s="213">
        <f t="shared" si="32"/>
        <v>3.164439740707501E-2</v>
      </c>
      <c r="AL81" s="214">
        <f t="shared" si="33"/>
        <v>5.4612628369805905E-4</v>
      </c>
      <c r="AM81" s="215">
        <f t="shared" si="34"/>
        <v>3.938112036980719E-2</v>
      </c>
      <c r="AN81" s="214">
        <f t="shared" si="35"/>
        <v>-7.1905966790341211E-3</v>
      </c>
      <c r="AO81" s="11"/>
    </row>
    <row r="82" spans="1:41" x14ac:dyDescent="0.35">
      <c r="A82" s="65" t="s">
        <v>6</v>
      </c>
      <c r="B82" s="66"/>
      <c r="C82" s="11"/>
      <c r="D82" s="11"/>
      <c r="E82" s="11"/>
      <c r="F82" s="11"/>
      <c r="G82" s="11"/>
      <c r="H82" s="88" t="s">
        <v>834</v>
      </c>
      <c r="I82" s="122" t="str">
        <f>IF(_epmOfflineCondition_,"T4",_xll.EVPRO($B$1,$H82,"STYLE"))</f>
        <v>T4</v>
      </c>
      <c r="J82" s="122" t="str">
        <f>IF(_epmOfflineCondition_,"Y",_xll.EVPRO($B$1,$H82,"CALC"))</f>
        <v>Y</v>
      </c>
      <c r="K82" s="179" t="str">
        <f t="shared" si="24"/>
        <v>&gt;</v>
      </c>
      <c r="L82" s="90" t="str">
        <f>IF(_epmOfflineCondition_,"702900",_xll.EVPRO($B$1,H82,"JDEID"))</f>
        <v>702900</v>
      </c>
      <c r="M82" s="90" t="str">
        <f>IF(_epmOfflineCondition_,"",IF(AND(I82="N",J82="N"),_xll.EVPRO($B$1,H82,"PSFTID"),""))</f>
        <v/>
      </c>
      <c r="N82" s="90" t="str">
        <f>IF(_epmOfflineCondition_,"Travel - Meals &amp; Entertainment",IF(_xll.EVDES(H82,$B$1)="#NODATA","",_xll.EVDES(H82,$B$1)))</f>
        <v>Travel - Meals &amp; Entertainment</v>
      </c>
      <c r="O82" s="143">
        <v>27.67</v>
      </c>
      <c r="P82" s="143">
        <v>149.84</v>
      </c>
      <c r="Q82" s="143">
        <v>8.02</v>
      </c>
      <c r="R82" s="143"/>
      <c r="S82" s="143"/>
      <c r="T82" s="143"/>
      <c r="U82" s="143"/>
      <c r="V82" s="143"/>
      <c r="W82" s="143"/>
      <c r="X82" s="143"/>
      <c r="Y82" s="143"/>
      <c r="Z82" s="143"/>
      <c r="AA82" s="143">
        <f t="shared" si="25"/>
        <v>185.53</v>
      </c>
      <c r="AB82" s="144">
        <f t="shared" si="26"/>
        <v>4.5602258916608851E-5</v>
      </c>
      <c r="AC82" s="140"/>
      <c r="AD82" s="143">
        <v>718</v>
      </c>
      <c r="AE82" s="144">
        <f t="shared" si="27"/>
        <v>8.5203969069544693E-5</v>
      </c>
      <c r="AF82" s="145">
        <f t="shared" si="28"/>
        <v>-532.47</v>
      </c>
      <c r="AG82" s="143">
        <v>749.7</v>
      </c>
      <c r="AH82" s="144">
        <f t="shared" si="29"/>
        <v>1.1825024576634547E-4</v>
      </c>
      <c r="AI82" s="145">
        <f t="shared" si="30"/>
        <v>-564.17000000000007</v>
      </c>
      <c r="AJ82" s="212">
        <f t="shared" si="31"/>
        <v>9.2533665835411467E-3</v>
      </c>
      <c r="AK82" s="213">
        <f t="shared" si="32"/>
        <v>1.8997221854742691E-2</v>
      </c>
      <c r="AL82" s="214">
        <f t="shared" si="33"/>
        <v>-9.7438552712015448E-3</v>
      </c>
      <c r="AM82" s="215">
        <f t="shared" si="34"/>
        <v>2.2799708046955781E-2</v>
      </c>
      <c r="AN82" s="214">
        <f t="shared" si="35"/>
        <v>-1.3546341463414635E-2</v>
      </c>
      <c r="AO82" s="11"/>
    </row>
    <row r="83" spans="1:41" x14ac:dyDescent="0.35">
      <c r="A83" s="65" t="s">
        <v>7</v>
      </c>
      <c r="B83" s="66"/>
      <c r="C83" s="11"/>
      <c r="D83" s="11"/>
      <c r="E83" s="11"/>
      <c r="F83" s="11"/>
      <c r="G83" s="11"/>
      <c r="H83" s="88" t="s">
        <v>932</v>
      </c>
      <c r="I83" s="122" t="str">
        <f>IF(_epmOfflineCondition_,"N",_xll.EVPRO($B$1,$H83,"STYLE"))</f>
        <v>N</v>
      </c>
      <c r="J83" s="122" t="str">
        <f>IF(_epmOfflineCondition_,"N",_xll.EVPRO($B$1,$H83,"CALC"))</f>
        <v>N</v>
      </c>
      <c r="K83" s="179" t="str">
        <f t="shared" si="24"/>
        <v/>
      </c>
      <c r="L83" s="90" t="str">
        <f>IF(_epmOfflineCondition_,"703010",_xll.EVPRO($B$1,H83,"JDEID"))</f>
        <v>703010</v>
      </c>
      <c r="M83" s="90" t="str">
        <f>IF(_epmOfflineCondition_,"590021",IF(AND(I83="N",J83="N"),_xll.EVPRO($B$1,H83,"PSFTID"),""))</f>
        <v>590021</v>
      </c>
      <c r="N83" s="90" t="str">
        <f>IF(_epmOfflineCondition_,"Complimentary Food &amp; Beverage",IF(_xll.EVDES(H83,$B$1)="#NODATA","",_xll.EVDES(H83,$B$1)))</f>
        <v>Complimentary Food &amp; Beverage</v>
      </c>
      <c r="O83" s="143">
        <v>5967.13</v>
      </c>
      <c r="P83" s="143">
        <v>3943.67</v>
      </c>
      <c r="Q83" s="143">
        <v>1490.3</v>
      </c>
      <c r="R83" s="143"/>
      <c r="S83" s="143"/>
      <c r="T83" s="143">
        <v>529.76</v>
      </c>
      <c r="U83" s="143">
        <v>118.03</v>
      </c>
      <c r="V83" s="143">
        <v>322.11</v>
      </c>
      <c r="W83" s="143">
        <v>805.33</v>
      </c>
      <c r="X83" s="143">
        <v>777.14</v>
      </c>
      <c r="Y83" s="143">
        <v>933.82</v>
      </c>
      <c r="Z83" s="143">
        <v>2015.53</v>
      </c>
      <c r="AA83" s="143">
        <f t="shared" si="25"/>
        <v>16902.82</v>
      </c>
      <c r="AB83" s="144">
        <f t="shared" si="26"/>
        <v>4.1546206762293663E-3</v>
      </c>
      <c r="AC83" s="140"/>
      <c r="AD83" s="143">
        <v>53066</v>
      </c>
      <c r="AE83" s="144">
        <f t="shared" si="27"/>
        <v>6.2972615914268226E-3</v>
      </c>
      <c r="AF83" s="145">
        <f t="shared" si="28"/>
        <v>-36163.18</v>
      </c>
      <c r="AG83" s="143">
        <v>60274.28</v>
      </c>
      <c r="AH83" s="144">
        <f t="shared" si="29"/>
        <v>9.5070673914759516E-3</v>
      </c>
      <c r="AI83" s="145">
        <f t="shared" si="30"/>
        <v>-43371.46</v>
      </c>
      <c r="AJ83" s="212">
        <f t="shared" si="31"/>
        <v>0.84303341645885288</v>
      </c>
      <c r="AK83" s="213">
        <f t="shared" si="32"/>
        <v>1.4040481545177934</v>
      </c>
      <c r="AL83" s="214">
        <f t="shared" si="33"/>
        <v>-0.56101473805894053</v>
      </c>
      <c r="AM83" s="215">
        <f t="shared" si="34"/>
        <v>1.8330478681345417</v>
      </c>
      <c r="AN83" s="214">
        <f t="shared" si="35"/>
        <v>-0.9900144516756888</v>
      </c>
      <c r="AO83" s="11"/>
    </row>
    <row r="84" spans="1:41" x14ac:dyDescent="0.35">
      <c r="A84" s="65" t="s">
        <v>47</v>
      </c>
      <c r="B84" s="66" t="str">
        <f>IF(_epmOfflineCondition_,"'Rooms'!$A$89:$B$110",_xll.EVRNG($A$89:$B$110))</f>
        <v>'Rooms'!$A$89:$B$110</v>
      </c>
      <c r="C84" s="11"/>
      <c r="D84" s="11"/>
      <c r="E84" s="11"/>
      <c r="F84" s="11"/>
      <c r="G84" s="11"/>
      <c r="H84" s="88" t="s">
        <v>835</v>
      </c>
      <c r="I84" s="122" t="str">
        <f>IF(_epmOfflineCondition_,"T4",_xll.EVPRO($B$1,$H84,"STYLE"))</f>
        <v>T4</v>
      </c>
      <c r="J84" s="122" t="str">
        <f>IF(_epmOfflineCondition_,"Y",_xll.EVPRO($B$1,$H84,"CALC"))</f>
        <v>Y</v>
      </c>
      <c r="K84" s="179" t="str">
        <f t="shared" si="24"/>
        <v>&gt;</v>
      </c>
      <c r="L84" s="90" t="str">
        <f>IF(_epmOfflineCondition_,"703000",_xll.EVPRO($B$1,H84,"JDEID"))</f>
        <v>703000</v>
      </c>
      <c r="M84" s="90" t="str">
        <f>IF(_epmOfflineCondition_,"",IF(AND(I84="N",J84="N"),_xll.EVPRO($B$1,H84,"PSFTID"),""))</f>
        <v/>
      </c>
      <c r="N84" s="90" t="str">
        <f>IF(_epmOfflineCondition_,"Complimentary Services &amp; Gifts",IF(_xll.EVDES(H84,$B$1)="#NODATA","",_xll.EVDES(H84,$B$1)))</f>
        <v>Complimentary Services &amp; Gifts</v>
      </c>
      <c r="O84" s="143">
        <v>5215.8</v>
      </c>
      <c r="P84" s="143">
        <v>3777.1</v>
      </c>
      <c r="Q84" s="143">
        <v>2274.8000000000002</v>
      </c>
      <c r="R84" s="143">
        <v>1561.76</v>
      </c>
      <c r="S84" s="143"/>
      <c r="T84" s="143">
        <v>300.7</v>
      </c>
      <c r="U84" s="143">
        <v>372</v>
      </c>
      <c r="V84" s="143">
        <v>1272.6199999999999</v>
      </c>
      <c r="W84" s="143">
        <v>876.91</v>
      </c>
      <c r="X84" s="143">
        <v>1249.57</v>
      </c>
      <c r="Y84" s="143">
        <v>1959.13</v>
      </c>
      <c r="Z84" s="143">
        <v>1561.64</v>
      </c>
      <c r="AA84" s="143">
        <f t="shared" si="25"/>
        <v>20422.030000000002</v>
      </c>
      <c r="AB84" s="144">
        <f t="shared" si="26"/>
        <v>5.0196232397065358E-3</v>
      </c>
      <c r="AC84" s="140"/>
      <c r="AD84" s="143">
        <v>51565.68</v>
      </c>
      <c r="AE84" s="144">
        <f t="shared" si="27"/>
        <v>6.119220896615654E-3</v>
      </c>
      <c r="AF84" s="145">
        <f t="shared" si="28"/>
        <v>-31143.649999999998</v>
      </c>
      <c r="AG84" s="143">
        <v>50859.72</v>
      </c>
      <c r="AH84" s="144">
        <f t="shared" si="29"/>
        <v>8.0221080293550965E-3</v>
      </c>
      <c r="AI84" s="145">
        <f t="shared" si="30"/>
        <v>-30437.69</v>
      </c>
      <c r="AJ84" s="212">
        <f t="shared" si="31"/>
        <v>1.0185551122194514</v>
      </c>
      <c r="AK84" s="213">
        <f t="shared" si="32"/>
        <v>1.3643518983992591</v>
      </c>
      <c r="AL84" s="214">
        <f t="shared" si="33"/>
        <v>-0.34579678617980769</v>
      </c>
      <c r="AM84" s="215">
        <f t="shared" si="34"/>
        <v>1.5467343835533118</v>
      </c>
      <c r="AN84" s="214">
        <f t="shared" si="35"/>
        <v>-0.52817927133386045</v>
      </c>
      <c r="AO84" s="11"/>
    </row>
    <row r="85" spans="1:41" x14ac:dyDescent="0.35">
      <c r="A85" s="65" t="s">
        <v>8</v>
      </c>
      <c r="B85" s="66"/>
      <c r="C85" s="11"/>
      <c r="D85" s="11"/>
      <c r="E85" s="11"/>
      <c r="F85" s="11"/>
      <c r="G85" s="11"/>
      <c r="H85" s="88" t="s">
        <v>836</v>
      </c>
      <c r="I85" s="122" t="str">
        <f>IF(_epmOfflineCondition_,"N",_xll.EVPRO($B$1,$H85,"STYLE"))</f>
        <v>N</v>
      </c>
      <c r="J85" s="122" t="str">
        <f>IF(_epmOfflineCondition_,"N",_xll.EVPRO($B$1,$H85,"CALC"))</f>
        <v>N</v>
      </c>
      <c r="K85" s="179" t="str">
        <f t="shared" si="24"/>
        <v/>
      </c>
      <c r="L85" s="90" t="str">
        <f>IF(_epmOfflineCondition_,"703100",_xll.EVPRO($B$1,H85,"JDEID"))</f>
        <v>703100</v>
      </c>
      <c r="M85" s="90" t="str">
        <f>IF(_epmOfflineCondition_,"690035",IF(AND(I85="N",J85="N"),_xll.EVPRO($B$1,H85,"PSFTID"),""))</f>
        <v>690035</v>
      </c>
      <c r="N85" s="90" t="str">
        <f>IF(_epmOfflineCondition_,"Training",IF(_xll.EVDES(H85,$B$1)="#NODATA","",_xll.EVDES(H85,$B$1)))</f>
        <v>Training</v>
      </c>
      <c r="O85" s="143">
        <v>13.69</v>
      </c>
      <c r="P85" s="143"/>
      <c r="Q85" s="143">
        <v>14.34</v>
      </c>
      <c r="R85" s="143"/>
      <c r="S85" s="143"/>
      <c r="T85" s="143"/>
      <c r="U85" s="143">
        <v>0.4</v>
      </c>
      <c r="V85" s="143"/>
      <c r="W85" s="143">
        <v>14.86</v>
      </c>
      <c r="X85" s="143"/>
      <c r="Y85" s="143"/>
      <c r="Z85" s="143">
        <v>0.42</v>
      </c>
      <c r="AA85" s="143">
        <f t="shared" si="25"/>
        <v>43.71</v>
      </c>
      <c r="AB85" s="144">
        <f t="shared" si="26"/>
        <v>1.0743678851102102E-5</v>
      </c>
      <c r="AC85" s="140"/>
      <c r="AD85" s="143">
        <v>523</v>
      </c>
      <c r="AE85" s="144">
        <f t="shared" si="27"/>
        <v>6.2063615352885623E-5</v>
      </c>
      <c r="AF85" s="145">
        <f t="shared" si="28"/>
        <v>-479.29</v>
      </c>
      <c r="AG85" s="143">
        <v>656.01</v>
      </c>
      <c r="AH85" s="144">
        <f t="shared" si="29"/>
        <v>1.0347251397249603E-4</v>
      </c>
      <c r="AI85" s="145">
        <f t="shared" si="30"/>
        <v>-612.29999999999995</v>
      </c>
      <c r="AJ85" s="212">
        <f t="shared" si="31"/>
        <v>2.1800498753117206E-3</v>
      </c>
      <c r="AK85" s="213">
        <f t="shared" si="32"/>
        <v>1.3837809234025665E-2</v>
      </c>
      <c r="AL85" s="214">
        <f t="shared" si="33"/>
        <v>-1.1657759358713944E-2</v>
      </c>
      <c r="AM85" s="215">
        <f t="shared" si="34"/>
        <v>1.9950428806033697E-2</v>
      </c>
      <c r="AN85" s="214">
        <f t="shared" si="35"/>
        <v>-1.7770378930721975E-2</v>
      </c>
      <c r="AO85" s="11"/>
    </row>
    <row r="86" spans="1:41" x14ac:dyDescent="0.35">
      <c r="A86" s="11"/>
      <c r="B86" s="11"/>
      <c r="C86" s="11"/>
      <c r="D86" s="11"/>
      <c r="E86" s="11"/>
      <c r="F86" s="11"/>
      <c r="G86" s="11"/>
      <c r="H86" s="88" t="s">
        <v>837</v>
      </c>
      <c r="I86" s="122" t="str">
        <f>IF(_epmOfflineCondition_,"N",_xll.EVPRO($B$1,$H86,"STYLE"))</f>
        <v>N</v>
      </c>
      <c r="J86" s="122" t="str">
        <f>IF(_epmOfflineCondition_,"N",_xll.EVPRO($B$1,$H86,"CALC"))</f>
        <v>N</v>
      </c>
      <c r="K86" s="179" t="str">
        <f t="shared" si="24"/>
        <v/>
      </c>
      <c r="L86" s="90" t="str">
        <f>IF(_epmOfflineCondition_,"703200",_xll.EVPRO($B$1,H86,"JDEID"))</f>
        <v>703200</v>
      </c>
      <c r="M86" s="90" t="str">
        <f>IF(_epmOfflineCondition_,"590035",IF(AND(I86="N",J86="N"),_xll.EVPRO($B$1,H86,"PSFTID"),""))</f>
        <v>590035</v>
      </c>
      <c r="N86" s="90" t="str">
        <f>IF(_epmOfflineCondition_,"Uniform Costs",IF(_xll.EVDES(H86,$B$1)="#NODATA","",_xll.EVDES(H86,$B$1)))</f>
        <v>Uniform Costs</v>
      </c>
      <c r="O86" s="143">
        <v>623.29999999999995</v>
      </c>
      <c r="P86" s="143">
        <v>219.06</v>
      </c>
      <c r="Q86" s="143">
        <v>-77.87</v>
      </c>
      <c r="R86" s="143"/>
      <c r="S86" s="143"/>
      <c r="T86" s="143"/>
      <c r="U86" s="143"/>
      <c r="V86" s="143"/>
      <c r="W86" s="143"/>
      <c r="X86" s="143">
        <v>364.23</v>
      </c>
      <c r="Y86" s="143">
        <v>179.73</v>
      </c>
      <c r="Z86" s="143">
        <v>104.85</v>
      </c>
      <c r="AA86" s="143">
        <f t="shared" si="25"/>
        <v>1413.2999999999997</v>
      </c>
      <c r="AB86" s="144">
        <f t="shared" si="26"/>
        <v>3.4738140746425522E-4</v>
      </c>
      <c r="AC86" s="140"/>
      <c r="AD86" s="143">
        <v>3500</v>
      </c>
      <c r="AE86" s="144">
        <f t="shared" si="27"/>
        <v>4.1533968209388081E-4</v>
      </c>
      <c r="AF86" s="145">
        <f t="shared" si="28"/>
        <v>-2086.7000000000003</v>
      </c>
      <c r="AG86" s="143">
        <v>2345.37</v>
      </c>
      <c r="AH86" s="144">
        <f t="shared" si="29"/>
        <v>3.6993541271577117E-4</v>
      </c>
      <c r="AI86" s="145">
        <f t="shared" si="30"/>
        <v>-932.07000000000016</v>
      </c>
      <c r="AJ86" s="212">
        <f t="shared" si="31"/>
        <v>7.0488778054862825E-2</v>
      </c>
      <c r="AK86" s="213">
        <f t="shared" si="32"/>
        <v>9.2604841910305602E-2</v>
      </c>
      <c r="AL86" s="214">
        <f t="shared" si="33"/>
        <v>-2.2116063855442777E-2</v>
      </c>
      <c r="AM86" s="215">
        <f t="shared" si="34"/>
        <v>7.1326865762423211E-2</v>
      </c>
      <c r="AN86" s="214">
        <f t="shared" si="35"/>
        <v>-8.3808770756038653E-4</v>
      </c>
      <c r="AO86" s="11"/>
    </row>
    <row r="87" spans="1:41" x14ac:dyDescent="0.35">
      <c r="A87" s="11"/>
      <c r="B87" s="11"/>
      <c r="C87" s="11"/>
      <c r="D87" s="11"/>
      <c r="E87" s="11"/>
      <c r="F87" s="11"/>
      <c r="G87" s="11"/>
      <c r="H87" s="88" t="s">
        <v>838</v>
      </c>
      <c r="I87" s="122" t="str">
        <f>IF(_epmOfflineCondition_,"N",_xll.EVPRO($B$1,$H87,"STYLE"))</f>
        <v>N</v>
      </c>
      <c r="J87" s="122" t="str">
        <f>IF(_epmOfflineCondition_,"N",_xll.EVPRO($B$1,$H87,"CALC"))</f>
        <v>N</v>
      </c>
      <c r="K87" s="179" t="str">
        <f t="shared" si="24"/>
        <v/>
      </c>
      <c r="L87" s="90" t="str">
        <f>IF(_epmOfflineCondition_,"703300",_xll.EVPRO($B$1,H87,"JDEID"))</f>
        <v>703300</v>
      </c>
      <c r="M87" s="90" t="str">
        <f>IF(_epmOfflineCondition_,"590115",IF(AND(I87="N",J87="N"),_xll.EVPRO($B$1,H87,"PSFTID"),""))</f>
        <v>590115</v>
      </c>
      <c r="N87" s="90" t="str">
        <f>IF(_epmOfflineCondition_,"Uniforms Laundry",IF(_xll.EVDES(H87,$B$1)="#NODATA","",_xll.EVDES(H87,$B$1)))</f>
        <v>Uniforms Laundry</v>
      </c>
      <c r="O87" s="143">
        <v>1243.46</v>
      </c>
      <c r="P87" s="143">
        <v>-200.11</v>
      </c>
      <c r="Q87" s="143">
        <v>201.4</v>
      </c>
      <c r="R87" s="143"/>
      <c r="S87" s="143"/>
      <c r="T87" s="143">
        <v>66</v>
      </c>
      <c r="U87" s="143">
        <v>178.2</v>
      </c>
      <c r="V87" s="143">
        <v>230.6</v>
      </c>
      <c r="W87" s="143">
        <v>214.4</v>
      </c>
      <c r="X87" s="143">
        <v>330.7</v>
      </c>
      <c r="Y87" s="143">
        <v>316.8</v>
      </c>
      <c r="Z87" s="143">
        <v>323.39999999999998</v>
      </c>
      <c r="AA87" s="143">
        <f t="shared" si="25"/>
        <v>2904.8500000000004</v>
      </c>
      <c r="AB87" s="144">
        <f t="shared" si="26"/>
        <v>7.1399623680219499E-4</v>
      </c>
      <c r="AC87" s="140"/>
      <c r="AD87" s="143">
        <v>13228.25</v>
      </c>
      <c r="AE87" s="144">
        <f t="shared" si="27"/>
        <v>1.5697763284738225E-3</v>
      </c>
      <c r="AF87" s="145">
        <f t="shared" si="28"/>
        <v>-10323.4</v>
      </c>
      <c r="AG87" s="143">
        <v>9548.74</v>
      </c>
      <c r="AH87" s="144">
        <f t="shared" si="29"/>
        <v>1.5061235851126231E-3</v>
      </c>
      <c r="AI87" s="145">
        <f t="shared" si="30"/>
        <v>-6643.8899999999994</v>
      </c>
      <c r="AJ87" s="212">
        <f t="shared" si="31"/>
        <v>0.14488029925187035</v>
      </c>
      <c r="AK87" s="213">
        <f t="shared" si="32"/>
        <v>0.35</v>
      </c>
      <c r="AL87" s="214">
        <f t="shared" si="33"/>
        <v>-0.20511970074812963</v>
      </c>
      <c r="AM87" s="215">
        <f t="shared" si="34"/>
        <v>0.29039413660969526</v>
      </c>
      <c r="AN87" s="214">
        <f t="shared" si="35"/>
        <v>-0.14551383735782492</v>
      </c>
      <c r="AO87" s="11"/>
    </row>
    <row r="88" spans="1:41" x14ac:dyDescent="0.35">
      <c r="A88" s="62" t="s">
        <v>23</v>
      </c>
      <c r="B88" s="63" t="s">
        <v>24</v>
      </c>
      <c r="C88" s="11"/>
      <c r="D88" s="11"/>
      <c r="E88" s="11"/>
      <c r="F88" s="11"/>
      <c r="G88" s="11"/>
      <c r="H88" s="88" t="s">
        <v>864</v>
      </c>
      <c r="I88" s="122" t="str">
        <f>IF(_epmOfflineCondition_,"N",_xll.EVPRO($B$1,$H88,"STYLE"))</f>
        <v>N</v>
      </c>
      <c r="J88" s="122" t="str">
        <f>IF(_epmOfflineCondition_,"N",_xll.EVPRO($B$1,$H88,"CALC"))</f>
        <v>N</v>
      </c>
      <c r="K88" s="179" t="str">
        <f t="shared" si="24"/>
        <v/>
      </c>
      <c r="L88" s="90" t="str">
        <f>IF(_epmOfflineCondition_,"703400",_xll.EVPRO($B$1,H88,"JDEID"))</f>
        <v>703400</v>
      </c>
      <c r="M88" s="90" t="str">
        <f>IF(_epmOfflineCondition_,"590010",IF(AND(I88="N",J88="N"),_xll.EVPRO($B$1,H88,"PSFTID"),""))</f>
        <v>590010</v>
      </c>
      <c r="N88" s="90" t="str">
        <f>IF(_epmOfflineCondition_,"Linen",IF(_xll.EVDES(H88,$B$1)="#NODATA","",_xll.EVDES(H88,$B$1)))</f>
        <v>Linen</v>
      </c>
      <c r="O88" s="143">
        <v>3412.14</v>
      </c>
      <c r="P88" s="143">
        <v>1132.1600000000001</v>
      </c>
      <c r="Q88" s="143"/>
      <c r="R88" s="143">
        <v>297.38</v>
      </c>
      <c r="S88" s="143"/>
      <c r="T88" s="143">
        <v>555.61</v>
      </c>
      <c r="U88" s="143"/>
      <c r="V88" s="143">
        <v>656.15</v>
      </c>
      <c r="W88" s="143">
        <v>3030.71</v>
      </c>
      <c r="X88" s="143">
        <v>1000</v>
      </c>
      <c r="Y88" s="143">
        <v>2371.8200000000002</v>
      </c>
      <c r="Z88" s="143">
        <v>4504.3</v>
      </c>
      <c r="AA88" s="143">
        <f t="shared" si="25"/>
        <v>16960.27</v>
      </c>
      <c r="AB88" s="144">
        <f t="shared" si="26"/>
        <v>4.1687415719053175E-3</v>
      </c>
      <c r="AC88" s="140"/>
      <c r="AD88" s="143">
        <v>40500</v>
      </c>
      <c r="AE88" s="144">
        <f t="shared" si="27"/>
        <v>4.8060734642291925E-3</v>
      </c>
      <c r="AF88" s="145">
        <f t="shared" si="28"/>
        <v>-23539.73</v>
      </c>
      <c r="AG88" s="143">
        <v>32405.82</v>
      </c>
      <c r="AH88" s="144">
        <f t="shared" si="29"/>
        <v>5.111372788128522E-3</v>
      </c>
      <c r="AI88" s="145">
        <f t="shared" si="30"/>
        <v>-15445.55</v>
      </c>
      <c r="AJ88" s="212">
        <f t="shared" si="31"/>
        <v>0.84589875311720697</v>
      </c>
      <c r="AK88" s="213">
        <f t="shared" si="32"/>
        <v>1.0715703135335362</v>
      </c>
      <c r="AL88" s="214">
        <f t="shared" si="33"/>
        <v>-0.22567156041632919</v>
      </c>
      <c r="AM88" s="215">
        <f t="shared" si="34"/>
        <v>0.98551852077124258</v>
      </c>
      <c r="AN88" s="214">
        <f t="shared" si="35"/>
        <v>-0.13961976765403561</v>
      </c>
      <c r="AO88" s="11"/>
    </row>
    <row r="89" spans="1:41" x14ac:dyDescent="0.35">
      <c r="A89" s="65" t="s">
        <v>25</v>
      </c>
      <c r="B89" s="66"/>
      <c r="C89" s="11"/>
      <c r="D89" s="11"/>
      <c r="E89" s="11"/>
      <c r="F89" s="11"/>
      <c r="G89" s="11"/>
      <c r="H89" s="88" t="s">
        <v>933</v>
      </c>
      <c r="I89" s="122" t="str">
        <f>IF(_epmOfflineCondition_,"N",_xll.EVPRO($B$1,$H89,"STYLE"))</f>
        <v>N</v>
      </c>
      <c r="J89" s="122" t="str">
        <f>IF(_epmOfflineCondition_,"N",_xll.EVPRO($B$1,$H89,"CALC"))</f>
        <v>N</v>
      </c>
      <c r="K89" s="179" t="str">
        <f t="shared" si="24"/>
        <v/>
      </c>
      <c r="L89" s="90" t="str">
        <f>IF(_epmOfflineCondition_,"704000",_xll.EVPRO($B$1,H89,"JDEID"))</f>
        <v>704000</v>
      </c>
      <c r="M89" s="90" t="str">
        <f>IF(_epmOfflineCondition_,"590141",IF(AND(I89="N",J89="N"),_xll.EVPRO($B$1,H89,"PSFTID"),""))</f>
        <v>590141</v>
      </c>
      <c r="N89" s="90" t="str">
        <f>IF(_epmOfflineCondition_,"Complimentary In Room Media Ent.",IF(_xll.EVDES(H89,$B$1)="#NODATA","",_xll.EVDES(H89,$B$1)))</f>
        <v>Complimentary In Room Media Ent.</v>
      </c>
      <c r="O89" s="143">
        <v>2122.13</v>
      </c>
      <c r="P89" s="143">
        <v>4527.71</v>
      </c>
      <c r="Q89" s="143">
        <v>2122.13</v>
      </c>
      <c r="R89" s="143"/>
      <c r="S89" s="143"/>
      <c r="T89" s="143">
        <v>1047.42</v>
      </c>
      <c r="U89" s="143">
        <v>1571.03</v>
      </c>
      <c r="V89" s="143">
        <v>1506</v>
      </c>
      <c r="W89" s="143">
        <v>1571.03</v>
      </c>
      <c r="X89" s="143">
        <v>1956.8</v>
      </c>
      <c r="Y89" s="143">
        <v>2122.13</v>
      </c>
      <c r="Z89" s="143">
        <v>2122.13</v>
      </c>
      <c r="AA89" s="143">
        <f t="shared" si="25"/>
        <v>20668.510000000006</v>
      </c>
      <c r="AB89" s="144">
        <f t="shared" si="26"/>
        <v>5.0802066751496761E-3</v>
      </c>
      <c r="AC89" s="140"/>
      <c r="AD89" s="143">
        <v>25465.56</v>
      </c>
      <c r="AE89" s="144">
        <f t="shared" si="27"/>
        <v>3.021959312783614E-3</v>
      </c>
      <c r="AF89" s="145">
        <f t="shared" si="28"/>
        <v>-4797.0499999999956</v>
      </c>
      <c r="AG89" s="143">
        <v>24046.39</v>
      </c>
      <c r="AH89" s="144">
        <f t="shared" si="29"/>
        <v>3.792839172060013E-3</v>
      </c>
      <c r="AI89" s="145">
        <f t="shared" si="30"/>
        <v>-3377.8799999999937</v>
      </c>
      <c r="AJ89" s="212">
        <f t="shared" si="31"/>
        <v>1.0308483790523693</v>
      </c>
      <c r="AK89" s="213">
        <f t="shared" si="32"/>
        <v>0.67378118798782916</v>
      </c>
      <c r="AL89" s="214">
        <f t="shared" si="33"/>
        <v>0.3570671910645401</v>
      </c>
      <c r="AM89" s="215">
        <f t="shared" si="34"/>
        <v>0.73129341280943982</v>
      </c>
      <c r="AN89" s="214">
        <f t="shared" si="35"/>
        <v>0.29955496624292943</v>
      </c>
      <c r="AO89" s="11"/>
    </row>
    <row r="90" spans="1:41" x14ac:dyDescent="0.35">
      <c r="A90" s="65" t="s">
        <v>26</v>
      </c>
      <c r="B90" s="66"/>
      <c r="C90" s="11"/>
      <c r="D90" s="11"/>
      <c r="E90" s="11"/>
      <c r="F90" s="11"/>
      <c r="G90" s="11"/>
      <c r="H90" s="88" t="s">
        <v>934</v>
      </c>
      <c r="I90" s="122" t="str">
        <f>IF(_epmOfflineCondition_,"T4",_xll.EVPRO($B$1,$H90,"STYLE"))</f>
        <v>T4</v>
      </c>
      <c r="J90" s="122" t="str">
        <f>IF(_epmOfflineCondition_,"Y",_xll.EVPRO($B$1,$H90,"CALC"))</f>
        <v>Y</v>
      </c>
      <c r="K90" s="179" t="str">
        <f t="shared" si="24"/>
        <v>&gt;</v>
      </c>
      <c r="L90" s="90" t="str">
        <f>IF(_epmOfflineCondition_,"704200",_xll.EVPRO($B$1,H90,"JDEID"))</f>
        <v>704200</v>
      </c>
      <c r="M90" s="90" t="str">
        <f>IF(_epmOfflineCondition_,"",IF(AND(I90="N",J90="N"),_xll.EVPRO($B$1,H90,"PSFTID"),""))</f>
        <v/>
      </c>
      <c r="N90" s="90" t="str">
        <f>IF(_epmOfflineCondition_,"Commissions",IF(_xll.EVDES(H90,$B$1)="#NODATA","",_xll.EVDES(H90,$B$1)))</f>
        <v>Commissions</v>
      </c>
      <c r="O90" s="143">
        <v>22986.78</v>
      </c>
      <c r="P90" s="143">
        <v>39699.01</v>
      </c>
      <c r="Q90" s="143">
        <v>28505.25</v>
      </c>
      <c r="R90" s="143">
        <v>723.32</v>
      </c>
      <c r="S90" s="143">
        <v>47.48</v>
      </c>
      <c r="T90" s="143">
        <v>5625.22</v>
      </c>
      <c r="U90" s="143">
        <v>5382.56</v>
      </c>
      <c r="V90" s="143">
        <v>4029.14</v>
      </c>
      <c r="W90" s="143">
        <v>10403.92</v>
      </c>
      <c r="X90" s="143">
        <v>8237.4</v>
      </c>
      <c r="Y90" s="143">
        <v>15258.45</v>
      </c>
      <c r="Z90" s="143">
        <v>15635.35</v>
      </c>
      <c r="AA90" s="143">
        <f t="shared" si="25"/>
        <v>156533.88</v>
      </c>
      <c r="AB90" s="144">
        <f t="shared" si="26"/>
        <v>3.8475171266002153E-2</v>
      </c>
      <c r="AC90" s="140"/>
      <c r="AD90" s="143">
        <v>174136.37</v>
      </c>
      <c r="AE90" s="144">
        <f t="shared" si="27"/>
        <v>2.0664498444794972E-2</v>
      </c>
      <c r="AF90" s="145">
        <f t="shared" si="28"/>
        <v>-17602.489999999991</v>
      </c>
      <c r="AG90" s="143">
        <v>174159.2</v>
      </c>
      <c r="AH90" s="144">
        <f t="shared" si="29"/>
        <v>2.7470145661558108E-2</v>
      </c>
      <c r="AI90" s="145">
        <f t="shared" si="30"/>
        <v>-17625.320000000007</v>
      </c>
      <c r="AJ90" s="212">
        <f t="shared" si="31"/>
        <v>7.8071760598503745</v>
      </c>
      <c r="AK90" s="213">
        <f t="shared" si="32"/>
        <v>4.6073917184812805</v>
      </c>
      <c r="AL90" s="214">
        <f t="shared" si="33"/>
        <v>3.1997843413690941</v>
      </c>
      <c r="AM90" s="215">
        <f t="shared" si="34"/>
        <v>5.2964904811142874</v>
      </c>
      <c r="AN90" s="214">
        <f t="shared" si="35"/>
        <v>2.5106855787360871</v>
      </c>
      <c r="AO90" s="11"/>
    </row>
    <row r="91" spans="1:41" x14ac:dyDescent="0.35">
      <c r="A91" s="65" t="s">
        <v>27</v>
      </c>
      <c r="B91" s="66"/>
      <c r="C91" s="11"/>
      <c r="D91" s="11"/>
      <c r="E91" s="11"/>
      <c r="F91" s="11"/>
      <c r="G91" s="11"/>
      <c r="H91" s="88" t="s">
        <v>935</v>
      </c>
      <c r="I91" s="122" t="str">
        <f>IF(_epmOfflineCondition_,"N",_xll.EVPRO($B$1,$H91,"STYLE"))</f>
        <v>N</v>
      </c>
      <c r="J91" s="122" t="str">
        <f>IF(_epmOfflineCondition_,"N",_xll.EVPRO($B$1,$H91,"CALC"))</f>
        <v>N</v>
      </c>
      <c r="K91" s="179" t="str">
        <f t="shared" si="24"/>
        <v/>
      </c>
      <c r="L91" s="90" t="str">
        <f>IF(_epmOfflineCondition_,"704300",_xll.EVPRO($B$1,H91,"JDEID"))</f>
        <v>704300</v>
      </c>
      <c r="M91" s="90" t="str">
        <f>IF(_epmOfflineCondition_,"590190",IF(AND(I91="N",J91="N"),_xll.EVPRO($B$1,H91,"PSFTID"),""))</f>
        <v>590190</v>
      </c>
      <c r="N91" s="90" t="str">
        <f>IF(_epmOfflineCondition_,"Commissions &amp; Fees - Group",IF(_xll.EVDES(H91,$B$1)="#NODATA","",_xll.EVDES(H91,$B$1)))</f>
        <v>Commissions &amp; Fees - Group</v>
      </c>
      <c r="O91" s="143">
        <v>7447.22</v>
      </c>
      <c r="P91" s="143">
        <v>9538.07</v>
      </c>
      <c r="Q91" s="143">
        <v>5886.09</v>
      </c>
      <c r="R91" s="143"/>
      <c r="S91" s="143"/>
      <c r="T91" s="143"/>
      <c r="U91" s="143">
        <v>0.5</v>
      </c>
      <c r="V91" s="143"/>
      <c r="W91" s="143"/>
      <c r="X91" s="143"/>
      <c r="Y91" s="143">
        <v>-125</v>
      </c>
      <c r="Z91" s="143">
        <v>488</v>
      </c>
      <c r="AA91" s="143">
        <f t="shared" si="25"/>
        <v>23234.880000000001</v>
      </c>
      <c r="AB91" s="144">
        <f t="shared" si="26"/>
        <v>5.7110063798649097E-3</v>
      </c>
      <c r="AC91" s="140"/>
      <c r="AD91" s="143">
        <v>36661.15</v>
      </c>
      <c r="AE91" s="144">
        <f t="shared" si="27"/>
        <v>4.3505229674845941E-3</v>
      </c>
      <c r="AF91" s="145">
        <f t="shared" si="28"/>
        <v>-13426.27</v>
      </c>
      <c r="AG91" s="143">
        <v>32658.58</v>
      </c>
      <c r="AH91" s="144">
        <f t="shared" si="29"/>
        <v>5.1512406447643787E-3</v>
      </c>
      <c r="AI91" s="145">
        <f t="shared" si="30"/>
        <v>-9423.7000000000007</v>
      </c>
      <c r="AJ91" s="212">
        <f t="shared" si="31"/>
        <v>1.1588468827930174</v>
      </c>
      <c r="AK91" s="213">
        <f t="shared" si="32"/>
        <v>0.97000000000000008</v>
      </c>
      <c r="AL91" s="214">
        <f t="shared" si="33"/>
        <v>0.18884688279301731</v>
      </c>
      <c r="AM91" s="215">
        <f t="shared" si="34"/>
        <v>0.99320540113131806</v>
      </c>
      <c r="AN91" s="214">
        <f t="shared" si="35"/>
        <v>0.16564148166169934</v>
      </c>
      <c r="AO91" s="11"/>
    </row>
    <row r="92" spans="1:41" x14ac:dyDescent="0.35">
      <c r="A92" s="65" t="s">
        <v>28</v>
      </c>
      <c r="B92" s="66"/>
      <c r="C92" s="11"/>
      <c r="D92" s="11"/>
      <c r="E92" s="11"/>
      <c r="F92" s="11"/>
      <c r="G92" s="11"/>
      <c r="H92" s="88" t="s">
        <v>936</v>
      </c>
      <c r="I92" s="122" t="str">
        <f>IF(_epmOfflineCondition_,"N",_xll.EVPRO($B$1,$H92,"STYLE"))</f>
        <v>N</v>
      </c>
      <c r="J92" s="122" t="str">
        <f>IF(_epmOfflineCondition_,"N",_xll.EVPRO($B$1,$H92,"CALC"))</f>
        <v>N</v>
      </c>
      <c r="K92" s="179" t="str">
        <f t="shared" si="24"/>
        <v/>
      </c>
      <c r="L92" s="90" t="str">
        <f>IF(_epmOfflineCondition_,"704400",_xll.EVPRO($B$1,H92,"JDEID"))</f>
        <v>704400</v>
      </c>
      <c r="M92" s="90" t="str">
        <f>IF(_epmOfflineCondition_,"590175",IF(AND(I92="N",J92="N"),_xll.EVPRO($B$1,H92,"PSFTID"),""))</f>
        <v>590175</v>
      </c>
      <c r="N92" s="90" t="str">
        <f>IF(_epmOfflineCondition_,"Guest Relocation",IF(_xll.EVDES(H92,$B$1)="#NODATA","",_xll.EVDES(H92,$B$1)))</f>
        <v>Guest Relocation</v>
      </c>
      <c r="O92" s="143"/>
      <c r="P92" s="143">
        <v>2053.9499999999998</v>
      </c>
      <c r="Q92" s="143"/>
      <c r="R92" s="143"/>
      <c r="S92" s="143"/>
      <c r="T92" s="143"/>
      <c r="U92" s="143"/>
      <c r="V92" s="143"/>
      <c r="W92" s="143"/>
      <c r="X92" s="143"/>
      <c r="Y92" s="143"/>
      <c r="Z92" s="143"/>
      <c r="AA92" s="143">
        <f t="shared" si="25"/>
        <v>2053.9499999999998</v>
      </c>
      <c r="AB92" s="144">
        <f t="shared" si="26"/>
        <v>5.0484967229972905E-4</v>
      </c>
      <c r="AC92" s="140"/>
      <c r="AD92" s="143">
        <v>1601</v>
      </c>
      <c r="AE92" s="144">
        <f t="shared" si="27"/>
        <v>1.899882374378009E-4</v>
      </c>
      <c r="AF92" s="145">
        <f t="shared" si="28"/>
        <v>452.94999999999982</v>
      </c>
      <c r="AG92" s="143">
        <v>2168.59</v>
      </c>
      <c r="AH92" s="144">
        <f t="shared" si="29"/>
        <v>3.42051888043803E-4</v>
      </c>
      <c r="AI92" s="145">
        <f t="shared" si="30"/>
        <v>-114.64000000000033</v>
      </c>
      <c r="AJ92" s="212">
        <f t="shared" si="31"/>
        <v>0.10244139650872817</v>
      </c>
      <c r="AK92" s="213">
        <f t="shared" si="32"/>
        <v>4.236010054239979E-2</v>
      </c>
      <c r="AL92" s="214">
        <f t="shared" si="33"/>
        <v>6.0081295966328385E-2</v>
      </c>
      <c r="AM92" s="215">
        <f t="shared" si="34"/>
        <v>6.5950672100237223E-2</v>
      </c>
      <c r="AN92" s="214">
        <f t="shared" si="35"/>
        <v>3.6490724408490952E-2</v>
      </c>
      <c r="AO92" s="11"/>
    </row>
    <row r="93" spans="1:41" x14ac:dyDescent="0.35">
      <c r="A93" s="65" t="s">
        <v>29</v>
      </c>
      <c r="B93" s="66"/>
      <c r="C93" s="11"/>
      <c r="D93" s="11"/>
      <c r="E93" s="11"/>
      <c r="F93" s="11"/>
      <c r="G93" s="11"/>
      <c r="H93" s="88" t="s">
        <v>937</v>
      </c>
      <c r="I93" s="122" t="str">
        <f>IF(_epmOfflineCondition_,"N",_xll.EVPRO($B$1,$H93,"STYLE"))</f>
        <v>N</v>
      </c>
      <c r="J93" s="122" t="str">
        <f>IF(_epmOfflineCondition_,"N",_xll.EVPRO($B$1,$H93,"CALC"))</f>
        <v>N</v>
      </c>
      <c r="K93" s="179" t="str">
        <f t="shared" si="24"/>
        <v/>
      </c>
      <c r="L93" s="90" t="str">
        <f>IF(_epmOfflineCondition_,"704500",_xll.EVPRO($B$1,H93,"JDEID"))</f>
        <v>704500</v>
      </c>
      <c r="M93" s="90" t="str">
        <f>IF(_epmOfflineCondition_,"590215",IF(AND(I93="N",J93="N"),_xll.EVPRO($B$1,H93,"PSFTID"),""))</f>
        <v>590215</v>
      </c>
      <c r="N93" s="90" t="str">
        <f>IF(_epmOfflineCondition_,"Guest Transportation",IF(_xll.EVDES(H93,$B$1)="#NODATA","",_xll.EVDES(H93,$B$1)))</f>
        <v>Guest Transportation</v>
      </c>
      <c r="O93" s="143"/>
      <c r="P93" s="143"/>
      <c r="Q93" s="143"/>
      <c r="R93" s="143"/>
      <c r="S93" s="143"/>
      <c r="T93" s="143"/>
      <c r="U93" s="143"/>
      <c r="V93" s="143"/>
      <c r="W93" s="143"/>
      <c r="X93" s="143"/>
      <c r="Y93" s="143"/>
      <c r="Z93" s="143"/>
      <c r="AA93" s="143">
        <f t="shared" si="25"/>
        <v>0</v>
      </c>
      <c r="AB93" s="144" t="str">
        <f t="shared" si="26"/>
        <v/>
      </c>
      <c r="AC93" s="140"/>
      <c r="AD93" s="143"/>
      <c r="AE93" s="144" t="str">
        <f t="shared" si="27"/>
        <v/>
      </c>
      <c r="AF93" s="145">
        <f t="shared" si="28"/>
        <v>0</v>
      </c>
      <c r="AG93" s="143">
        <v>10</v>
      </c>
      <c r="AH93" s="144">
        <f t="shared" si="29"/>
        <v>1.5773008638968315E-6</v>
      </c>
      <c r="AI93" s="145">
        <f t="shared" si="30"/>
        <v>-10</v>
      </c>
      <c r="AJ93" s="212">
        <f t="shared" si="31"/>
        <v>0</v>
      </c>
      <c r="AK93" s="213">
        <f t="shared" si="32"/>
        <v>0</v>
      </c>
      <c r="AL93" s="214">
        <f t="shared" si="33"/>
        <v>0</v>
      </c>
      <c r="AM93" s="215">
        <f t="shared" si="34"/>
        <v>3.0411775439450153E-4</v>
      </c>
      <c r="AN93" s="214">
        <f t="shared" si="35"/>
        <v>-3.0411775439450153E-4</v>
      </c>
      <c r="AO93" s="11"/>
    </row>
    <row r="94" spans="1:41" x14ac:dyDescent="0.35">
      <c r="A94" s="65" t="s">
        <v>30</v>
      </c>
      <c r="B94" s="66" t="s">
        <v>78</v>
      </c>
      <c r="C94" s="11"/>
      <c r="D94" s="11"/>
      <c r="E94" s="11"/>
      <c r="F94" s="11"/>
      <c r="G94" s="11"/>
      <c r="H94" s="88" t="s">
        <v>845</v>
      </c>
      <c r="I94" s="122" t="str">
        <f>IF(_epmOfflineCondition_,"N",_xll.EVPRO($B$1,$H94,"STYLE"))</f>
        <v>N</v>
      </c>
      <c r="J94" s="122" t="str">
        <f>IF(_epmOfflineCondition_,"N",_xll.EVPRO($B$1,$H94,"CALC"))</f>
        <v>N</v>
      </c>
      <c r="K94" s="179" t="str">
        <f t="shared" si="24"/>
        <v/>
      </c>
      <c r="L94" s="90" t="str">
        <f>IF(_epmOfflineCondition_,"705500",_xll.EVPRO($B$1,H94,"JDEID"))</f>
        <v>705500</v>
      </c>
      <c r="M94" s="90" t="str">
        <f>IF(_epmOfflineCondition_,"690105",IF(AND(I94="N",J94="N"),_xll.EVPRO($B$1,H94,"PSFTID"),""))</f>
        <v>690105</v>
      </c>
      <c r="N94" s="90" t="str">
        <f>IF(_epmOfflineCondition_,"Licenses &amp; Permits",IF(_xll.EVDES(H94,$B$1)="#NODATA","",_xll.EVDES(H94,$B$1)))</f>
        <v>Licenses &amp; Permits</v>
      </c>
      <c r="O94" s="143"/>
      <c r="P94" s="143"/>
      <c r="Q94" s="143">
        <v>796.03</v>
      </c>
      <c r="R94" s="143"/>
      <c r="S94" s="143"/>
      <c r="T94" s="143"/>
      <c r="U94" s="143"/>
      <c r="V94" s="143"/>
      <c r="W94" s="143">
        <v>11.76</v>
      </c>
      <c r="X94" s="143"/>
      <c r="Y94" s="143"/>
      <c r="Z94" s="143"/>
      <c r="AA94" s="143">
        <f t="shared" si="25"/>
        <v>807.79</v>
      </c>
      <c r="AB94" s="144">
        <f t="shared" si="26"/>
        <v>1.9855036236860593E-4</v>
      </c>
      <c r="AC94" s="140"/>
      <c r="AD94" s="143">
        <v>747</v>
      </c>
      <c r="AE94" s="144">
        <f t="shared" si="27"/>
        <v>8.8645355006893988E-5</v>
      </c>
      <c r="AF94" s="145">
        <f t="shared" si="28"/>
        <v>60.789999999999964</v>
      </c>
      <c r="AG94" s="143">
        <v>747.34</v>
      </c>
      <c r="AH94" s="144">
        <f t="shared" si="29"/>
        <v>1.1787800276246581E-4</v>
      </c>
      <c r="AI94" s="145">
        <f t="shared" si="30"/>
        <v>60.449999999999932</v>
      </c>
      <c r="AJ94" s="212">
        <f t="shared" si="31"/>
        <v>4.0288778054862841E-2</v>
      </c>
      <c r="AK94" s="213">
        <f t="shared" si="32"/>
        <v>1.9764519116285222E-2</v>
      </c>
      <c r="AL94" s="214">
        <f t="shared" si="33"/>
        <v>2.0524258938577618E-2</v>
      </c>
      <c r="AM94" s="215">
        <f t="shared" si="34"/>
        <v>2.2727936256918681E-2</v>
      </c>
      <c r="AN94" s="214">
        <f t="shared" si="35"/>
        <v>1.7560841797944159E-2</v>
      </c>
      <c r="AO94" s="11"/>
    </row>
    <row r="95" spans="1:41" x14ac:dyDescent="0.35">
      <c r="A95" s="65" t="s">
        <v>31</v>
      </c>
      <c r="B95" s="66" t="s">
        <v>78</v>
      </c>
      <c r="C95" s="11"/>
      <c r="D95" s="11"/>
      <c r="E95" s="11"/>
      <c r="F95" s="11"/>
      <c r="G95" s="11"/>
      <c r="H95" s="88" t="s">
        <v>849</v>
      </c>
      <c r="I95" s="122" t="str">
        <f>IF(_epmOfflineCondition_,"T4",_xll.EVPRO($B$1,$H95,"STYLE"))</f>
        <v>T4</v>
      </c>
      <c r="J95" s="122" t="str">
        <f>IF(_epmOfflineCondition_,"Y",_xll.EVPRO($B$1,$H95,"CALC"))</f>
        <v>Y</v>
      </c>
      <c r="K95" s="179" t="str">
        <f t="shared" si="24"/>
        <v>&gt;</v>
      </c>
      <c r="L95" s="90" t="str">
        <f>IF(_epmOfflineCondition_,"706500",_xll.EVPRO($B$1,H95,"JDEID"))</f>
        <v>706500</v>
      </c>
      <c r="M95" s="90" t="str">
        <f>IF(_epmOfflineCondition_,"",IF(AND(I95="N",J95="N"),_xll.EVPRO($B$1,H95,"PSFTID"),""))</f>
        <v/>
      </c>
      <c r="N95" s="90" t="str">
        <f>IF(_epmOfflineCondition_,"Corporate Office Reimbursement",IF(_xll.EVDES(H95,$B$1)="#NODATA","",_xll.EVDES(H95,$B$1)))</f>
        <v>Corporate Office Reimbursement</v>
      </c>
      <c r="O95" s="143">
        <v>11127.53</v>
      </c>
      <c r="P95" s="143">
        <v>11183.45</v>
      </c>
      <c r="Q95" s="143">
        <v>3632.7</v>
      </c>
      <c r="R95" s="143">
        <v>-62.57</v>
      </c>
      <c r="S95" s="143">
        <v>-114.03</v>
      </c>
      <c r="T95" s="143">
        <v>898.65</v>
      </c>
      <c r="U95" s="143">
        <v>736.14</v>
      </c>
      <c r="V95" s="143">
        <v>1152.1500000000001</v>
      </c>
      <c r="W95" s="143">
        <v>2109.16</v>
      </c>
      <c r="X95" s="143">
        <v>2624.54</v>
      </c>
      <c r="Y95" s="143">
        <v>2551.09</v>
      </c>
      <c r="Z95" s="143">
        <v>4854.0600000000004</v>
      </c>
      <c r="AA95" s="143">
        <f t="shared" si="25"/>
        <v>40692.87000000001</v>
      </c>
      <c r="AB95" s="144">
        <f t="shared" si="26"/>
        <v>1.0002084804613297E-2</v>
      </c>
      <c r="AC95" s="140"/>
      <c r="AD95" s="143">
        <v>84268.374800000005</v>
      </c>
      <c r="AE95" s="144">
        <f t="shared" si="27"/>
        <v>0.01</v>
      </c>
      <c r="AF95" s="145">
        <f t="shared" si="28"/>
        <v>-43575.504799999995</v>
      </c>
      <c r="AG95" s="143">
        <v>63399.45</v>
      </c>
      <c r="AH95" s="144">
        <f t="shared" si="29"/>
        <v>1.0000000725558397E-2</v>
      </c>
      <c r="AI95" s="145">
        <f t="shared" si="30"/>
        <v>-22706.579999999987</v>
      </c>
      <c r="AJ95" s="212">
        <f t="shared" si="31"/>
        <v>2.0295695760598509</v>
      </c>
      <c r="AK95" s="213">
        <f t="shared" si="32"/>
        <v>2.2296170075406803</v>
      </c>
      <c r="AL95" s="214">
        <f t="shared" si="33"/>
        <v>-0.20004743148082937</v>
      </c>
      <c r="AM95" s="215">
        <f t="shared" si="34"/>
        <v>1.9280898363846481</v>
      </c>
      <c r="AN95" s="214">
        <f t="shared" si="35"/>
        <v>0.10147973967520274</v>
      </c>
      <c r="AO95" s="11"/>
    </row>
    <row r="96" spans="1:41" x14ac:dyDescent="0.35">
      <c r="A96" s="65" t="s">
        <v>32</v>
      </c>
      <c r="B96" s="66"/>
      <c r="C96" s="11"/>
      <c r="D96" s="11"/>
      <c r="E96" s="11"/>
      <c r="F96" s="11"/>
      <c r="G96" s="11"/>
      <c r="H96" s="88" t="s">
        <v>77</v>
      </c>
      <c r="I96" s="122" t="str">
        <f>IF(_epmOfflineCondition_,"T4",_xll.EVPRO($B$1,$H96,"STYLE"))</f>
        <v>T4</v>
      </c>
      <c r="J96" s="122" t="str">
        <f>IF(_epmOfflineCondition_,"Y",_xll.EVPRO($B$1,$H96,"CALC"))</f>
        <v>Y</v>
      </c>
      <c r="K96" s="179" t="str">
        <f t="shared" si="24"/>
        <v>&gt;</v>
      </c>
      <c r="L96" s="90" t="str">
        <f>IF(_epmOfflineCondition_,"710000",_xll.EVPRO($B$1,H96,"JDEID"))</f>
        <v>710000</v>
      </c>
      <c r="M96" s="90" t="str">
        <f>IF(_epmOfflineCondition_,"",IF(AND(I96="N",J96="N"),_xll.EVPRO($B$1,H96,"PSFTID"),""))</f>
        <v/>
      </c>
      <c r="N96" s="90" t="str">
        <f>IF(_epmOfflineCondition_,"Total Reservations Fees &amp; Other Exp",IF(_xll.EVDES(H96,$B$1)="#NODATA","",_xll.EVDES(H96,$B$1)))</f>
        <v>Total Reservations Fees &amp; Other Exp</v>
      </c>
      <c r="O96" s="143">
        <v>776</v>
      </c>
      <c r="P96" s="143">
        <v>509</v>
      </c>
      <c r="Q96" s="143">
        <v>523.4</v>
      </c>
      <c r="R96" s="143">
        <v>160</v>
      </c>
      <c r="S96" s="143"/>
      <c r="T96" s="143">
        <v>12.8</v>
      </c>
      <c r="U96" s="143">
        <v>165.6</v>
      </c>
      <c r="V96" s="143">
        <v>133.6</v>
      </c>
      <c r="W96" s="143">
        <v>26.4</v>
      </c>
      <c r="X96" s="143">
        <v>-17.600000000000001</v>
      </c>
      <c r="Y96" s="143">
        <v>51.2</v>
      </c>
      <c r="Z96" s="143">
        <v>57.6</v>
      </c>
      <c r="AA96" s="143">
        <f t="shared" si="25"/>
        <v>2398</v>
      </c>
      <c r="AB96" s="144">
        <f t="shared" si="26"/>
        <v>5.8941527991175559E-4</v>
      </c>
      <c r="AC96" s="140"/>
      <c r="AD96" s="143">
        <v>4702.7507999999998</v>
      </c>
      <c r="AE96" s="144">
        <f t="shared" si="27"/>
        <v>5.5806829206821249E-4</v>
      </c>
      <c r="AF96" s="145">
        <f t="shared" si="28"/>
        <v>-2304.7507999999998</v>
      </c>
      <c r="AG96" s="143">
        <v>4213.6000000000004</v>
      </c>
      <c r="AH96" s="144">
        <f t="shared" si="29"/>
        <v>6.6461149201156892E-4</v>
      </c>
      <c r="AI96" s="145">
        <f t="shared" si="30"/>
        <v>-1815.6000000000004</v>
      </c>
      <c r="AJ96" s="212">
        <f t="shared" si="31"/>
        <v>0.11960099750623442</v>
      </c>
      <c r="AK96" s="213">
        <f t="shared" si="32"/>
        <v>0.12442785553644661</v>
      </c>
      <c r="AL96" s="214">
        <f t="shared" si="33"/>
        <v>-4.8268580302121972E-3</v>
      </c>
      <c r="AM96" s="215">
        <f t="shared" si="34"/>
        <v>0.1281430569916672</v>
      </c>
      <c r="AN96" s="214">
        <f t="shared" si="35"/>
        <v>-8.5420594854327819E-3</v>
      </c>
      <c r="AO96" s="11"/>
    </row>
    <row r="97" spans="1:41" x14ac:dyDescent="0.35">
      <c r="A97" s="65" t="s">
        <v>33</v>
      </c>
      <c r="B97" s="66"/>
      <c r="C97" s="11"/>
      <c r="D97" s="11"/>
      <c r="E97" s="11"/>
      <c r="F97" s="11"/>
      <c r="G97" s="11"/>
      <c r="H97" s="88" t="s">
        <v>79</v>
      </c>
      <c r="I97" s="136" t="str">
        <f>IF(_epmOfflineCondition_,"T3",_xll.EVPRO($B$1,$H97,"STYLE"))</f>
        <v>T3</v>
      </c>
      <c r="J97" s="136" t="str">
        <f>IF(_epmOfflineCondition_,"Y",_xll.EVPRO($B$1,$H97,"CALC"))</f>
        <v>Y</v>
      </c>
      <c r="K97" s="104"/>
      <c r="L97" s="59"/>
      <c r="M97" s="59"/>
      <c r="N97" s="106" t="str">
        <f>IF(_epmOfflineCondition_,"Total Operations Expense",IF(_xll.EVDES(H97,$B$1)="#NODATA","",_xll.EVDES(H97,$B$1)))</f>
        <v>Total Operations Expense</v>
      </c>
      <c r="O97" s="154">
        <v>83373.19</v>
      </c>
      <c r="P97" s="154">
        <v>105641.32</v>
      </c>
      <c r="Q97" s="154">
        <v>61863.39</v>
      </c>
      <c r="R97" s="154">
        <v>3134.04</v>
      </c>
      <c r="S97" s="154">
        <v>2004.55</v>
      </c>
      <c r="T97" s="154">
        <v>17411.830000000002</v>
      </c>
      <c r="U97" s="154">
        <v>13386.31</v>
      </c>
      <c r="V97" s="154">
        <v>15901.17</v>
      </c>
      <c r="W97" s="154">
        <v>30919.66</v>
      </c>
      <c r="X97" s="154">
        <v>30012.7</v>
      </c>
      <c r="Y97" s="154">
        <v>37394.089999999997</v>
      </c>
      <c r="Z97" s="154">
        <v>49193.19</v>
      </c>
      <c r="AA97" s="154">
        <f t="shared" si="25"/>
        <v>450235.44</v>
      </c>
      <c r="AB97" s="155">
        <f t="shared" si="26"/>
        <v>0.1106654077955765</v>
      </c>
      <c r="AC97" s="140"/>
      <c r="AD97" s="154">
        <v>847792.295600001</v>
      </c>
      <c r="AE97" s="155">
        <f t="shared" si="27"/>
        <v>0.10060622358175596</v>
      </c>
      <c r="AF97" s="156">
        <f t="shared" si="28"/>
        <v>-397556.855600001</v>
      </c>
      <c r="AG97" s="154">
        <v>775693.09000000102</v>
      </c>
      <c r="AH97" s="155">
        <f t="shared" si="29"/>
        <v>0.12235013809758043</v>
      </c>
      <c r="AI97" s="156">
        <f t="shared" si="30"/>
        <v>-325457.65000000101</v>
      </c>
      <c r="AJ97" s="246">
        <f t="shared" si="31"/>
        <v>22.455632917705735</v>
      </c>
      <c r="AK97" s="247">
        <f t="shared" si="32"/>
        <v>22.431334716232332</v>
      </c>
      <c r="AL97" s="248">
        <f t="shared" si="33"/>
        <v>2.4298201473403225E-2</v>
      </c>
      <c r="AM97" s="249">
        <f t="shared" si="34"/>
        <v>23.590204063013228</v>
      </c>
      <c r="AN97" s="248">
        <f t="shared" si="35"/>
        <v>-1.1345711453074934</v>
      </c>
      <c r="AO97" s="11"/>
    </row>
    <row r="98" spans="1:41" x14ac:dyDescent="0.35">
      <c r="A98" s="65" t="s">
        <v>34</v>
      </c>
      <c r="B98" s="66"/>
      <c r="C98" s="11"/>
      <c r="D98" s="11"/>
      <c r="E98" s="11"/>
      <c r="F98" s="11"/>
      <c r="G98" s="11"/>
      <c r="H98" s="11"/>
      <c r="I98" s="59"/>
      <c r="J98" s="59"/>
      <c r="K98" s="11"/>
      <c r="L98" s="59"/>
      <c r="M98" s="59"/>
      <c r="N98" s="11"/>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1"/>
    </row>
    <row r="99" spans="1:41" x14ac:dyDescent="0.35">
      <c r="A99" s="65" t="s">
        <v>35</v>
      </c>
      <c r="B99" s="66"/>
      <c r="C99" s="11"/>
      <c r="D99" s="11"/>
      <c r="E99" s="11"/>
      <c r="F99" s="11"/>
      <c r="G99" s="11"/>
      <c r="H99" s="88" t="s">
        <v>80</v>
      </c>
      <c r="I99" s="136" t="str">
        <f>IF(_epmOfflineCondition_,"T3",_xll.EVPRO($B$1,$H99,"STYLE"))</f>
        <v>T3</v>
      </c>
      <c r="J99" s="136" t="str">
        <f>IF(_epmOfflineCondition_,"Y",_xll.EVPRO($B$1,$H99,"CALC"))</f>
        <v>Y</v>
      </c>
      <c r="K99" s="106"/>
      <c r="L99" s="59"/>
      <c r="M99" s="90"/>
      <c r="N99" s="106" t="str">
        <f>IF(_epmOfflineCondition_,"Total Expenses",IF(_xll.EVDES(H99,$B$1)="#NODATA","",_xll.EVDES(H99,$B$1)))</f>
        <v>Total Expenses</v>
      </c>
      <c r="O99" s="238">
        <v>171745.21</v>
      </c>
      <c r="P99" s="238">
        <v>194456.39</v>
      </c>
      <c r="Q99" s="238">
        <v>124369.9</v>
      </c>
      <c r="R99" s="238">
        <v>19311.11</v>
      </c>
      <c r="S99" s="238">
        <v>18005.8</v>
      </c>
      <c r="T99" s="238">
        <v>46823.3</v>
      </c>
      <c r="U99" s="238">
        <v>46628.43</v>
      </c>
      <c r="V99" s="238">
        <v>53961.3</v>
      </c>
      <c r="W99" s="238">
        <v>78564.56</v>
      </c>
      <c r="X99" s="238">
        <v>77900.289999999994</v>
      </c>
      <c r="Y99" s="238">
        <v>97462.58</v>
      </c>
      <c r="Z99" s="238">
        <v>110595.93</v>
      </c>
      <c r="AA99" s="238">
        <f>IF($I99="B1","",SUM(O99:Z99))</f>
        <v>1039824.8000000003</v>
      </c>
      <c r="AB99" s="239">
        <f>IF(AA99=0,"",IFERROR(AA99/AA$19,""))</f>
        <v>0.25558324668523164</v>
      </c>
      <c r="AC99" s="140"/>
      <c r="AD99" s="238">
        <v>1968946.2586163001</v>
      </c>
      <c r="AE99" s="239">
        <f>IF(AD99=0,"",IFERROR(AD99/AD$19,""))</f>
        <v>0.2336518608896086</v>
      </c>
      <c r="AF99" s="254">
        <f>IF(AND($AA99="",AD99=""),"",$AA99-AD99)</f>
        <v>-929121.45861629979</v>
      </c>
      <c r="AG99" s="255">
        <v>1763705.53</v>
      </c>
      <c r="AH99" s="256">
        <f>IF(AG99=0,"",IFERROR(AG99/AG$19,""))</f>
        <v>0.27818942561286192</v>
      </c>
      <c r="AI99" s="254">
        <f>IF(AND($AA99="",AG99=""),"",$AA99-AG99)</f>
        <v>-723880.72999999975</v>
      </c>
      <c r="AJ99" s="229">
        <f>IFERROR(AA99/AA$20,0)</f>
        <v>51.861586034912733</v>
      </c>
      <c r="AK99" s="230">
        <f>IFERROR(AD99/AD$20,0)</f>
        <v>52.095416288300044</v>
      </c>
      <c r="AL99" s="231">
        <f>AJ99-AK99</f>
        <v>-0.23383025338731045</v>
      </c>
      <c r="AM99" s="232">
        <f>IFERROR(AG99/AG$20,0)</f>
        <v>53.637416519676421</v>
      </c>
      <c r="AN99" s="231">
        <f>AJ99-AM99</f>
        <v>-1.7758304847636879</v>
      </c>
      <c r="AO99" s="11"/>
    </row>
    <row r="100" spans="1:41" ht="15" thickBot="1" x14ac:dyDescent="0.4">
      <c r="A100" s="65" t="s">
        <v>36</v>
      </c>
      <c r="B100" s="66"/>
      <c r="C100" s="11"/>
      <c r="D100" s="11"/>
      <c r="E100" s="11"/>
      <c r="F100" s="11"/>
      <c r="G100" s="11"/>
      <c r="H100" s="88" t="s">
        <v>81</v>
      </c>
      <c r="I100" s="136" t="str">
        <f>IF(_epmOfflineCondition_,"T3",_xll.EVPRO($B$1,$H100,"STYLE"))</f>
        <v>T3</v>
      </c>
      <c r="J100" s="136" t="str">
        <f>IF(_epmOfflineCondition_,"Y",_xll.EVPRO($B$1,$H100,"CALC"))</f>
        <v>Y</v>
      </c>
      <c r="K100" s="106"/>
      <c r="L100" s="59"/>
      <c r="M100" s="90"/>
      <c r="N100" s="106" t="str">
        <f>IF(_epmOfflineCondition_,"Department Profit (Loss)",IF(_xll.EVDES(H100,$B$1)="#NODATA","",_xll.EVDES(H100,$B$1)))</f>
        <v>Department Profit (Loss)</v>
      </c>
      <c r="O100" s="169">
        <v>936426.25000000105</v>
      </c>
      <c r="P100" s="169">
        <v>927518.44</v>
      </c>
      <c r="Q100" s="169">
        <v>238284.46</v>
      </c>
      <c r="R100" s="169">
        <v>-25568.19</v>
      </c>
      <c r="S100" s="169">
        <v>-27841.8</v>
      </c>
      <c r="T100" s="169">
        <v>43042.09</v>
      </c>
      <c r="U100" s="169">
        <v>26985.759999999998</v>
      </c>
      <c r="V100" s="169">
        <v>61253.34</v>
      </c>
      <c r="W100" s="169">
        <v>132352</v>
      </c>
      <c r="X100" s="169">
        <v>180282.17</v>
      </c>
      <c r="Y100" s="169">
        <v>161917.63</v>
      </c>
      <c r="Z100" s="169">
        <v>373961.86</v>
      </c>
      <c r="AA100" s="169">
        <f>IF($I100="B1","",SUM(O100:Z100))</f>
        <v>3028614.0100000002</v>
      </c>
      <c r="AB100" s="170">
        <f>IF(AA100=0,"",IFERROR(AA100/AA$19,""))</f>
        <v>0.74441675331476842</v>
      </c>
      <c r="AC100" s="140"/>
      <c r="AD100" s="169">
        <v>6457891.2213837104</v>
      </c>
      <c r="AE100" s="170">
        <f>IF(AD100=0,"",IFERROR(AD100/AD$19,""))</f>
        <v>0.76634813911039257</v>
      </c>
      <c r="AF100" s="171">
        <f>IF(AND($AA100="",AD100=""),"",$AA100-AD100)</f>
        <v>-3429277.2113837101</v>
      </c>
      <c r="AG100" s="169">
        <v>4576239.01</v>
      </c>
      <c r="AH100" s="170">
        <f>IF(AG100=0,"",IFERROR(AG100/AG$19,""))</f>
        <v>0.72181057438713803</v>
      </c>
      <c r="AI100" s="171">
        <f>IF(AND($AA100="",AG100=""),"",$AA100-AG100)</f>
        <v>-1547624.9999999995</v>
      </c>
      <c r="AJ100" s="257">
        <f>IFERROR(AA100/AA$20,0)</f>
        <v>151.05306783042394</v>
      </c>
      <c r="AK100" s="258">
        <f>IFERROR(AD100/AD$20,0)</f>
        <v>170.86628446576825</v>
      </c>
      <c r="AL100" s="259">
        <f>AJ100-AK100</f>
        <v>-19.813216635344304</v>
      </c>
      <c r="AM100" s="260">
        <f>IFERROR(AG100/AG$20,0)</f>
        <v>139.17155312937169</v>
      </c>
      <c r="AN100" s="259">
        <f>AJ100-AM100</f>
        <v>11.881514701052254</v>
      </c>
      <c r="AO100" s="11"/>
    </row>
    <row r="101" spans="1:41" ht="15" thickTop="1" x14ac:dyDescent="0.35">
      <c r="A101" s="65" t="s">
        <v>37</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5" t="s">
        <v>38</v>
      </c>
      <c r="B102" s="66"/>
      <c r="C102" s="11"/>
      <c r="D102" s="11"/>
      <c r="E102" s="11"/>
      <c r="F102" s="11"/>
      <c r="G102" s="11"/>
      <c r="H102" s="11"/>
      <c r="I102" s="59"/>
      <c r="J102" s="59"/>
      <c r="K102" s="11"/>
      <c r="L102" s="59"/>
      <c r="M102" s="59"/>
      <c r="N102" s="104" t="str">
        <f>N99&amp;" - Check"</f>
        <v>Total Expenses - Check</v>
      </c>
      <c r="O102" s="209">
        <f t="shared" ref="O102:AA102" si="36">SUMIF($H$35:$H$100,"600000",O$35:O$100)+SUMIF($H$35:$H$100,"700000",O$35:O$100)-SUMIF($H$35:$H$100,"TOTDEPTEXP",O$35:O$100)</f>
        <v>0</v>
      </c>
      <c r="P102" s="209">
        <f t="shared" si="36"/>
        <v>0</v>
      </c>
      <c r="Q102" s="209">
        <f t="shared" si="36"/>
        <v>0</v>
      </c>
      <c r="R102" s="209">
        <f t="shared" si="36"/>
        <v>0</v>
      </c>
      <c r="S102" s="209">
        <f t="shared" si="36"/>
        <v>0</v>
      </c>
      <c r="T102" s="209">
        <f t="shared" si="36"/>
        <v>0</v>
      </c>
      <c r="U102" s="209">
        <f t="shared" si="36"/>
        <v>0</v>
      </c>
      <c r="V102" s="209">
        <f t="shared" si="36"/>
        <v>0</v>
      </c>
      <c r="W102" s="209">
        <f t="shared" si="36"/>
        <v>0</v>
      </c>
      <c r="X102" s="209">
        <f t="shared" si="36"/>
        <v>0</v>
      </c>
      <c r="Y102" s="209">
        <f t="shared" si="36"/>
        <v>0</v>
      </c>
      <c r="Z102" s="209">
        <f t="shared" si="36"/>
        <v>0</v>
      </c>
      <c r="AA102" s="209">
        <f t="shared" si="36"/>
        <v>0</v>
      </c>
      <c r="AB102" s="100"/>
      <c r="AC102" s="11"/>
      <c r="AD102" s="209">
        <f>SUMIF($H$35:$H$100,"600000",AD$35:AD$100)+SUMIF($H$35:$H$100,"700000",AD$35:AD$100)-SUMIF($H$35:$H$100,"TOTDEPTEXP",AD$35:AD$100)</f>
        <v>0</v>
      </c>
      <c r="AE102" s="100"/>
      <c r="AF102" s="91"/>
      <c r="AG102" s="209">
        <f>SUMIF($H$35:$H$100,"600000",AG$35:AG$100)+SUMIF($H$35:$H$100,"700000",AG$35:AG$100)-SUMIF($H$35:$H$100,"TOTDEPTEXP",AG$35:AG$100)</f>
        <v>0</v>
      </c>
      <c r="AH102" s="100"/>
      <c r="AI102" s="91"/>
      <c r="AJ102" s="11"/>
      <c r="AK102" s="11"/>
      <c r="AL102" s="11"/>
      <c r="AM102" s="11"/>
      <c r="AN102" s="11"/>
      <c r="AO102" s="11"/>
    </row>
    <row r="103" spans="1:41" x14ac:dyDescent="0.35">
      <c r="A103" s="65" t="s">
        <v>39</v>
      </c>
      <c r="B103" s="66"/>
      <c r="C103" s="11"/>
      <c r="D103" s="11"/>
      <c r="E103" s="11"/>
      <c r="F103" s="11"/>
      <c r="G103" s="11"/>
      <c r="H103" s="11"/>
      <c r="I103" s="59"/>
      <c r="J103" s="59"/>
      <c r="K103" s="11"/>
      <c r="L103" s="59"/>
      <c r="M103" s="59"/>
      <c r="N103" s="104" t="str">
        <f>N100&amp;" - Check"</f>
        <v>Department Profit (Loss) - Check</v>
      </c>
      <c r="O103" s="209">
        <f t="shared" ref="O103:AA103" si="37">SUMIF($H$35:$H$100,"ROOMS_TOT",O$35:O$100)-SUMIF($H$35:$H$100,"TOTDEPTEXP",O$35:O$100)-SUMIF($H$35:$H$100,"TOTDEPTPL",O$35:O$100)</f>
        <v>-1.0477378964424133E-9</v>
      </c>
      <c r="P103" s="209">
        <f t="shared" si="37"/>
        <v>0</v>
      </c>
      <c r="Q103" s="209">
        <f t="shared" si="37"/>
        <v>0</v>
      </c>
      <c r="R103" s="209">
        <f t="shared" si="37"/>
        <v>0</v>
      </c>
      <c r="S103" s="209">
        <f t="shared" si="37"/>
        <v>0</v>
      </c>
      <c r="T103" s="209">
        <f t="shared" si="37"/>
        <v>0</v>
      </c>
      <c r="U103" s="209">
        <f t="shared" si="37"/>
        <v>0</v>
      </c>
      <c r="V103" s="209">
        <f t="shared" si="37"/>
        <v>0</v>
      </c>
      <c r="W103" s="209">
        <f t="shared" si="37"/>
        <v>0</v>
      </c>
      <c r="X103" s="209">
        <f t="shared" si="37"/>
        <v>0</v>
      </c>
      <c r="Y103" s="209">
        <f t="shared" si="37"/>
        <v>0</v>
      </c>
      <c r="Z103" s="209">
        <f t="shared" si="37"/>
        <v>0</v>
      </c>
      <c r="AA103" s="209">
        <f t="shared" si="37"/>
        <v>0</v>
      </c>
      <c r="AB103" s="100"/>
      <c r="AC103" s="11"/>
      <c r="AD103" s="209">
        <f>SUMIF($H$35:$H$100,"ROOMS_TOT",AD$35:AD$100)-SUMIF($H$35:$H$100,"TOTDEPTEXP",AD$35:AD$100)-SUMIF($H$35:$H$100,"TOTDEPTPL",AD$35:AD$100)</f>
        <v>0</v>
      </c>
      <c r="AE103" s="100"/>
      <c r="AF103" s="91"/>
      <c r="AG103" s="209">
        <f>SUMIF($H$35:$H$100,"ROOMS_TOT",AG$35:AG$100)-SUMIF($H$35:$H$100,"TOTDEPTEXP",AG$35:AG$100)-SUMIF($H$35:$H$100,"TOTDEPTPL",AG$35:AG$100)</f>
        <v>0</v>
      </c>
      <c r="AH103" s="100"/>
      <c r="AI103" s="91"/>
      <c r="AJ103" s="11"/>
      <c r="AK103" s="11"/>
      <c r="AL103" s="11"/>
      <c r="AM103" s="11"/>
      <c r="AN103" s="11"/>
      <c r="AO103" s="11"/>
    </row>
    <row r="104" spans="1:41" x14ac:dyDescent="0.35">
      <c r="A104" s="65" t="s">
        <v>40</v>
      </c>
      <c r="B104" s="66"/>
      <c r="C104" s="11"/>
      <c r="D104" s="11"/>
      <c r="E104" s="11"/>
      <c r="F104" s="11"/>
      <c r="G104" s="11"/>
      <c r="H104" s="11"/>
      <c r="I104" s="59"/>
      <c r="J104" s="59"/>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41</v>
      </c>
      <c r="B105" s="66"/>
      <c r="C105" s="11"/>
      <c r="D105" s="11"/>
      <c r="E105" s="11"/>
      <c r="F105" s="11"/>
      <c r="G105" s="11"/>
      <c r="H105" s="11"/>
      <c r="I105" s="59"/>
      <c r="J105" s="59"/>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42</v>
      </c>
      <c r="B106" s="66"/>
      <c r="C106" s="11"/>
      <c r="D106" s="11"/>
      <c r="E106" s="11"/>
      <c r="F106" s="11"/>
      <c r="G106" s="11"/>
      <c r="H106" s="11"/>
      <c r="I106" s="59"/>
      <c r="J106" s="59"/>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43</v>
      </c>
      <c r="B107" s="66"/>
      <c r="C107" s="11"/>
      <c r="D107" s="11"/>
      <c r="E107" s="11"/>
      <c r="F107" s="11"/>
      <c r="G107" s="11"/>
      <c r="H107" s="11"/>
      <c r="I107" s="59"/>
      <c r="J107" s="59"/>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44</v>
      </c>
      <c r="B108" s="66"/>
      <c r="C108" s="11"/>
      <c r="D108" s="11"/>
      <c r="E108" s="11"/>
      <c r="F108" s="11"/>
      <c r="G108" s="11"/>
      <c r="H108" s="11"/>
      <c r="I108" s="59"/>
      <c r="J108" s="59"/>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45</v>
      </c>
      <c r="B109" s="66"/>
      <c r="C109" s="11"/>
      <c r="D109" s="11"/>
      <c r="E109" s="11"/>
      <c r="F109" s="11"/>
      <c r="G109" s="11"/>
      <c r="H109" s="11"/>
      <c r="I109" s="59"/>
      <c r="J109" s="59"/>
      <c r="K109" s="11"/>
      <c r="L109" s="59"/>
      <c r="M109" s="59"/>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46</v>
      </c>
      <c r="B110" s="66"/>
      <c r="C110" s="11"/>
      <c r="D110" s="11"/>
      <c r="E110" s="11"/>
      <c r="F110" s="11"/>
      <c r="G110" s="11"/>
      <c r="H110" s="59"/>
      <c r="I110" s="59"/>
      <c r="J110" s="11"/>
      <c r="K110" s="11"/>
      <c r="L110" s="59"/>
      <c r="M110" s="59"/>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59"/>
      <c r="I111" s="59"/>
      <c r="J111" s="11"/>
      <c r="K111" s="11"/>
      <c r="L111" s="59"/>
      <c r="M111" s="59"/>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59"/>
      <c r="M112" s="59"/>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59"/>
      <c r="I113" s="59"/>
      <c r="J113" s="11"/>
      <c r="K113" s="11"/>
      <c r="L113" s="59"/>
      <c r="M113" s="59"/>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59"/>
      <c r="I114" s="59"/>
      <c r="J114" s="11"/>
      <c r="K114" s="11"/>
      <c r="L114" s="59"/>
      <c r="M114" s="59"/>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11"/>
      <c r="B115" s="11"/>
      <c r="C115" s="11"/>
      <c r="D115" s="11"/>
      <c r="E115" s="11"/>
      <c r="F115" s="11"/>
      <c r="G115" s="11"/>
      <c r="H115" s="59"/>
      <c r="I115" s="59"/>
      <c r="J115" s="11"/>
      <c r="K115" s="11"/>
      <c r="L115" s="59"/>
      <c r="M115" s="59"/>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11"/>
      <c r="B116" s="11"/>
      <c r="C116" s="11"/>
      <c r="D116" s="11"/>
      <c r="E116" s="11"/>
      <c r="F116" s="11"/>
      <c r="G116" s="11"/>
      <c r="H116" s="59"/>
      <c r="I116" s="59"/>
      <c r="J116" s="11"/>
      <c r="K116" s="11"/>
      <c r="L116" s="59"/>
      <c r="M116" s="59"/>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11"/>
      <c r="B117" s="11"/>
      <c r="C117" s="11"/>
      <c r="D117" s="11"/>
      <c r="E117" s="11"/>
      <c r="F117" s="11"/>
      <c r="G117" s="11"/>
      <c r="H117" s="59"/>
      <c r="I117" s="59"/>
      <c r="J117" s="11"/>
      <c r="K117" s="11"/>
      <c r="L117" s="59"/>
      <c r="M117" s="59"/>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11"/>
      <c r="B118" s="11"/>
      <c r="C118" s="11"/>
      <c r="D118" s="11"/>
      <c r="E118" s="11"/>
      <c r="F118" s="11"/>
      <c r="G118" s="11"/>
      <c r="H118" s="59"/>
      <c r="I118" s="59"/>
      <c r="J118" s="11"/>
      <c r="K118" s="11"/>
      <c r="L118" s="59"/>
      <c r="M118" s="59"/>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11"/>
      <c r="B119" s="11"/>
      <c r="C119" s="11"/>
      <c r="D119" s="11"/>
      <c r="E119" s="11"/>
      <c r="F119" s="11"/>
      <c r="G119" s="11"/>
      <c r="H119" s="59"/>
      <c r="I119" s="59"/>
      <c r="J119" s="11"/>
      <c r="K119" s="11"/>
      <c r="L119" s="59"/>
      <c r="M119" s="59"/>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59"/>
      <c r="I120" s="59"/>
      <c r="J120" s="11"/>
      <c r="K120" s="11"/>
      <c r="L120" s="59"/>
      <c r="M120" s="59"/>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11"/>
      <c r="F121" s="11"/>
      <c r="G121" s="11"/>
      <c r="H121" s="59"/>
      <c r="I121" s="59"/>
      <c r="J121" s="11"/>
      <c r="K121" s="11"/>
      <c r="L121" s="59"/>
      <c r="M121" s="59"/>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59"/>
      <c r="M122" s="59"/>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59"/>
      <c r="M123" s="59"/>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11"/>
      <c r="B124" s="11"/>
      <c r="C124" s="11"/>
      <c r="D124" s="11"/>
      <c r="E124" s="11"/>
      <c r="F124" s="11"/>
      <c r="G124" s="11"/>
      <c r="H124" s="59"/>
      <c r="I124" s="59"/>
      <c r="J124" s="11"/>
      <c r="K124" s="11"/>
      <c r="L124" s="59"/>
      <c r="M124" s="59"/>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11"/>
      <c r="B125" s="11"/>
      <c r="C125" s="11"/>
      <c r="D125" s="11"/>
      <c r="E125" s="11"/>
      <c r="F125" s="11"/>
      <c r="G125" s="11"/>
      <c r="H125" s="59"/>
      <c r="I125" s="59"/>
      <c r="J125" s="11"/>
      <c r="K125" s="11"/>
      <c r="L125" s="59"/>
      <c r="M125" s="59"/>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11"/>
      <c r="B126" s="11"/>
      <c r="C126" s="11"/>
      <c r="D126" s="11"/>
      <c r="E126" s="11"/>
      <c r="F126" s="11"/>
      <c r="G126" s="11"/>
      <c r="H126" s="59"/>
      <c r="I126" s="59"/>
      <c r="J126" s="11"/>
      <c r="K126" s="11"/>
      <c r="L126" s="59"/>
      <c r="M126" s="59"/>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11"/>
      <c r="B127" s="11"/>
      <c r="C127" s="11"/>
      <c r="D127" s="11"/>
      <c r="E127" s="11"/>
      <c r="F127" s="11"/>
      <c r="G127" s="11"/>
      <c r="H127" s="59"/>
      <c r="I127" s="59"/>
      <c r="J127" s="11"/>
      <c r="K127" s="11"/>
      <c r="L127" s="59"/>
      <c r="M127" s="59"/>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11"/>
      <c r="B128" s="11"/>
      <c r="C128" s="11"/>
      <c r="D128" s="11"/>
      <c r="E128" s="11"/>
      <c r="F128" s="11"/>
      <c r="G128" s="11"/>
      <c r="H128" s="59"/>
      <c r="I128" s="59"/>
      <c r="J128" s="11"/>
      <c r="K128" s="11"/>
      <c r="L128" s="59"/>
      <c r="M128" s="59"/>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11"/>
      <c r="B129" s="11"/>
      <c r="C129" s="11"/>
      <c r="D129" s="11"/>
      <c r="E129" s="11"/>
      <c r="F129" s="11"/>
      <c r="G129" s="11"/>
      <c r="H129" s="59"/>
      <c r="I129" s="59"/>
      <c r="J129" s="11"/>
      <c r="K129" s="11"/>
      <c r="L129" s="59"/>
      <c r="M129" s="59"/>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11"/>
      <c r="B130" s="11"/>
      <c r="C130" s="11"/>
      <c r="D130" s="11"/>
      <c r="E130" s="11"/>
      <c r="F130" s="11"/>
      <c r="G130" s="11"/>
      <c r="H130" s="59"/>
      <c r="I130" s="59"/>
      <c r="J130" s="11"/>
      <c r="K130" s="11"/>
      <c r="L130" s="59"/>
      <c r="M130" s="59"/>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11"/>
      <c r="B131" s="11"/>
      <c r="C131" s="11"/>
      <c r="D131" s="11"/>
      <c r="E131" s="11"/>
      <c r="F131" s="11"/>
      <c r="G131" s="11"/>
      <c r="H131" s="59"/>
      <c r="I131" s="59"/>
      <c r="J131" s="11"/>
      <c r="K131" s="11"/>
      <c r="L131" s="59"/>
      <c r="M131" s="59"/>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11"/>
      <c r="B132" s="11"/>
      <c r="C132" s="11"/>
      <c r="D132" s="11"/>
      <c r="E132" s="11"/>
      <c r="F132" s="11"/>
      <c r="G132" s="11"/>
      <c r="H132" s="59"/>
      <c r="I132" s="59"/>
      <c r="J132" s="11"/>
      <c r="K132" s="11"/>
      <c r="L132" s="59"/>
      <c r="M132" s="59"/>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sheetData>
  <sheetProtection algorithmName="SHA-512" hashValue="+u4kJKfXrRQroHNbXinjPICoTJ/llmXfs+ekgpln3Q2W7gI0cko6xBSq2RDm5iSDAK5H4t21CE1Qo5zvzdpbdA==" saltValue="3RVEjdzwZ7UwUyTAtnzAcw==" spinCount="100000" sheet="1" scenarios="1"/>
  <mergeCells count="2">
    <mergeCell ref="AD31:AE31"/>
    <mergeCell ref="AG31:AH31"/>
  </mergeCells>
  <dataValidations disablePrompts="1" count="2">
    <dataValidation type="list" allowBlank="1" sqref="B29 B59" xr:uid="{00000000-0002-0000-0200-000000000000}">
      <formula1>"SELF,ALL,BAS,DEP,BASMEMBERS,MEMBERS,NOEXPAND,GDEP"</formula1>
    </dataValidation>
    <dataValidation type="list" allowBlank="1" sqref="B28 B58" xr:uid="{00000000-0002-0000-0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102"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4102" r:id="rId7"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1" hidden="1" customWidth="1" outlineLevel="1" collapsed="1"/>
    <col min="13" max="13" width="9.7265625" style="1" hidden="1" customWidth="1" outlineLevel="1"/>
    <col min="14" max="14" width="35.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60</v>
      </c>
      <c r="C6" s="11" t="str">
        <f>IF(_epmOfflineCondition_,"Rooms",_xll.EVDES(B6,$B$1))</f>
        <v>Rooms</v>
      </c>
      <c r="D6" s="11"/>
      <c r="E6" s="58" t="str">
        <f>IF(_epmOfflineCondition_,"D_ROOMS",_xll.EVPRO($B$1,$B$6,$F$6))</f>
        <v>D_ROOMS</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53" t="s">
        <v>361</v>
      </c>
      <c r="C14" s="26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IF(_epmOfflineCondition_,"'MMA'!$B$2:$B$10",_xll.EVRNG($B$2:$B$10))</f>
        <v>'MMA'!$B$2:$B$10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IF(_epmOfflineCondition_,"'MMA'!$O$16:$AI$18",_xll.EVRNG(O16:AI18))</f>
        <v>'MMA'!$O$16:$AI$18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IF(SetUp!$O$1=TRUE,"TRAILING12",IF(AA17="CURRENT","ROLLINGFORECAST","PERIODIC"))</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IF(_epmOfflineCondition_,"'MMA'!$H$34:$H$69,'MMA'!$H$72:$H$116,'MMA'!$H$119:$H$152",_xll.EVRNG(H34:H69,H72:H116,H119:H152))</f>
        <v>'MMA'!$H$34:$H$69,'MMA'!$H$72:$H$116,'MMA'!$H$119:$H$152</v>
      </c>
      <c r="C19" s="11"/>
      <c r="D19" s="11"/>
      <c r="E19" s="11"/>
      <c r="F19" s="11"/>
      <c r="G19" s="67" t="str">
        <f>$B$6</f>
        <v>D_ROOMS_CON</v>
      </c>
      <c r="H19" s="67">
        <v>400000</v>
      </c>
      <c r="I19" s="68"/>
      <c r="J19" s="68"/>
      <c r="K19" s="67"/>
      <c r="L19" s="67"/>
      <c r="M19" s="67"/>
      <c r="N19" s="67" t="str">
        <f>IF(_epmOfflineCondition_,"Total Revenue",_xll.EVDES(H19))</f>
        <v>Total Revenue</v>
      </c>
      <c r="O19" s="69">
        <f>IF(_epmOfflineCondition_,1108171.46,_xll.EVGTS($B$1,1,$B$3,$B$5,$B$7,$B$9,O$16,O$17,O$18,$G$19,$H$19))</f>
        <v>1108171.46</v>
      </c>
      <c r="P19" s="69">
        <f>IF(_epmOfflineCondition_,1121974.83,_xll.EVGTS($B$1,1,$B$3,$B$5,$B$7,$B$9,P$16,P$17,P$18,$G$19,$H$19))</f>
        <v>1121974.83</v>
      </c>
      <c r="Q19" s="69">
        <f>IF(_epmOfflineCondition_,362654.36,_xll.EVGTS($B$1,1,$B$3,$B$5,$B$7,$B$9,Q$16,Q$17,Q$18,$G$19,$H$19))</f>
        <v>362654.36</v>
      </c>
      <c r="R19" s="69">
        <f>IF(_epmOfflineCondition_,-6257.08,_xll.EVGTS($B$1,1,$B$3,$B$5,$B$7,$B$9,R$16,R$17,R$18,$G$19,$H$19))</f>
        <v>-6257.08</v>
      </c>
      <c r="S19" s="69">
        <f>IF(_epmOfflineCondition_,-9836,_xll.EVGTS($B$1,1,$B$3,$B$5,$B$7,$B$9,S$16,S$17,S$18,$G$19,$H$19))</f>
        <v>-9836</v>
      </c>
      <c r="T19" s="69">
        <f>IF(_epmOfflineCondition_,89865.39,_xll.EVGTS($B$1,1,$B$3,$B$5,$B$7,$B$9,T$16,T$17,T$18,$G$19,$H$19))</f>
        <v>89865.39</v>
      </c>
      <c r="U19" s="69">
        <f>IF(_epmOfflineCondition_,73614.19,_xll.EVGTS($B$1,1,$B$3,$B$5,$B$7,$B$9,U$16,U$17,U$18,$G$19,$H$19))</f>
        <v>73614.19</v>
      </c>
      <c r="V19" s="69">
        <f>IF(_epmOfflineCondition_,115214.64,_xll.EVGTS($B$1,1,$B$3,$B$5,$B$7,$B$9,V$16,V$17,V$18,$G$19,$H$19))</f>
        <v>115214.64</v>
      </c>
      <c r="W19" s="69">
        <f>IF(_epmOfflineCondition_,210916.56,_xll.EVGTS($B$1,1,$B$3,$B$5,$B$7,$B$9,W$16,W$17,W$18,$G$19,$H$19))</f>
        <v>210916.56</v>
      </c>
      <c r="X19" s="69">
        <f>IF(_epmOfflineCondition_,258182.46,_xll.EVGTS($B$1,1,$B$3,$B$5,$B$7,$B$9,X$16,X$17,X$18,$G$19,$H$19))</f>
        <v>258182.46</v>
      </c>
      <c r="Y19" s="69">
        <f>IF(_epmOfflineCondition_,259380.21,_xll.EVGTS($B$1,1,$B$3,$B$5,$B$7,$B$9,Y$16,Y$17,Y$18,$G$19,$H$19))</f>
        <v>259380.21</v>
      </c>
      <c r="Z19" s="69">
        <f>IF(_epmOfflineCondition_,484557.79,_xll.EVGTS($B$1,1,$B$3,$B$5,$B$7,$B$9,Z$16,Z$17,Z$18,$G$19,$H$19))</f>
        <v>484557.79</v>
      </c>
      <c r="AA19" s="69">
        <f>SUM(O19:Z19)</f>
        <v>4068438.81</v>
      </c>
      <c r="AB19" s="67"/>
      <c r="AC19" s="67"/>
      <c r="AD19" s="69">
        <f>IF(_epmOfflineCondition_,8426837.48,_xll.EVGTS($B$1,1,$B$3,$B$5,$B$7,$B$9,AD$16,AD$17,AD$18,$G$19,$H$19))</f>
        <v>8426837.4800000004</v>
      </c>
      <c r="AE19" s="67"/>
      <c r="AF19" s="67"/>
      <c r="AG19" s="69">
        <f>IF(_epmOfflineCondition_,6339944.54,_xll.EVGTS($B$1,1,$B$3,$B$5,$B$7,$B$9,AG$16,AG$17,AG$18,$G$19,$H$19))</f>
        <v>6339944.54</v>
      </c>
      <c r="AH19" s="67"/>
      <c r="AI19" s="67"/>
    </row>
    <row r="20" spans="1:35" hidden="1" outlineLevel="1" x14ac:dyDescent="0.35">
      <c r="A20" s="65" t="s">
        <v>5</v>
      </c>
      <c r="B20" s="66"/>
      <c r="C20" s="11"/>
      <c r="D20" s="11"/>
      <c r="E20" s="11"/>
      <c r="F20" s="11"/>
      <c r="G20" s="67" t="str">
        <f>$B$6</f>
        <v>D_ROOMS_CON</v>
      </c>
      <c r="H20" s="67">
        <v>900200</v>
      </c>
      <c r="I20" s="68"/>
      <c r="J20" s="68"/>
      <c r="K20" s="67"/>
      <c r="L20" s="67"/>
      <c r="M20" s="67"/>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row>
    <row r="21" spans="1:35" hidden="1" outlineLevel="1" x14ac:dyDescent="0.35">
      <c r="A21" s="65" t="s">
        <v>6</v>
      </c>
      <c r="B21" s="66"/>
      <c r="C21" s="11"/>
      <c r="D21" s="11"/>
      <c r="E21" s="11"/>
      <c r="F21" s="11"/>
      <c r="G21" s="11"/>
      <c r="H21" s="11"/>
      <c r="I21" s="59"/>
      <c r="J21" s="59"/>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59"/>
      <c r="J22" s="59"/>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IF(_epmOfflineCondition_,"'MMA'!$A$28:$B$49",_xll.EVRNG($A$28:$B$49))</f>
        <v>'MMA'!$A$28:$B$49</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11"/>
      <c r="B26" s="11"/>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2" t="s">
        <v>23</v>
      </c>
      <c r="B27" s="63" t="s">
        <v>24</v>
      </c>
      <c r="C27" s="11"/>
      <c r="D27" s="11"/>
      <c r="E27" s="11"/>
      <c r="F27" s="11"/>
      <c r="G27" s="11"/>
      <c r="H27" s="11"/>
      <c r="I27" s="59"/>
      <c r="J27" s="59"/>
      <c r="K27" s="11"/>
      <c r="L27" s="11"/>
      <c r="M27" s="11"/>
      <c r="N27" s="71" t="str">
        <f>IF(_epmOfflineCondition_,"Rooms Department",IF(_xll.EVDES(B6,$B$1)="#NODATA","",_xll.EVDES(B6,$B$1)&amp;" Department"))</f>
        <v>Rooms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25</v>
      </c>
      <c r="B28" s="66"/>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26</v>
      </c>
      <c r="B29" s="66"/>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row>
    <row r="30" spans="1:35" x14ac:dyDescent="0.35">
      <c r="A30" s="65" t="s">
        <v>27</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28</v>
      </c>
      <c r="B31" s="66"/>
      <c r="C31" s="11"/>
      <c r="D31" s="11"/>
      <c r="E31" s="11"/>
      <c r="F31" s="11"/>
      <c r="G31" s="76"/>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65" t="s">
        <v>29</v>
      </c>
      <c r="B32" s="66"/>
      <c r="C32" s="11"/>
      <c r="D32" s="11"/>
      <c r="E32" s="11"/>
      <c r="F32" s="11"/>
      <c r="G32" s="83"/>
      <c r="H32" s="84"/>
      <c r="I32" s="85"/>
      <c r="J32" s="85"/>
      <c r="K32" s="83"/>
      <c r="L32" s="83"/>
      <c r="M32" s="83"/>
      <c r="N32" s="262" t="s">
        <v>219</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11"/>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x14ac:dyDescent="0.35">
      <c r="A33" s="65" t="s">
        <v>30</v>
      </c>
      <c r="B33" s="66" t="s">
        <v>78</v>
      </c>
      <c r="C33" s="11"/>
      <c r="D33" s="11"/>
      <c r="E33" s="11"/>
      <c r="F33" s="11"/>
      <c r="G33" s="11"/>
      <c r="H33" s="11" t="s">
        <v>69</v>
      </c>
      <c r="I33" s="59" t="str">
        <f>IF(_epmOfflineCondition_,"B1",_xll.EVPRO($B$1,$H33,"STYLE"))</f>
        <v>B1</v>
      </c>
      <c r="J33" s="59" t="str">
        <f>IF(_epmOfflineCondition_,"Y",_xll.EVPRO($B$1,$H33,"CALC"))</f>
        <v>Y</v>
      </c>
      <c r="K33" s="11"/>
      <c r="L33" s="133" t="s">
        <v>364</v>
      </c>
      <c r="M33" s="133" t="s">
        <v>782</v>
      </c>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263"/>
      <c r="AG33" s="129"/>
      <c r="AH33" s="130"/>
      <c r="AI33" s="131"/>
    </row>
    <row r="34" spans="1:35" x14ac:dyDescent="0.35">
      <c r="A34" s="65" t="s">
        <v>31</v>
      </c>
      <c r="B34" s="66" t="s">
        <v>78</v>
      </c>
      <c r="C34" s="11"/>
      <c r="D34" s="11"/>
      <c r="E34" s="11"/>
      <c r="F34" s="11"/>
      <c r="G34" s="11"/>
      <c r="H34" s="88" t="s">
        <v>83</v>
      </c>
      <c r="I34" s="89" t="str">
        <f>IF(_epmOfflineCondition_,"T5",_xll.EVPRO($B$1,$H34,"STYLE"))</f>
        <v>T5</v>
      </c>
      <c r="J34" s="89" t="str">
        <f>IF(_epmOfflineCondition_,"Y",_xll.EVPRO($B$1,$H34,"CALC"))</f>
        <v>Y</v>
      </c>
      <c r="K34" s="107"/>
      <c r="L34" s="106" t="str">
        <f>IF(_epmOfflineCondition_,"",_xll.EVPRO($B$1,H34,"JDEID"))</f>
        <v/>
      </c>
      <c r="M34" s="90" t="str">
        <f>IF(_epmOfflineCondition_,"",IF(AND(I34="N",J34="N"),_xll.EVPRO($B$1,H34,"PSFTID"),""))</f>
        <v/>
      </c>
      <c r="N34" s="106" t="str">
        <f>IF(_epmOfflineCondition_,"Retail",IF(_xll.EVDES(H34,$B$1)="#NODATA","",_xll.EVDES(H34,$B$1)))</f>
        <v>Retail</v>
      </c>
      <c r="O34" s="269">
        <v>277288.84000000003</v>
      </c>
      <c r="P34" s="270">
        <v>348321.74</v>
      </c>
      <c r="Q34" s="270">
        <v>149509.23000000001</v>
      </c>
      <c r="R34" s="270">
        <v>-2589.66</v>
      </c>
      <c r="S34" s="270">
        <v>-2735.32</v>
      </c>
      <c r="T34" s="270">
        <v>54997.72</v>
      </c>
      <c r="U34" s="270">
        <v>40875.660000000003</v>
      </c>
      <c r="V34" s="270">
        <v>53976.51</v>
      </c>
      <c r="W34" s="270">
        <v>77550.27</v>
      </c>
      <c r="X34" s="270">
        <v>61586.97</v>
      </c>
      <c r="Y34" s="270">
        <v>74286.990000000005</v>
      </c>
      <c r="Z34" s="270">
        <v>174185.92</v>
      </c>
      <c r="AA34" s="270">
        <f t="shared" ref="AA34:AA52" si="0">SUM(O34:Z34)</f>
        <v>1307254.8700000001</v>
      </c>
      <c r="AB34" s="271">
        <f t="shared" ref="AB34:AB69" si="1">IF(AA34=0,"",IFERROR(AA34/AA$19,""))</f>
        <v>0.32131609471103245</v>
      </c>
      <c r="AC34" s="140"/>
      <c r="AD34" s="272">
        <v>2488963.1800000002</v>
      </c>
      <c r="AE34" s="271">
        <f t="shared" ref="AE34:AE69" si="2">IF(AD34=0,"",IFERROR(AD34/AD$19,""))</f>
        <v>0.29536147883559277</v>
      </c>
      <c r="AF34" s="273">
        <f t="shared" ref="AF34:AF69" si="3">IF(AND($AA34="",AD34=""),"",$AA34-AD34)</f>
        <v>-1181708.31</v>
      </c>
      <c r="AG34" s="273">
        <v>1655848.53</v>
      </c>
      <c r="AH34" s="271">
        <f t="shared" ref="AH34:AH69" si="4">IF(AG34=0,"",IFERROR(AG34/AG$19,""))</f>
        <v>0.26117713168512985</v>
      </c>
      <c r="AI34" s="274">
        <f t="shared" ref="AI34:AI69" si="5">IF(AND($AA34="",AG34=""),"",$AA34-AG34)</f>
        <v>-348593.65999999992</v>
      </c>
    </row>
    <row r="35" spans="1:35" x14ac:dyDescent="0.35">
      <c r="A35" s="65" t="s">
        <v>32</v>
      </c>
      <c r="B35" s="66"/>
      <c r="C35" s="11"/>
      <c r="D35" s="11"/>
      <c r="E35" s="11"/>
      <c r="F35" s="11"/>
      <c r="G35" s="11"/>
      <c r="H35" s="88" t="s">
        <v>121</v>
      </c>
      <c r="I35" s="104" t="str">
        <f>IF(_epmOfflineCondition_,"T6",_xll.EVPRO($B$1,$H35,"STYLE"))</f>
        <v>T6</v>
      </c>
      <c r="J35" s="104" t="str">
        <f>IF(_epmOfflineCondition_,"Y",_xll.EVPRO($B$1,$H35,"CALC"))</f>
        <v>Y</v>
      </c>
      <c r="K35" s="104"/>
      <c r="L35" s="104" t="str">
        <f>IF(_epmOfflineCondition_,"402100",_xll.EVPRO($B$1,H35,"JDEID"))</f>
        <v>402100</v>
      </c>
      <c r="M35" s="90" t="str">
        <f>IF(_epmOfflineCondition_,"",IF(AND(I35="N",J35="N"),_xll.EVPRO($B$1,H35,"PSFTID"),""))</f>
        <v/>
      </c>
      <c r="N35" s="104" t="str">
        <f>IF(_epmOfflineCondition_,"Room Only",IF(_xll.EVDES(H35,$B$1)="#NODATA","",_xll.EVDES(H35,$B$1)))</f>
        <v>Room Only</v>
      </c>
      <c r="O35" s="275">
        <v>72477.63</v>
      </c>
      <c r="P35" s="276">
        <v>143949.38</v>
      </c>
      <c r="Q35" s="276">
        <v>25319.66</v>
      </c>
      <c r="R35" s="276"/>
      <c r="S35" s="276"/>
      <c r="T35" s="276">
        <v>10194.49</v>
      </c>
      <c r="U35" s="276">
        <v>9591.59</v>
      </c>
      <c r="V35" s="276">
        <v>16716.04</v>
      </c>
      <c r="W35" s="276">
        <v>24506.32</v>
      </c>
      <c r="X35" s="276">
        <v>18659.490000000002</v>
      </c>
      <c r="Y35" s="276">
        <v>15467.62</v>
      </c>
      <c r="Z35" s="276">
        <v>30378.34</v>
      </c>
      <c r="AA35" s="276">
        <f t="shared" si="0"/>
        <v>367260.56</v>
      </c>
      <c r="AB35" s="277">
        <f t="shared" si="1"/>
        <v>9.0270636268952514E-2</v>
      </c>
      <c r="AC35" s="140"/>
      <c r="AD35" s="278">
        <v>704953.01</v>
      </c>
      <c r="AE35" s="277">
        <f t="shared" si="2"/>
        <v>8.3655702589864114E-2</v>
      </c>
      <c r="AF35" s="279">
        <f t="shared" si="3"/>
        <v>-337692.45</v>
      </c>
      <c r="AG35" s="279">
        <v>466705.13</v>
      </c>
      <c r="AH35" s="277">
        <f t="shared" si="4"/>
        <v>7.3613440473408301E-2</v>
      </c>
      <c r="AI35" s="280">
        <f t="shared" si="5"/>
        <v>-99444.57</v>
      </c>
    </row>
    <row r="36" spans="1:35" x14ac:dyDescent="0.35">
      <c r="A36" s="65" t="s">
        <v>33</v>
      </c>
      <c r="B36" s="66"/>
      <c r="C36" s="11"/>
      <c r="D36" s="11"/>
      <c r="E36" s="11"/>
      <c r="F36" s="11"/>
      <c r="G36" s="11"/>
      <c r="H36" s="88" t="s">
        <v>122</v>
      </c>
      <c r="I36" s="104" t="str">
        <f>IF(_epmOfflineCondition_,"T6",_xll.EVPRO($B$1,$H36,"STYLE"))</f>
        <v>T6</v>
      </c>
      <c r="J36" s="104" t="str">
        <f>IF(_epmOfflineCondition_,"Y",_xll.EVPRO($B$1,$H36,"CALC"))</f>
        <v>Y</v>
      </c>
      <c r="K36" s="104"/>
      <c r="L36" s="104" t="str">
        <f>IF(_epmOfflineCondition_,"402130",_xll.EVPRO($B$1,H36,"JDEID"))</f>
        <v>402130</v>
      </c>
      <c r="M36" s="90" t="str">
        <f>IF(_epmOfflineCondition_,"",IF(AND(I36="N",J36="N"),_xll.EVPRO($B$1,H36,"PSFTID"),""))</f>
        <v/>
      </c>
      <c r="N36" s="104" t="str">
        <f>IF(_epmOfflineCondition_,"Retail Web",IF(_xll.EVDES(H36,$B$1)="#NODATA","",_xll.EVDES(H36,$B$1)))</f>
        <v>Retail Web</v>
      </c>
      <c r="O36" s="275">
        <v>204811.21</v>
      </c>
      <c r="P36" s="276">
        <v>204372.36</v>
      </c>
      <c r="Q36" s="276">
        <v>124189.57</v>
      </c>
      <c r="R36" s="276">
        <v>-2589.66</v>
      </c>
      <c r="S36" s="276">
        <v>-2735.32</v>
      </c>
      <c r="T36" s="276">
        <v>44803.23</v>
      </c>
      <c r="U36" s="276">
        <v>31284.07</v>
      </c>
      <c r="V36" s="276">
        <v>37260.47</v>
      </c>
      <c r="W36" s="276">
        <v>53043.95</v>
      </c>
      <c r="X36" s="276">
        <v>42927.48</v>
      </c>
      <c r="Y36" s="276">
        <v>58819.37</v>
      </c>
      <c r="Z36" s="276">
        <v>143807.57999999999</v>
      </c>
      <c r="AA36" s="276">
        <f t="shared" si="0"/>
        <v>939994.30999999971</v>
      </c>
      <c r="AB36" s="277">
        <f t="shared" si="1"/>
        <v>0.23104545844207983</v>
      </c>
      <c r="AC36" s="140"/>
      <c r="AD36" s="278">
        <v>1784010.17</v>
      </c>
      <c r="AE36" s="277">
        <f t="shared" si="2"/>
        <v>0.21170577624572864</v>
      </c>
      <c r="AF36" s="279">
        <f t="shared" si="3"/>
        <v>-844015.86000000022</v>
      </c>
      <c r="AG36" s="279">
        <v>1189143.3999999999</v>
      </c>
      <c r="AH36" s="277">
        <f t="shared" si="4"/>
        <v>0.18756369121172153</v>
      </c>
      <c r="AI36" s="280">
        <f t="shared" si="5"/>
        <v>-249149.0900000002</v>
      </c>
    </row>
    <row r="37" spans="1:35" x14ac:dyDescent="0.35">
      <c r="A37" s="65" t="s">
        <v>34</v>
      </c>
      <c r="B37" s="66"/>
      <c r="C37" s="11"/>
      <c r="D37" s="11"/>
      <c r="E37" s="11"/>
      <c r="F37" s="11"/>
      <c r="G37" s="11"/>
      <c r="H37" s="88" t="s">
        <v>84</v>
      </c>
      <c r="I37" s="89" t="str">
        <f>IF(_epmOfflineCondition_,"T5",_xll.EVPRO($B$1,$H37,"STYLE"))</f>
        <v>T5</v>
      </c>
      <c r="J37" s="89" t="str">
        <f>IF(_epmOfflineCondition_,"Y",_xll.EVPRO($B$1,$H37,"CALC"))</f>
        <v>Y</v>
      </c>
      <c r="K37" s="107"/>
      <c r="L37" s="106" t="str">
        <f>IF(_epmOfflineCondition_,"",_xll.EVPRO($B$1,H37,"JDEID"))</f>
        <v/>
      </c>
      <c r="M37" s="90" t="str">
        <f>IF(_epmOfflineCondition_,"",IF(AND(I37="N",J37="N"),_xll.EVPRO($B$1,H37,"PSFTID"),""))</f>
        <v/>
      </c>
      <c r="N37" s="106" t="str">
        <f>IF(_epmOfflineCondition_,"Discount",IF(_xll.EVDES(H37,$B$1)="#NODATA","",_xll.EVDES(H37,$B$1)))</f>
        <v>Discount</v>
      </c>
      <c r="O37" s="269">
        <v>299075.03999999998</v>
      </c>
      <c r="P37" s="270">
        <v>421078.06</v>
      </c>
      <c r="Q37" s="270">
        <v>172073.12</v>
      </c>
      <c r="R37" s="270">
        <v>101.96</v>
      </c>
      <c r="S37" s="270">
        <v>-7100.68</v>
      </c>
      <c r="T37" s="270">
        <v>27528.02</v>
      </c>
      <c r="U37" s="270">
        <v>23048.16</v>
      </c>
      <c r="V37" s="270">
        <v>50201.56</v>
      </c>
      <c r="W37" s="270">
        <v>120293.89</v>
      </c>
      <c r="X37" s="270">
        <v>163923.29</v>
      </c>
      <c r="Y37" s="270">
        <v>159334.41</v>
      </c>
      <c r="Z37" s="270">
        <v>250507.82</v>
      </c>
      <c r="AA37" s="270">
        <f t="shared" si="0"/>
        <v>1680064.65</v>
      </c>
      <c r="AB37" s="271">
        <f t="shared" si="1"/>
        <v>0.41295069889474384</v>
      </c>
      <c r="AC37" s="140"/>
      <c r="AD37" s="272">
        <v>2982010.1</v>
      </c>
      <c r="AE37" s="271">
        <f t="shared" si="2"/>
        <v>0.35387060769564049</v>
      </c>
      <c r="AF37" s="273">
        <f t="shared" si="3"/>
        <v>-1301945.4500000002</v>
      </c>
      <c r="AG37" s="273">
        <v>2763109.48</v>
      </c>
      <c r="AH37" s="271">
        <f t="shared" si="4"/>
        <v>0.43582549698455247</v>
      </c>
      <c r="AI37" s="274">
        <f t="shared" si="5"/>
        <v>-1083044.83</v>
      </c>
    </row>
    <row r="38" spans="1:35" x14ac:dyDescent="0.35">
      <c r="A38" s="65" t="s">
        <v>35</v>
      </c>
      <c r="B38" s="66"/>
      <c r="C38" s="11"/>
      <c r="D38" s="11"/>
      <c r="E38" s="11"/>
      <c r="F38" s="11"/>
      <c r="G38" s="11"/>
      <c r="H38" s="88" t="s">
        <v>123</v>
      </c>
      <c r="I38" s="104" t="str">
        <f>IF(_epmOfflineCondition_,"T6",_xll.EVPRO($B$1,$H38,"STYLE"))</f>
        <v>T6</v>
      </c>
      <c r="J38" s="104" t="str">
        <f>IF(_epmOfflineCondition_,"Y",_xll.EVPRO($B$1,$H38,"CALC"))</f>
        <v>Y</v>
      </c>
      <c r="K38" s="104"/>
      <c r="L38" s="104" t="str">
        <f>IF(_epmOfflineCondition_,"402530",_xll.EVPRO($B$1,H38,"JDEID"))</f>
        <v>402530</v>
      </c>
      <c r="M38" s="90" t="str">
        <f>IF(_epmOfflineCondition_,"",IF(AND(I38="N",J38="N"),_xll.EVPRO($B$1,H38,"PSFTID"),""))</f>
        <v/>
      </c>
      <c r="N38" s="104" t="str">
        <f>IF(_epmOfflineCondition_,"Package",IF(_xll.EVDES(H38,$B$1)="#NODATA","",_xll.EVDES(H38,$B$1)))</f>
        <v>Package</v>
      </c>
      <c r="O38" s="275">
        <v>9838.9</v>
      </c>
      <c r="P38" s="276">
        <v>12501.06</v>
      </c>
      <c r="Q38" s="276">
        <v>8711.98</v>
      </c>
      <c r="R38" s="276"/>
      <c r="S38" s="276"/>
      <c r="T38" s="276">
        <v>1537.8</v>
      </c>
      <c r="U38" s="276">
        <v>179</v>
      </c>
      <c r="V38" s="276">
        <v>437</v>
      </c>
      <c r="W38" s="276">
        <v>4040.3</v>
      </c>
      <c r="X38" s="276">
        <v>282.39999999999998</v>
      </c>
      <c r="Y38" s="276">
        <v>2540</v>
      </c>
      <c r="Z38" s="276">
        <v>3111.1</v>
      </c>
      <c r="AA38" s="276">
        <f t="shared" si="0"/>
        <v>43179.54</v>
      </c>
      <c r="AB38" s="277">
        <f t="shared" si="1"/>
        <v>1.0613294685388177E-2</v>
      </c>
      <c r="AC38" s="140"/>
      <c r="AD38" s="278">
        <v>267338.33</v>
      </c>
      <c r="AE38" s="277">
        <f t="shared" si="2"/>
        <v>3.1724633426774E-2</v>
      </c>
      <c r="AF38" s="279">
        <f t="shared" si="3"/>
        <v>-224158.79</v>
      </c>
      <c r="AG38" s="279">
        <v>151112.51999999999</v>
      </c>
      <c r="AH38" s="277">
        <f t="shared" si="4"/>
        <v>2.3834990834162722E-2</v>
      </c>
      <c r="AI38" s="280">
        <f t="shared" si="5"/>
        <v>-107932.97999999998</v>
      </c>
    </row>
    <row r="39" spans="1:35" x14ac:dyDescent="0.35">
      <c r="A39" s="65" t="s">
        <v>36</v>
      </c>
      <c r="B39" s="66"/>
      <c r="C39" s="11"/>
      <c r="D39" s="11"/>
      <c r="E39" s="11"/>
      <c r="F39" s="11"/>
      <c r="G39" s="11"/>
      <c r="H39" s="88" t="s">
        <v>124</v>
      </c>
      <c r="I39" s="104" t="str">
        <f>IF(_epmOfflineCondition_,"T6",_xll.EVPRO($B$1,$H39,"STYLE"))</f>
        <v>T6</v>
      </c>
      <c r="J39" s="104" t="str">
        <f>IF(_epmOfflineCondition_,"Y",_xll.EVPRO($B$1,$H39,"CALC"))</f>
        <v>Y</v>
      </c>
      <c r="K39" s="104"/>
      <c r="L39" s="104" t="str">
        <f>IF(_epmOfflineCondition_,"402500",_xll.EVPRO($B$1,H39,"JDEID"))</f>
        <v>402500</v>
      </c>
      <c r="M39" s="90" t="str">
        <f>IF(_epmOfflineCondition_,"",IF(AND(I39="N",J39="N"),_xll.EVPRO($B$1,H39,"PSFTID"),""))</f>
        <v/>
      </c>
      <c r="N39" s="104" t="str">
        <f>IF(_epmOfflineCondition_,"OTA Opaque",IF(_xll.EVDES(H39,$B$1)="#NODATA","",_xll.EVDES(H39,$B$1)))</f>
        <v>OTA Opaque</v>
      </c>
      <c r="O39" s="275">
        <v>14760.26</v>
      </c>
      <c r="P39" s="276">
        <v>12201.72</v>
      </c>
      <c r="Q39" s="276">
        <v>11776.58</v>
      </c>
      <c r="R39" s="276"/>
      <c r="S39" s="276">
        <v>-102.93</v>
      </c>
      <c r="T39" s="276">
        <v>3314.28</v>
      </c>
      <c r="U39" s="276">
        <v>3566.86</v>
      </c>
      <c r="V39" s="276">
        <v>6689.1</v>
      </c>
      <c r="W39" s="276">
        <v>12517.08</v>
      </c>
      <c r="X39" s="276">
        <v>17673.009999999998</v>
      </c>
      <c r="Y39" s="276">
        <v>18314</v>
      </c>
      <c r="Z39" s="276">
        <v>27305.72</v>
      </c>
      <c r="AA39" s="276">
        <f t="shared" si="0"/>
        <v>128015.67999999999</v>
      </c>
      <c r="AB39" s="277">
        <f t="shared" si="1"/>
        <v>3.1465553736569528E-2</v>
      </c>
      <c r="AC39" s="140"/>
      <c r="AD39" s="278">
        <v>115587.26</v>
      </c>
      <c r="AE39" s="277">
        <f t="shared" si="2"/>
        <v>1.3716564520715071E-2</v>
      </c>
      <c r="AF39" s="279">
        <f t="shared" si="3"/>
        <v>12428.419999999998</v>
      </c>
      <c r="AG39" s="279">
        <v>121325.03</v>
      </c>
      <c r="AH39" s="277">
        <f t="shared" si="4"/>
        <v>1.9136607463130898E-2</v>
      </c>
      <c r="AI39" s="280">
        <f t="shared" si="5"/>
        <v>6690.6499999999942</v>
      </c>
    </row>
    <row r="40" spans="1:35" x14ac:dyDescent="0.35">
      <c r="A40" s="65" t="s">
        <v>37</v>
      </c>
      <c r="B40" s="66"/>
      <c r="C40" s="11"/>
      <c r="D40" s="11"/>
      <c r="E40" s="11"/>
      <c r="F40" s="11"/>
      <c r="G40" s="11"/>
      <c r="H40" s="88" t="s">
        <v>125</v>
      </c>
      <c r="I40" s="104" t="str">
        <f>IF(_epmOfflineCondition_,"T6",_xll.EVPRO($B$1,$H40,"STYLE"))</f>
        <v>T6</v>
      </c>
      <c r="J40" s="104" t="str">
        <f>IF(_epmOfflineCondition_,"Y",_xll.EVPRO($B$1,$H40,"CALC"))</f>
        <v>Y</v>
      </c>
      <c r="K40" s="104"/>
      <c r="L40" s="104" t="str">
        <f>IF(_epmOfflineCondition_,"402540",_xll.EVPRO($B$1,H40,"JDEID"))</f>
        <v>402540</v>
      </c>
      <c r="M40" s="90" t="str">
        <f>IF(_epmOfflineCondition_,"",IF(AND(I40="N",J40="N"),_xll.EVPRO($B$1,H40,"PSFTID"),""))</f>
        <v/>
      </c>
      <c r="N40" s="104" t="str">
        <f>IF(_epmOfflineCondition_,"Brand/Media Promotions",IF(_xll.EVDES(H40,$B$1)="#NODATA","",_xll.EVDES(H40,$B$1)))</f>
        <v>Brand/Media Promotions</v>
      </c>
      <c r="O40" s="275">
        <v>146459.24</v>
      </c>
      <c r="P40" s="276">
        <v>197884.81</v>
      </c>
      <c r="Q40" s="276">
        <v>22077.14</v>
      </c>
      <c r="R40" s="276"/>
      <c r="S40" s="276">
        <v>-6997.75</v>
      </c>
      <c r="T40" s="276">
        <v>6913.53</v>
      </c>
      <c r="U40" s="276">
        <v>2467.9</v>
      </c>
      <c r="V40" s="276">
        <v>5448.63</v>
      </c>
      <c r="W40" s="276">
        <v>13961.4</v>
      </c>
      <c r="X40" s="276">
        <v>24194.23</v>
      </c>
      <c r="Y40" s="276">
        <v>23718.1</v>
      </c>
      <c r="Z40" s="276">
        <v>86752.57</v>
      </c>
      <c r="AA40" s="276">
        <f t="shared" si="0"/>
        <v>522879.80000000005</v>
      </c>
      <c r="AB40" s="277">
        <f t="shared" si="1"/>
        <v>0.1285209940271905</v>
      </c>
      <c r="AC40" s="140"/>
      <c r="AD40" s="278">
        <v>521139.82</v>
      </c>
      <c r="AE40" s="277">
        <f t="shared" si="2"/>
        <v>6.1842870618646364E-2</v>
      </c>
      <c r="AF40" s="279">
        <f t="shared" si="3"/>
        <v>1739.9800000000396</v>
      </c>
      <c r="AG40" s="279">
        <v>316356.03999999998</v>
      </c>
      <c r="AH40" s="277">
        <f t="shared" si="4"/>
        <v>4.9898865519098057E-2</v>
      </c>
      <c r="AI40" s="280">
        <f t="shared" si="5"/>
        <v>206523.76000000007</v>
      </c>
    </row>
    <row r="41" spans="1:35" x14ac:dyDescent="0.35">
      <c r="A41" s="65" t="s">
        <v>38</v>
      </c>
      <c r="B41" s="66"/>
      <c r="C41" s="11"/>
      <c r="D41" s="11"/>
      <c r="E41" s="11"/>
      <c r="F41" s="11"/>
      <c r="G41" s="11"/>
      <c r="H41" s="88" t="s">
        <v>126</v>
      </c>
      <c r="I41" s="104" t="str">
        <f>IF(_epmOfflineCondition_,"T6",_xll.EVPRO($B$1,$H41,"STYLE"))</f>
        <v>T6</v>
      </c>
      <c r="J41" s="104" t="str">
        <f>IF(_epmOfflineCondition_,"Y",_xll.EVPRO($B$1,$H41,"CALC"))</f>
        <v>Y</v>
      </c>
      <c r="K41" s="104"/>
      <c r="L41" s="104" t="str">
        <f>IF(_epmOfflineCondition_,"402550",_xll.EVPRO($B$1,H41,"JDEID"))</f>
        <v>402550</v>
      </c>
      <c r="M41" s="90" t="str">
        <f>IF(_epmOfflineCondition_,"",IF(AND(I41="N",J41="N"),_xll.EVPRO($B$1,H41,"PSFTID"),""))</f>
        <v/>
      </c>
      <c r="N41" s="104" t="str">
        <f>IF(_epmOfflineCondition_,"Advance Purchases",IF(_xll.EVDES(H41,$B$1)="#NODATA","",_xll.EVDES(H41,$B$1)))</f>
        <v>Advance Purchases</v>
      </c>
      <c r="O41" s="275">
        <v>10005.18</v>
      </c>
      <c r="P41" s="276">
        <v>19580.86</v>
      </c>
      <c r="Q41" s="276">
        <v>8000.04</v>
      </c>
      <c r="R41" s="276">
        <v>0.01</v>
      </c>
      <c r="S41" s="276"/>
      <c r="T41" s="276"/>
      <c r="U41" s="276">
        <v>1575.53</v>
      </c>
      <c r="V41" s="276">
        <v>793.9</v>
      </c>
      <c r="W41" s="276">
        <v>810.9</v>
      </c>
      <c r="X41" s="276"/>
      <c r="Y41" s="276">
        <v>217.08</v>
      </c>
      <c r="Z41" s="276">
        <v>127.76</v>
      </c>
      <c r="AA41" s="276">
        <f t="shared" si="0"/>
        <v>41111.260000000009</v>
      </c>
      <c r="AB41" s="277">
        <f t="shared" si="1"/>
        <v>1.0104922777491646E-2</v>
      </c>
      <c r="AC41" s="140"/>
      <c r="AD41" s="278">
        <v>502825.36</v>
      </c>
      <c r="AE41" s="277">
        <f t="shared" si="2"/>
        <v>5.9669521477468908E-2</v>
      </c>
      <c r="AF41" s="279">
        <f t="shared" si="3"/>
        <v>-461714.1</v>
      </c>
      <c r="AG41" s="279">
        <v>431411.05</v>
      </c>
      <c r="AH41" s="277">
        <f t="shared" si="4"/>
        <v>6.804650218596392E-2</v>
      </c>
      <c r="AI41" s="280">
        <f t="shared" si="5"/>
        <v>-390299.79</v>
      </c>
    </row>
    <row r="42" spans="1:35" x14ac:dyDescent="0.35">
      <c r="A42" s="65" t="s">
        <v>39</v>
      </c>
      <c r="B42" s="66"/>
      <c r="C42" s="11"/>
      <c r="D42" s="11"/>
      <c r="E42" s="11"/>
      <c r="F42" s="11"/>
      <c r="G42" s="11"/>
      <c r="H42" s="88" t="s">
        <v>127</v>
      </c>
      <c r="I42" s="104" t="str">
        <f>IF(_epmOfflineCondition_,"T6",_xll.EVPRO($B$1,$H42,"STYLE"))</f>
        <v>T6</v>
      </c>
      <c r="J42" s="104" t="str">
        <f>IF(_epmOfflineCondition_,"Y",_xll.EVPRO($B$1,$H42,"CALC"))</f>
        <v>Y</v>
      </c>
      <c r="K42" s="104"/>
      <c r="L42" s="104" t="str">
        <f>IF(_epmOfflineCondition_,"402560",_xll.EVPRO($B$1,H42,"JDEID"))</f>
        <v>402560</v>
      </c>
      <c r="M42" s="90" t="str">
        <f>IF(_epmOfflineCondition_,"",IF(AND(I42="N",J42="N"),_xll.EVPRO($B$1,H42,"PSFTID"),""))</f>
        <v/>
      </c>
      <c r="N42" s="104" t="str">
        <f>IF(_epmOfflineCondition_,"Local Discounts",IF(_xll.EVDES(H42,$B$1)="#NODATA","",_xll.EVDES(H42,$B$1)))</f>
        <v>Local Discounts</v>
      </c>
      <c r="O42" s="275">
        <v>118011.46</v>
      </c>
      <c r="P42" s="276">
        <v>178909.61</v>
      </c>
      <c r="Q42" s="276">
        <v>121507.38</v>
      </c>
      <c r="R42" s="276">
        <v>101.95</v>
      </c>
      <c r="S42" s="276"/>
      <c r="T42" s="276">
        <v>15762.41</v>
      </c>
      <c r="U42" s="276">
        <v>15258.87</v>
      </c>
      <c r="V42" s="276">
        <v>36832.93</v>
      </c>
      <c r="W42" s="276">
        <v>88964.21</v>
      </c>
      <c r="X42" s="276">
        <v>121773.65</v>
      </c>
      <c r="Y42" s="276">
        <v>114545.23</v>
      </c>
      <c r="Z42" s="276">
        <v>133210.67000000001</v>
      </c>
      <c r="AA42" s="276">
        <f t="shared" si="0"/>
        <v>944878.37</v>
      </c>
      <c r="AB42" s="277">
        <f t="shared" si="1"/>
        <v>0.232245933668104</v>
      </c>
      <c r="AC42" s="140"/>
      <c r="AD42" s="278">
        <v>1575119.33</v>
      </c>
      <c r="AE42" s="277">
        <f t="shared" si="2"/>
        <v>0.18691701765203617</v>
      </c>
      <c r="AF42" s="279">
        <f t="shared" si="3"/>
        <v>-630240.96000000008</v>
      </c>
      <c r="AG42" s="279">
        <v>1742904.84</v>
      </c>
      <c r="AH42" s="277">
        <f t="shared" si="4"/>
        <v>0.27490853098219692</v>
      </c>
      <c r="AI42" s="280">
        <f t="shared" si="5"/>
        <v>-798026.47000000009</v>
      </c>
    </row>
    <row r="43" spans="1:35" x14ac:dyDescent="0.35">
      <c r="A43" s="65" t="s">
        <v>40</v>
      </c>
      <c r="B43" s="66"/>
      <c r="C43" s="11"/>
      <c r="D43" s="11"/>
      <c r="E43" s="11"/>
      <c r="F43" s="11"/>
      <c r="G43" s="11"/>
      <c r="H43" s="88" t="s">
        <v>128</v>
      </c>
      <c r="I43" s="104" t="str">
        <f>IF(_epmOfflineCondition_,"T6",_xll.EVPRO($B$1,$H43,"STYLE"))</f>
        <v>T6</v>
      </c>
      <c r="J43" s="104" t="str">
        <f>IF(_epmOfflineCondition_,"Y",_xll.EVPRO($B$1,$H43,"CALC"))</f>
        <v>Y</v>
      </c>
      <c r="K43" s="104"/>
      <c r="L43" s="104" t="str">
        <f>IF(_epmOfflineCondition_,"402600",_xll.EVPRO($B$1,H43,"JDEID"))</f>
        <v>402600</v>
      </c>
      <c r="M43" s="90" t="str">
        <f>IF(_epmOfflineCondition_,"",IF(AND(I43="N",J43="N"),_xll.EVPRO($B$1,H43,"PSFTID"),""))</f>
        <v/>
      </c>
      <c r="N43" s="104" t="str">
        <f>IF(_epmOfflineCondition_,"Package &amp; Promo (Legacy)",IF(_xll.EVDES(H43,$B$1)="#NODATA","",_xll.EVDES(H43,$B$1)))</f>
        <v>Package &amp; Promo (Legacy)</v>
      </c>
      <c r="O43" s="275"/>
      <c r="P43" s="276"/>
      <c r="Q43" s="276"/>
      <c r="R43" s="276"/>
      <c r="S43" s="276"/>
      <c r="T43" s="276"/>
      <c r="U43" s="276"/>
      <c r="V43" s="276"/>
      <c r="W43" s="276"/>
      <c r="X43" s="276"/>
      <c r="Y43" s="276"/>
      <c r="Z43" s="276"/>
      <c r="AA43" s="276">
        <f t="shared" si="0"/>
        <v>0</v>
      </c>
      <c r="AB43" s="277" t="str">
        <f t="shared" si="1"/>
        <v/>
      </c>
      <c r="AC43" s="140"/>
      <c r="AD43" s="278"/>
      <c r="AE43" s="277" t="str">
        <f t="shared" si="2"/>
        <v/>
      </c>
      <c r="AF43" s="279">
        <f t="shared" si="3"/>
        <v>0</v>
      </c>
      <c r="AG43" s="279"/>
      <c r="AH43" s="277" t="str">
        <f t="shared" si="4"/>
        <v/>
      </c>
      <c r="AI43" s="280">
        <f t="shared" si="5"/>
        <v>0</v>
      </c>
    </row>
    <row r="44" spans="1:35" x14ac:dyDescent="0.35">
      <c r="A44" s="65" t="s">
        <v>41</v>
      </c>
      <c r="B44" s="66"/>
      <c r="C44" s="11"/>
      <c r="D44" s="11"/>
      <c r="E44" s="11"/>
      <c r="F44" s="11"/>
      <c r="G44" s="11"/>
      <c r="H44" s="88" t="s">
        <v>85</v>
      </c>
      <c r="I44" s="89" t="str">
        <f>IF(_epmOfflineCondition_,"T5",_xll.EVPRO($B$1,$H44,"STYLE"))</f>
        <v>T5</v>
      </c>
      <c r="J44" s="89" t="str">
        <f>IF(_epmOfflineCondition_,"Y",_xll.EVPRO($B$1,$H44,"CALC"))</f>
        <v>Y</v>
      </c>
      <c r="K44" s="107"/>
      <c r="L44" s="106" t="str">
        <f>IF(_epmOfflineCondition_,"",_xll.EVPRO($B$1,H44,"JDEID"))</f>
        <v/>
      </c>
      <c r="M44" s="90" t="str">
        <f>IF(_epmOfflineCondition_,"",IF(AND(I44="N",J44="N"),_xll.EVPRO($B$1,H44,"PSFTID"),""))</f>
        <v/>
      </c>
      <c r="N44" s="106" t="str">
        <f>IF(_epmOfflineCondition_,"Negotiated",IF(_xll.EVDES(H44,$B$1)="#NODATA","",_xll.EVDES(H44,$B$1)))</f>
        <v>Negotiated</v>
      </c>
      <c r="O44" s="269">
        <v>67073.72</v>
      </c>
      <c r="P44" s="270">
        <v>59598.34</v>
      </c>
      <c r="Q44" s="270">
        <v>12065.98</v>
      </c>
      <c r="R44" s="270"/>
      <c r="S44" s="270"/>
      <c r="T44" s="270">
        <v>1348.54</v>
      </c>
      <c r="U44" s="270"/>
      <c r="V44" s="270">
        <v>2377.66</v>
      </c>
      <c r="W44" s="270">
        <v>1815.6</v>
      </c>
      <c r="X44" s="270">
        <v>2363.77</v>
      </c>
      <c r="Y44" s="270">
        <v>2626.44</v>
      </c>
      <c r="Z44" s="270">
        <v>1783.2</v>
      </c>
      <c r="AA44" s="270">
        <f t="shared" si="0"/>
        <v>151053.25000000003</v>
      </c>
      <c r="AB44" s="271">
        <f t="shared" si="1"/>
        <v>3.7128062397969314E-2</v>
      </c>
      <c r="AC44" s="140"/>
      <c r="AD44" s="272">
        <v>515685.3</v>
      </c>
      <c r="AE44" s="271">
        <f t="shared" si="2"/>
        <v>6.1195591017853587E-2</v>
      </c>
      <c r="AF44" s="273">
        <f t="shared" si="3"/>
        <v>-364632.04999999993</v>
      </c>
      <c r="AG44" s="273">
        <v>378040.81</v>
      </c>
      <c r="AH44" s="271">
        <f t="shared" si="4"/>
        <v>5.9628409620125791E-2</v>
      </c>
      <c r="AI44" s="274">
        <f t="shared" si="5"/>
        <v>-226987.55999999997</v>
      </c>
    </row>
    <row r="45" spans="1:35" x14ac:dyDescent="0.35">
      <c r="A45" s="65" t="s">
        <v>42</v>
      </c>
      <c r="B45" s="66"/>
      <c r="C45" s="11"/>
      <c r="D45" s="11"/>
      <c r="E45" s="11"/>
      <c r="F45" s="11"/>
      <c r="G45" s="11"/>
      <c r="H45" s="88" t="s">
        <v>129</v>
      </c>
      <c r="I45" s="104" t="str">
        <f>IF(_epmOfflineCondition_,"T6",_xll.EVPRO($B$1,$H45,"STYLE"))</f>
        <v>T6</v>
      </c>
      <c r="J45" s="104" t="str">
        <f>IF(_epmOfflineCondition_,"Y",_xll.EVPRO($B$1,$H45,"CALC"))</f>
        <v>Y</v>
      </c>
      <c r="K45" s="104"/>
      <c r="L45" s="104" t="str">
        <f>IF(_epmOfflineCondition_,"402300",_xll.EVPRO($B$1,H45,"JDEID"))</f>
        <v>402300</v>
      </c>
      <c r="M45" s="90" t="str">
        <f>IF(_epmOfflineCondition_,"",IF(AND(I45="N",J45="N"),_xll.EVPRO($B$1,H45,"PSFTID"),""))</f>
        <v/>
      </c>
      <c r="N45" s="104" t="str">
        <f>IF(_epmOfflineCondition_,"Consortia",IF(_xll.EVDES(H45,$B$1)="#NODATA","",_xll.EVDES(H45,$B$1)))</f>
        <v>Consortia</v>
      </c>
      <c r="O45" s="275">
        <v>14734.19</v>
      </c>
      <c r="P45" s="276">
        <v>12867.03</v>
      </c>
      <c r="Q45" s="276">
        <v>1037</v>
      </c>
      <c r="R45" s="276"/>
      <c r="S45" s="276"/>
      <c r="T45" s="276">
        <v>308</v>
      </c>
      <c r="U45" s="276"/>
      <c r="V45" s="276"/>
      <c r="W45" s="276">
        <v>725</v>
      </c>
      <c r="X45" s="276"/>
      <c r="Y45" s="276"/>
      <c r="Z45" s="276"/>
      <c r="AA45" s="276">
        <f t="shared" si="0"/>
        <v>29671.22</v>
      </c>
      <c r="AB45" s="277">
        <f t="shared" si="1"/>
        <v>7.2930235369571654E-3</v>
      </c>
      <c r="AC45" s="140"/>
      <c r="AD45" s="278">
        <v>191277.92</v>
      </c>
      <c r="AE45" s="277">
        <f t="shared" si="2"/>
        <v>2.2698660138393934E-2</v>
      </c>
      <c r="AF45" s="279">
        <f t="shared" si="3"/>
        <v>-161606.70000000001</v>
      </c>
      <c r="AG45" s="279">
        <v>60101.919999999998</v>
      </c>
      <c r="AH45" s="277">
        <f t="shared" si="4"/>
        <v>9.4798810337858256E-3</v>
      </c>
      <c r="AI45" s="280">
        <f t="shared" si="5"/>
        <v>-30430.699999999997</v>
      </c>
    </row>
    <row r="46" spans="1:35" x14ac:dyDescent="0.35">
      <c r="A46" s="65" t="s">
        <v>43</v>
      </c>
      <c r="B46" s="66"/>
      <c r="C46" s="11"/>
      <c r="D46" s="11"/>
      <c r="E46" s="11"/>
      <c r="F46" s="11"/>
      <c r="G46" s="11"/>
      <c r="H46" s="88" t="s">
        <v>130</v>
      </c>
      <c r="I46" s="104" t="str">
        <f>IF(_epmOfflineCondition_,"T6",_xll.EVPRO($B$1,$H46,"STYLE"))</f>
        <v>T6</v>
      </c>
      <c r="J46" s="104" t="str">
        <f>IF(_epmOfflineCondition_,"Y",_xll.EVPRO($B$1,$H46,"CALC"))</f>
        <v>Y</v>
      </c>
      <c r="K46" s="104"/>
      <c r="L46" s="104" t="str">
        <f>IF(_epmOfflineCondition_,"402350",_xll.EVPRO($B$1,H46,"JDEID"))</f>
        <v>402350</v>
      </c>
      <c r="M46" s="90" t="str">
        <f>IF(_epmOfflineCondition_,"",IF(AND(I46="N",J46="N"),_xll.EVPRO($B$1,H46,"PSFTID"),""))</f>
        <v/>
      </c>
      <c r="N46" s="104" t="str">
        <f>IF(_epmOfflineCondition_,"National Negotiated",IF(_xll.EVDES(H46,$B$1)="#NODATA","",_xll.EVDES(H46,$B$1)))</f>
        <v>National Negotiated</v>
      </c>
      <c r="O46" s="275">
        <v>47899.53</v>
      </c>
      <c r="P46" s="276">
        <v>46731.31</v>
      </c>
      <c r="Q46" s="276">
        <v>10491.98</v>
      </c>
      <c r="R46" s="276"/>
      <c r="S46" s="276"/>
      <c r="T46" s="276">
        <v>1040.54</v>
      </c>
      <c r="U46" s="276"/>
      <c r="V46" s="276">
        <v>2377.66</v>
      </c>
      <c r="W46" s="276">
        <v>1090.5999999999999</v>
      </c>
      <c r="X46" s="276">
        <v>2363.77</v>
      </c>
      <c r="Y46" s="276">
        <v>1413.44</v>
      </c>
      <c r="Z46" s="276">
        <v>787.2</v>
      </c>
      <c r="AA46" s="276">
        <f t="shared" si="0"/>
        <v>114196.03</v>
      </c>
      <c r="AB46" s="277">
        <f t="shared" si="1"/>
        <v>2.8068759377506775E-2</v>
      </c>
      <c r="AC46" s="140"/>
      <c r="AD46" s="278">
        <v>214725.74</v>
      </c>
      <c r="AE46" s="277">
        <f t="shared" si="2"/>
        <v>2.5481177311135229E-2</v>
      </c>
      <c r="AF46" s="279">
        <f t="shared" si="3"/>
        <v>-100529.70999999999</v>
      </c>
      <c r="AG46" s="279">
        <v>197050.34</v>
      </c>
      <c r="AH46" s="277">
        <f t="shared" si="4"/>
        <v>3.1080767151316437E-2</v>
      </c>
      <c r="AI46" s="280">
        <f t="shared" si="5"/>
        <v>-82854.31</v>
      </c>
    </row>
    <row r="47" spans="1:35" x14ac:dyDescent="0.35">
      <c r="A47" s="65" t="s">
        <v>44</v>
      </c>
      <c r="B47" s="66"/>
      <c r="C47" s="11"/>
      <c r="D47" s="11"/>
      <c r="E47" s="11"/>
      <c r="F47" s="11"/>
      <c r="G47" s="11"/>
      <c r="H47" s="88" t="s">
        <v>131</v>
      </c>
      <c r="I47" s="104" t="str">
        <f>IF(_epmOfflineCondition_,"T6",_xll.EVPRO($B$1,$H47,"STYLE"))</f>
        <v>T6</v>
      </c>
      <c r="J47" s="104" t="str">
        <f>IF(_epmOfflineCondition_,"Y",_xll.EVPRO($B$1,$H47,"CALC"))</f>
        <v>Y</v>
      </c>
      <c r="K47" s="104"/>
      <c r="L47" s="104" t="str">
        <f>IF(_epmOfflineCondition_,"402400",_xll.EVPRO($B$1,H47,"JDEID"))</f>
        <v>402400</v>
      </c>
      <c r="M47" s="90" t="str">
        <f>IF(_epmOfflineCondition_,"",IF(AND(I47="N",J47="N"),_xll.EVPRO($B$1,H47,"PSFTID"),""))</f>
        <v/>
      </c>
      <c r="N47" s="104" t="str">
        <f>IF(_epmOfflineCondition_,"Local Negotiated",IF(_xll.EVDES(H47,$B$1)="#NODATA","",_xll.EVDES(H47,$B$1)))</f>
        <v>Local Negotiated</v>
      </c>
      <c r="O47" s="275">
        <v>4440</v>
      </c>
      <c r="P47" s="276"/>
      <c r="Q47" s="276">
        <v>537</v>
      </c>
      <c r="R47" s="276"/>
      <c r="S47" s="276"/>
      <c r="T47" s="276"/>
      <c r="U47" s="276"/>
      <c r="V47" s="276"/>
      <c r="W47" s="276"/>
      <c r="X47" s="276"/>
      <c r="Y47" s="276">
        <v>1213</v>
      </c>
      <c r="Z47" s="276">
        <v>996</v>
      </c>
      <c r="AA47" s="276">
        <f t="shared" si="0"/>
        <v>7186</v>
      </c>
      <c r="AB47" s="277">
        <f t="shared" si="1"/>
        <v>1.7662794835053694E-3</v>
      </c>
      <c r="AC47" s="140"/>
      <c r="AD47" s="278">
        <v>109681.64</v>
      </c>
      <c r="AE47" s="277">
        <f t="shared" si="2"/>
        <v>1.3015753568324424E-2</v>
      </c>
      <c r="AF47" s="279">
        <f t="shared" si="3"/>
        <v>-102495.64</v>
      </c>
      <c r="AG47" s="279">
        <v>120888.55</v>
      </c>
      <c r="AH47" s="277">
        <f t="shared" si="4"/>
        <v>1.906776143502353E-2</v>
      </c>
      <c r="AI47" s="280">
        <f t="shared" si="5"/>
        <v>-113702.55</v>
      </c>
    </row>
    <row r="48" spans="1:35" x14ac:dyDescent="0.35">
      <c r="A48" s="65" t="s">
        <v>45</v>
      </c>
      <c r="B48" s="66"/>
      <c r="C48" s="11"/>
      <c r="D48" s="11"/>
      <c r="E48" s="11"/>
      <c r="F48" s="11"/>
      <c r="G48" s="11"/>
      <c r="H48" s="88" t="s">
        <v>86</v>
      </c>
      <c r="I48" s="89" t="str">
        <f>IF(_epmOfflineCondition_,"T5",_xll.EVPRO($B$1,$H48,"STYLE"))</f>
        <v>T5</v>
      </c>
      <c r="J48" s="89" t="str">
        <f>IF(_epmOfflineCondition_,"Y",_xll.EVPRO($B$1,$H48,"CALC"))</f>
        <v>Y</v>
      </c>
      <c r="K48" s="107"/>
      <c r="L48" s="106" t="str">
        <f>IF(_epmOfflineCondition_,"",_xll.EVPRO($B$1,H48,"JDEID"))</f>
        <v/>
      </c>
      <c r="M48" s="90" t="str">
        <f>IF(_epmOfflineCondition_,"",IF(AND(I48="N",J48="N"),_xll.EVPRO($B$1,H48,"PSFTID"),""))</f>
        <v/>
      </c>
      <c r="N48" s="106" t="str">
        <f>IF(_epmOfflineCondition_,"Qualified",IF(_xll.EVDES(H48,$B$1)="#NODATA","",_xll.EVDES(H48,$B$1)))</f>
        <v>Qualified</v>
      </c>
      <c r="O48" s="269">
        <v>58170.38</v>
      </c>
      <c r="P48" s="270">
        <v>47994.57</v>
      </c>
      <c r="Q48" s="270">
        <v>18503.919999999998</v>
      </c>
      <c r="R48" s="270"/>
      <c r="S48" s="270"/>
      <c r="T48" s="270">
        <v>3673.65</v>
      </c>
      <c r="U48" s="270">
        <v>2476.75</v>
      </c>
      <c r="V48" s="270">
        <v>4140.8999999999996</v>
      </c>
      <c r="W48" s="270">
        <v>3684.5</v>
      </c>
      <c r="X48" s="270">
        <v>12205.1</v>
      </c>
      <c r="Y48" s="270">
        <v>7931.2</v>
      </c>
      <c r="Z48" s="270">
        <v>9646.25</v>
      </c>
      <c r="AA48" s="270">
        <f t="shared" si="0"/>
        <v>168427.22</v>
      </c>
      <c r="AB48" s="271">
        <f t="shared" si="1"/>
        <v>4.1398489166413199E-2</v>
      </c>
      <c r="AC48" s="140"/>
      <c r="AD48" s="272">
        <v>529355.56000000006</v>
      </c>
      <c r="AE48" s="271">
        <f t="shared" si="2"/>
        <v>6.2817820001436653E-2</v>
      </c>
      <c r="AF48" s="273">
        <f t="shared" si="3"/>
        <v>-360928.34000000008</v>
      </c>
      <c r="AG48" s="273">
        <v>294774.32</v>
      </c>
      <c r="AH48" s="271">
        <f t="shared" si="4"/>
        <v>4.649477895906011E-2</v>
      </c>
      <c r="AI48" s="274">
        <f t="shared" si="5"/>
        <v>-126347.1</v>
      </c>
    </row>
    <row r="49" spans="1:35" x14ac:dyDescent="0.35">
      <c r="A49" s="65" t="s">
        <v>46</v>
      </c>
      <c r="B49" s="66"/>
      <c r="C49" s="11"/>
      <c r="D49" s="11"/>
      <c r="E49" s="11"/>
      <c r="F49" s="11"/>
      <c r="G49" s="11"/>
      <c r="H49" s="88" t="s">
        <v>132</v>
      </c>
      <c r="I49" s="104" t="str">
        <f>IF(_epmOfflineCondition_,"T6",_xll.EVPRO($B$1,$H49,"STYLE"))</f>
        <v>T6</v>
      </c>
      <c r="J49" s="104" t="str">
        <f>IF(_epmOfflineCondition_,"Y",_xll.EVPRO($B$1,$H49,"CALC"))</f>
        <v>Y</v>
      </c>
      <c r="K49" s="104"/>
      <c r="L49" s="104" t="str">
        <f>IF(_epmOfflineCondition_,"402700",_xll.EVPRO($B$1,H49,"JDEID"))</f>
        <v>402700</v>
      </c>
      <c r="M49" s="90" t="str">
        <f>IF(_epmOfflineCondition_,"",IF(AND(I49="N",J49="N"),_xll.EVPRO($B$1,H49,"PSFTID"),""))</f>
        <v/>
      </c>
      <c r="N49" s="104" t="str">
        <f>IF(_epmOfflineCondition_,"Qualified",IF(_xll.EVDES(H49,$B$1)="#NODATA","",_xll.EVDES(H49,$B$1)))</f>
        <v>Qualified</v>
      </c>
      <c r="O49" s="275">
        <v>29530.38</v>
      </c>
      <c r="P49" s="276">
        <v>29052.57</v>
      </c>
      <c r="Q49" s="276">
        <v>11093.92</v>
      </c>
      <c r="R49" s="276"/>
      <c r="S49" s="276"/>
      <c r="T49" s="276">
        <v>2524.65</v>
      </c>
      <c r="U49" s="276">
        <v>2357.75</v>
      </c>
      <c r="V49" s="276">
        <v>4140.8999999999996</v>
      </c>
      <c r="W49" s="276">
        <v>3684.5</v>
      </c>
      <c r="X49" s="276">
        <v>11824.1</v>
      </c>
      <c r="Y49" s="276">
        <v>7042.2</v>
      </c>
      <c r="Z49" s="276">
        <v>8686.25</v>
      </c>
      <c r="AA49" s="276">
        <f t="shared" si="0"/>
        <v>109937.21999999999</v>
      </c>
      <c r="AB49" s="277">
        <f t="shared" si="1"/>
        <v>2.7021967180575583E-2</v>
      </c>
      <c r="AC49" s="140"/>
      <c r="AD49" s="278">
        <v>405239.32</v>
      </c>
      <c r="AE49" s="277">
        <f t="shared" si="2"/>
        <v>4.80891343830687E-2</v>
      </c>
      <c r="AF49" s="279">
        <f t="shared" si="3"/>
        <v>-295302.10000000003</v>
      </c>
      <c r="AG49" s="279">
        <v>230761.92</v>
      </c>
      <c r="AH49" s="277">
        <f t="shared" si="4"/>
        <v>3.6398097577049156E-2</v>
      </c>
      <c r="AI49" s="280">
        <f t="shared" si="5"/>
        <v>-120824.70000000003</v>
      </c>
    </row>
    <row r="50" spans="1:35" x14ac:dyDescent="0.35">
      <c r="A50" s="11"/>
      <c r="B50" s="11"/>
      <c r="C50" s="11"/>
      <c r="D50" s="11"/>
      <c r="E50" s="11"/>
      <c r="F50" s="11"/>
      <c r="G50" s="11"/>
      <c r="H50" s="88" t="s">
        <v>133</v>
      </c>
      <c r="I50" s="104" t="str">
        <f>IF(_epmOfflineCondition_,"T6",_xll.EVPRO($B$1,$H50,"STYLE"))</f>
        <v>T6</v>
      </c>
      <c r="J50" s="104" t="str">
        <f>IF(_epmOfflineCondition_,"Y",_xll.EVPRO($B$1,$H50,"CALC"))</f>
        <v>Y</v>
      </c>
      <c r="K50" s="104"/>
      <c r="L50" s="104" t="str">
        <f>IF(_epmOfflineCondition_,"402730",_xll.EVPRO($B$1,H50,"JDEID"))</f>
        <v>402730</v>
      </c>
      <c r="M50" s="90" t="str">
        <f>IF(_epmOfflineCondition_,"",IF(AND(I50="N",J50="N"),_xll.EVPRO($B$1,H50,"PSFTID"),""))</f>
        <v/>
      </c>
      <c r="N50" s="104" t="str">
        <f>IF(_epmOfflineCondition_,"Government",IF(_xll.EVDES(H50,$B$1)="#NODATA","",_xll.EVDES(H50,$B$1)))</f>
        <v>Government</v>
      </c>
      <c r="O50" s="275">
        <v>28640</v>
      </c>
      <c r="P50" s="276">
        <v>18942</v>
      </c>
      <c r="Q50" s="276">
        <v>7410</v>
      </c>
      <c r="R50" s="276"/>
      <c r="S50" s="276"/>
      <c r="T50" s="276">
        <v>1149</v>
      </c>
      <c r="U50" s="276">
        <v>119</v>
      </c>
      <c r="V50" s="276"/>
      <c r="W50" s="276"/>
      <c r="X50" s="276">
        <v>381</v>
      </c>
      <c r="Y50" s="276">
        <v>889</v>
      </c>
      <c r="Z50" s="276">
        <v>960</v>
      </c>
      <c r="AA50" s="276">
        <f t="shared" si="0"/>
        <v>58490</v>
      </c>
      <c r="AB50" s="277">
        <f t="shared" si="1"/>
        <v>1.4376521985837609E-2</v>
      </c>
      <c r="AC50" s="140"/>
      <c r="AD50" s="278">
        <v>124116.24</v>
      </c>
      <c r="AE50" s="277">
        <f t="shared" si="2"/>
        <v>1.4728685618367947E-2</v>
      </c>
      <c r="AF50" s="279">
        <f t="shared" si="3"/>
        <v>-65626.240000000005</v>
      </c>
      <c r="AG50" s="279">
        <v>64012.4</v>
      </c>
      <c r="AH50" s="277">
        <f t="shared" si="4"/>
        <v>1.0096681382010954E-2</v>
      </c>
      <c r="AI50" s="280">
        <f t="shared" si="5"/>
        <v>-5522.4000000000015</v>
      </c>
    </row>
    <row r="51" spans="1:35" x14ac:dyDescent="0.35">
      <c r="A51" s="11"/>
      <c r="B51" s="11"/>
      <c r="C51" s="11"/>
      <c r="D51" s="11"/>
      <c r="E51" s="11"/>
      <c r="F51" s="11"/>
      <c r="G51" s="11"/>
      <c r="H51" s="88" t="s">
        <v>65</v>
      </c>
      <c r="I51" s="89" t="str">
        <f>IF(_epmOfflineCondition_,"T5",_xll.EVPRO($B$1,$H51,"STYLE"))</f>
        <v>T5</v>
      </c>
      <c r="J51" s="89" t="str">
        <f>IF(_epmOfflineCondition_,"Y",_xll.EVPRO($B$1,$H51,"CALC"))</f>
        <v>Y</v>
      </c>
      <c r="K51" s="107"/>
      <c r="L51" s="106" t="str">
        <f>IF(_epmOfflineCondition_,"402200",_xll.EVPRO($B$1,H51,"JDEID"))</f>
        <v>402200</v>
      </c>
      <c r="M51" s="90" t="str">
        <f>IF(_epmOfflineCondition_,"",IF(AND(I51="N",J51="N"),_xll.EVPRO($B$1,H51,"PSFTID"),""))</f>
        <v/>
      </c>
      <c r="N51" s="106" t="str">
        <f>IF(_epmOfflineCondition_,"Wholesale",IF(_xll.EVDES(H51,$B$1)="#NODATA","",_xll.EVDES(H51,$B$1)))</f>
        <v>Wholesale</v>
      </c>
      <c r="O51" s="281">
        <v>47500.31</v>
      </c>
      <c r="P51" s="282">
        <v>30128.82</v>
      </c>
      <c r="Q51" s="282">
        <v>5322.29</v>
      </c>
      <c r="R51" s="282"/>
      <c r="S51" s="282"/>
      <c r="T51" s="282">
        <v>1272.75</v>
      </c>
      <c r="U51" s="282">
        <v>3721.98</v>
      </c>
      <c r="V51" s="282">
        <v>505</v>
      </c>
      <c r="W51" s="282">
        <v>1492.25</v>
      </c>
      <c r="X51" s="282">
        <v>1297.05</v>
      </c>
      <c r="Y51" s="282">
        <v>680</v>
      </c>
      <c r="Z51" s="282">
        <v>13193.9</v>
      </c>
      <c r="AA51" s="282">
        <f t="shared" si="0"/>
        <v>105114.34999999999</v>
      </c>
      <c r="AB51" s="283">
        <f t="shared" si="1"/>
        <v>2.5836532121764906E-2</v>
      </c>
      <c r="AC51" s="140"/>
      <c r="AD51" s="284">
        <v>651000.48</v>
      </c>
      <c r="AE51" s="283">
        <f t="shared" si="2"/>
        <v>7.7253237830332513E-2</v>
      </c>
      <c r="AF51" s="285">
        <f t="shared" si="3"/>
        <v>-545886.13</v>
      </c>
      <c r="AG51" s="285">
        <v>589808.88</v>
      </c>
      <c r="AH51" s="283">
        <f t="shared" si="4"/>
        <v>9.3030605595802257E-2</v>
      </c>
      <c r="AI51" s="286">
        <f t="shared" si="5"/>
        <v>-484694.53</v>
      </c>
    </row>
    <row r="52" spans="1:35" x14ac:dyDescent="0.35">
      <c r="A52" s="11"/>
      <c r="B52" s="11"/>
      <c r="C52" s="11"/>
      <c r="D52" s="11"/>
      <c r="E52" s="11"/>
      <c r="F52" s="11"/>
      <c r="G52" s="11"/>
      <c r="H52" s="88" t="s">
        <v>66</v>
      </c>
      <c r="I52" s="89" t="str">
        <f>IF(_epmOfflineCondition_,"T4",_xll.EVPRO($B$1,$H52,"STYLE"))</f>
        <v>T4</v>
      </c>
      <c r="J52" s="89" t="str">
        <f>IF(_epmOfflineCondition_,"Y",_xll.EVPRO($B$1,$H52,"CALC"))</f>
        <v>Y</v>
      </c>
      <c r="K52" s="107"/>
      <c r="L52" s="106" t="str">
        <f>IF(_epmOfflineCondition_,"402000",_xll.EVPRO($B$1,H52,"JDEID"))</f>
        <v>402000</v>
      </c>
      <c r="M52" s="90" t="str">
        <f>IF(_epmOfflineCondition_,"",IF(AND(I52="N",J52="N"),_xll.EVPRO($B$1,H52,"PSFTID"),""))</f>
        <v/>
      </c>
      <c r="N52" s="106" t="str">
        <f>IF(_epmOfflineCondition_,"Total Transient Room Rev",IF(_xll.EVDES(H52,$B$1)="#NODATA","",_xll.EVDES(H52,$B$1)))</f>
        <v>Total Transient Room Rev</v>
      </c>
      <c r="O52" s="287">
        <v>749108.29</v>
      </c>
      <c r="P52" s="288">
        <v>907121.53</v>
      </c>
      <c r="Q52" s="288">
        <v>357474.54</v>
      </c>
      <c r="R52" s="288">
        <v>-2487.6999999999998</v>
      </c>
      <c r="S52" s="288">
        <v>-9836</v>
      </c>
      <c r="T52" s="288">
        <v>88820.68</v>
      </c>
      <c r="U52" s="288">
        <v>70122.55</v>
      </c>
      <c r="V52" s="288">
        <v>111201.63</v>
      </c>
      <c r="W52" s="288">
        <v>204836.51</v>
      </c>
      <c r="X52" s="288">
        <v>241376.18</v>
      </c>
      <c r="Y52" s="288">
        <v>244859.04</v>
      </c>
      <c r="Z52" s="288">
        <v>449317.09</v>
      </c>
      <c r="AA52" s="288">
        <f t="shared" si="0"/>
        <v>3411914.3400000003</v>
      </c>
      <c r="AB52" s="289">
        <f t="shared" si="1"/>
        <v>0.83862987729192373</v>
      </c>
      <c r="AC52" s="140"/>
      <c r="AD52" s="290">
        <v>7167014.6200000001</v>
      </c>
      <c r="AE52" s="289">
        <f t="shared" si="2"/>
        <v>0.85049873538085607</v>
      </c>
      <c r="AF52" s="291">
        <f t="shared" si="3"/>
        <v>-3755100.28</v>
      </c>
      <c r="AG52" s="291">
        <v>5681582.0199999996</v>
      </c>
      <c r="AH52" s="289">
        <f t="shared" si="4"/>
        <v>0.89615642284467045</v>
      </c>
      <c r="AI52" s="292">
        <f t="shared" si="5"/>
        <v>-2269667.6799999992</v>
      </c>
    </row>
    <row r="53" spans="1:35" x14ac:dyDescent="0.35">
      <c r="A53" s="11"/>
      <c r="B53" s="11"/>
      <c r="C53" s="11"/>
      <c r="D53" s="11"/>
      <c r="E53" s="11"/>
      <c r="F53" s="11"/>
      <c r="G53" s="11"/>
      <c r="H53" s="88" t="s">
        <v>175</v>
      </c>
      <c r="I53" s="89" t="str">
        <f>IF(_epmOfflineCondition_,"B1",_xll.EVPRO($B$1,$H53,"STYLE"))</f>
        <v>B1</v>
      </c>
      <c r="J53" s="89" t="str">
        <f>IF(_epmOfflineCondition_,"Y",_xll.EVPRO($B$1,$H53,"CALC"))</f>
        <v>Y</v>
      </c>
      <c r="K53" s="107"/>
      <c r="L53" s="106" t="str">
        <f>IF(_epmOfflineCondition_,"",_xll.EVPRO($B$1,H53,"JDEID"))</f>
        <v/>
      </c>
      <c r="M53" s="90" t="str">
        <f>IF(_epmOfflineCondition_,"",IF(AND(I53="N",J53="N"),_xll.EVPRO($B$1,H53,"PSFTID"),""))</f>
        <v/>
      </c>
      <c r="N53" s="106" t="str">
        <f>IF(_epmOfflineCondition_,"BLANKROW",IF(_xll.EVDES(H53,$B$1)="#NODATA","",_xll.EVDES(H53,$B$1)))</f>
        <v>BLANKROW</v>
      </c>
      <c r="O53" s="293"/>
      <c r="P53" s="294"/>
      <c r="Q53" s="294"/>
      <c r="R53" s="294"/>
      <c r="S53" s="294"/>
      <c r="T53" s="294"/>
      <c r="U53" s="294"/>
      <c r="V53" s="294"/>
      <c r="W53" s="294"/>
      <c r="X53" s="294"/>
      <c r="Y53" s="294"/>
      <c r="Z53" s="294"/>
      <c r="AA53" s="294"/>
      <c r="AB53" s="295" t="str">
        <f t="shared" si="1"/>
        <v/>
      </c>
      <c r="AC53" s="140"/>
      <c r="AD53" s="296"/>
      <c r="AE53" s="295" t="str">
        <f t="shared" si="2"/>
        <v/>
      </c>
      <c r="AF53" s="297" t="str">
        <f t="shared" si="3"/>
        <v/>
      </c>
      <c r="AG53" s="297"/>
      <c r="AH53" s="295" t="str">
        <f t="shared" si="4"/>
        <v/>
      </c>
      <c r="AI53" s="298" t="str">
        <f t="shared" si="5"/>
        <v/>
      </c>
    </row>
    <row r="54" spans="1:35" x14ac:dyDescent="0.35">
      <c r="A54" s="11"/>
      <c r="B54" s="11"/>
      <c r="C54" s="11"/>
      <c r="D54" s="11"/>
      <c r="E54" s="11"/>
      <c r="F54" s="11"/>
      <c r="G54" s="11"/>
      <c r="H54" s="88" t="s">
        <v>87</v>
      </c>
      <c r="I54" s="89" t="str">
        <f>IF(_epmOfflineCondition_,"T5",_xll.EVPRO($B$1,$H54,"STYLE"))</f>
        <v>T5</v>
      </c>
      <c r="J54" s="89" t="str">
        <f>IF(_epmOfflineCondition_,"Y",_xll.EVPRO($B$1,$H54,"CALC"))</f>
        <v>Y</v>
      </c>
      <c r="K54" s="107"/>
      <c r="L54" s="106" t="str">
        <f>IF(_epmOfflineCondition_,"",_xll.EVPRO($B$1,H54,"JDEID"))</f>
        <v/>
      </c>
      <c r="M54" s="90" t="str">
        <f>IF(_epmOfflineCondition_,"",IF(AND(I54="N",J54="N"),_xll.EVPRO($B$1,H54,"PSFTID"),""))</f>
        <v/>
      </c>
      <c r="N54" s="106" t="str">
        <f>IF(_epmOfflineCondition_,"Corporate",IF(_xll.EVDES(H54,$B$1)="#NODATA","",_xll.EVDES(H54,$B$1)))</f>
        <v>Corporate</v>
      </c>
      <c r="O54" s="269">
        <v>174274</v>
      </c>
      <c r="P54" s="270">
        <v>124942</v>
      </c>
      <c r="Q54" s="270">
        <v>1295</v>
      </c>
      <c r="R54" s="270"/>
      <c r="S54" s="270"/>
      <c r="T54" s="270"/>
      <c r="U54" s="270"/>
      <c r="V54" s="270"/>
      <c r="W54" s="270"/>
      <c r="X54" s="270"/>
      <c r="Y54" s="270">
        <v>1520</v>
      </c>
      <c r="Z54" s="270">
        <v>27300</v>
      </c>
      <c r="AA54" s="270">
        <f t="shared" ref="AA54:AA69" si="6">SUM(O54:Z54)</f>
        <v>329331</v>
      </c>
      <c r="AB54" s="271">
        <f t="shared" si="1"/>
        <v>8.0947757943543946E-2</v>
      </c>
      <c r="AC54" s="140"/>
      <c r="AD54" s="272">
        <v>606656.34</v>
      </c>
      <c r="AE54" s="271">
        <f t="shared" si="2"/>
        <v>7.1990986113096359E-2</v>
      </c>
      <c r="AF54" s="273">
        <f t="shared" si="3"/>
        <v>-277325.33999999997</v>
      </c>
      <c r="AG54" s="273">
        <v>419665.25</v>
      </c>
      <c r="AH54" s="271">
        <f t="shared" si="4"/>
        <v>6.6193836137247983E-2</v>
      </c>
      <c r="AI54" s="274">
        <f t="shared" si="5"/>
        <v>-90334.25</v>
      </c>
    </row>
    <row r="55" spans="1:35" x14ac:dyDescent="0.35">
      <c r="A55" s="11"/>
      <c r="B55" s="11"/>
      <c r="C55" s="11"/>
      <c r="D55" s="11"/>
      <c r="E55" s="11"/>
      <c r="F55" s="11"/>
      <c r="G55" s="11"/>
      <c r="H55" s="88" t="s">
        <v>134</v>
      </c>
      <c r="I55" s="104" t="str">
        <f>IF(_epmOfflineCondition_,"T6",_xll.EVPRO($B$1,$H55,"STYLE"))</f>
        <v>T6</v>
      </c>
      <c r="J55" s="104" t="str">
        <f>IF(_epmOfflineCondition_,"Y",_xll.EVPRO($B$1,$H55,"CALC"))</f>
        <v>Y</v>
      </c>
      <c r="K55" s="104"/>
      <c r="L55" s="104" t="str">
        <f>IF(_epmOfflineCondition_,"401100",_xll.EVPRO($B$1,H55,"JDEID"))</f>
        <v>401100</v>
      </c>
      <c r="M55" s="90" t="str">
        <f>IF(_epmOfflineCondition_,"",IF(AND(I55="N",J55="N"),_xll.EVPRO($B$1,H55,"PSFTID"),""))</f>
        <v/>
      </c>
      <c r="N55" s="104" t="str">
        <f>IF(_epmOfflineCondition_,"Corporate",IF(_xll.EVDES(H55,$B$1)="#NODATA","",_xll.EVDES(H55,$B$1)))</f>
        <v>Corporate</v>
      </c>
      <c r="O55" s="275">
        <v>61740</v>
      </c>
      <c r="P55" s="276">
        <v>75695</v>
      </c>
      <c r="Q55" s="276">
        <v>1295</v>
      </c>
      <c r="R55" s="276"/>
      <c r="S55" s="276"/>
      <c r="T55" s="276"/>
      <c r="U55" s="276"/>
      <c r="V55" s="276"/>
      <c r="W55" s="276"/>
      <c r="X55" s="276"/>
      <c r="Y55" s="276">
        <v>1520</v>
      </c>
      <c r="Z55" s="276"/>
      <c r="AA55" s="276">
        <f t="shared" si="6"/>
        <v>140250</v>
      </c>
      <c r="AB55" s="277">
        <f t="shared" si="1"/>
        <v>3.4472682655389379E-2</v>
      </c>
      <c r="AC55" s="140"/>
      <c r="AD55" s="278">
        <v>390299.86</v>
      </c>
      <c r="AE55" s="277">
        <f t="shared" si="2"/>
        <v>4.6316291363910342E-2</v>
      </c>
      <c r="AF55" s="279">
        <f t="shared" si="3"/>
        <v>-250049.86</v>
      </c>
      <c r="AG55" s="279">
        <v>261415</v>
      </c>
      <c r="AH55" s="277">
        <f t="shared" si="4"/>
        <v>4.1233010533559024E-2</v>
      </c>
      <c r="AI55" s="280">
        <f t="shared" si="5"/>
        <v>-121165</v>
      </c>
    </row>
    <row r="56" spans="1:35" x14ac:dyDescent="0.35">
      <c r="A56" s="11"/>
      <c r="B56" s="11"/>
      <c r="C56" s="11"/>
      <c r="D56" s="11"/>
      <c r="E56" s="11"/>
      <c r="F56" s="11"/>
      <c r="G56" s="76"/>
      <c r="H56" s="88" t="s">
        <v>135</v>
      </c>
      <c r="I56" s="104" t="str">
        <f>IF(_epmOfflineCondition_,"T6",_xll.EVPRO($B$1,$H56,"STYLE"))</f>
        <v>T6</v>
      </c>
      <c r="J56" s="104" t="str">
        <f>IF(_epmOfflineCondition_,"Y",_xll.EVPRO($B$1,$H56,"CALC"))</f>
        <v>Y</v>
      </c>
      <c r="K56" s="104"/>
      <c r="L56" s="104" t="str">
        <f>IF(_epmOfflineCondition_,"401500",_xll.EVPRO($B$1,H56,"JDEID"))</f>
        <v>401500</v>
      </c>
      <c r="M56" s="90" t="str">
        <f>IF(_epmOfflineCondition_,"",IF(AND(I56="N",J56="N"),_xll.EVPRO($B$1,H56,"PSFTID"),""))</f>
        <v/>
      </c>
      <c r="N56" s="104" t="str">
        <f>IF(_epmOfflineCondition_,"Entertainment/Sports",IF(_xll.EVDES(H56,$B$1)="#NODATA","",_xll.EVDES(H56,$B$1)))</f>
        <v>Entertainment/Sports</v>
      </c>
      <c r="O56" s="275">
        <v>112534</v>
      </c>
      <c r="P56" s="276">
        <v>49247</v>
      </c>
      <c r="Q56" s="276"/>
      <c r="R56" s="276"/>
      <c r="S56" s="276"/>
      <c r="T56" s="276"/>
      <c r="U56" s="276"/>
      <c r="V56" s="276"/>
      <c r="W56" s="276"/>
      <c r="X56" s="276"/>
      <c r="Y56" s="276"/>
      <c r="Z56" s="276">
        <v>27300</v>
      </c>
      <c r="AA56" s="276">
        <f t="shared" si="6"/>
        <v>189081</v>
      </c>
      <c r="AB56" s="277">
        <f t="shared" si="1"/>
        <v>4.6475075288154574E-2</v>
      </c>
      <c r="AC56" s="140"/>
      <c r="AD56" s="278">
        <v>216356.48000000001</v>
      </c>
      <c r="AE56" s="277">
        <f t="shared" si="2"/>
        <v>2.5674694749186027E-2</v>
      </c>
      <c r="AF56" s="279">
        <f t="shared" si="3"/>
        <v>-27275.48000000001</v>
      </c>
      <c r="AG56" s="279">
        <v>158250.25</v>
      </c>
      <c r="AH56" s="277">
        <f t="shared" si="4"/>
        <v>2.4960825603688955E-2</v>
      </c>
      <c r="AI56" s="280">
        <f t="shared" si="5"/>
        <v>30830.75</v>
      </c>
    </row>
    <row r="57" spans="1:35" x14ac:dyDescent="0.35">
      <c r="A57" s="11"/>
      <c r="B57" s="11"/>
      <c r="C57" s="11"/>
      <c r="D57" s="11"/>
      <c r="E57" s="11"/>
      <c r="F57" s="11"/>
      <c r="G57" s="11"/>
      <c r="H57" s="88" t="s">
        <v>88</v>
      </c>
      <c r="I57" s="89" t="str">
        <f>IF(_epmOfflineCondition_,"T5",_xll.EVPRO($B$1,$H57,"STYLE"))</f>
        <v>T5</v>
      </c>
      <c r="J57" s="89" t="str">
        <f>IF(_epmOfflineCondition_,"Y",_xll.EVPRO($B$1,$H57,"CALC"))</f>
        <v>Y</v>
      </c>
      <c r="K57" s="107"/>
      <c r="L57" s="106" t="str">
        <f>IF(_epmOfflineCondition_,"",_xll.EVPRO($B$1,H57,"JDEID"))</f>
        <v/>
      </c>
      <c r="M57" s="90" t="str">
        <f>IF(_epmOfflineCondition_,"",IF(AND(I57="N",J57="N"),_xll.EVPRO($B$1,H57,"PSFTID"),""))</f>
        <v/>
      </c>
      <c r="N57" s="106" t="str">
        <f>IF(_epmOfflineCondition_,"Association/Convention",IF(_xll.EVDES(H57,$B$1)="#NODATA","",_xll.EVDES(H57,$B$1)))</f>
        <v>Association/Convention</v>
      </c>
      <c r="O57" s="269">
        <v>152995</v>
      </c>
      <c r="P57" s="270">
        <v>47284.52</v>
      </c>
      <c r="Q57" s="270"/>
      <c r="R57" s="270"/>
      <c r="S57" s="270"/>
      <c r="T57" s="270"/>
      <c r="U57" s="270"/>
      <c r="V57" s="270"/>
      <c r="W57" s="270"/>
      <c r="X57" s="270"/>
      <c r="Y57" s="270"/>
      <c r="Z57" s="270"/>
      <c r="AA57" s="270">
        <f t="shared" si="6"/>
        <v>200279.52</v>
      </c>
      <c r="AB57" s="271">
        <f t="shared" si="1"/>
        <v>4.9227610234108446E-2</v>
      </c>
      <c r="AC57" s="140"/>
      <c r="AD57" s="272">
        <v>352443.14</v>
      </c>
      <c r="AE57" s="271">
        <f t="shared" si="2"/>
        <v>4.1823891921076897E-2</v>
      </c>
      <c r="AF57" s="273">
        <f t="shared" si="3"/>
        <v>-152163.62000000002</v>
      </c>
      <c r="AG57" s="273">
        <v>56507.4</v>
      </c>
      <c r="AH57" s="271">
        <f t="shared" si="4"/>
        <v>8.9129170836563815E-3</v>
      </c>
      <c r="AI57" s="274">
        <f t="shared" si="5"/>
        <v>143772.12</v>
      </c>
    </row>
    <row r="58" spans="1:35" x14ac:dyDescent="0.35">
      <c r="A58" s="11"/>
      <c r="B58" s="11"/>
      <c r="C58" s="11"/>
      <c r="D58" s="11"/>
      <c r="E58" s="11"/>
      <c r="F58" s="11"/>
      <c r="G58" s="11"/>
      <c r="H58" s="88" t="s">
        <v>136</v>
      </c>
      <c r="I58" s="104" t="str">
        <f>IF(_epmOfflineCondition_,"T6",_xll.EVPRO($B$1,$H58,"STYLE"))</f>
        <v>T6</v>
      </c>
      <c r="J58" s="104" t="str">
        <f>IF(_epmOfflineCondition_,"Y",_xll.EVPRO($B$1,$H58,"CALC"))</f>
        <v>Y</v>
      </c>
      <c r="K58" s="104"/>
      <c r="L58" s="104" t="str">
        <f>IF(_epmOfflineCondition_,"401400",_xll.EVPRO($B$1,H58,"JDEID"))</f>
        <v>401400</v>
      </c>
      <c r="M58" s="90" t="str">
        <f>IF(_epmOfflineCondition_,"",IF(AND(I58="N",J58="N"),_xll.EVPRO($B$1,H58,"PSFTID"),""))</f>
        <v/>
      </c>
      <c r="N58" s="104" t="str">
        <f>IF(_epmOfflineCondition_,"Association",IF(_xll.EVDES(H58,$B$1)="#NODATA","",_xll.EVDES(H58,$B$1)))</f>
        <v>Association</v>
      </c>
      <c r="O58" s="275">
        <v>5675</v>
      </c>
      <c r="P58" s="276"/>
      <c r="Q58" s="276"/>
      <c r="R58" s="276"/>
      <c r="S58" s="276"/>
      <c r="T58" s="276"/>
      <c r="U58" s="276"/>
      <c r="V58" s="276"/>
      <c r="W58" s="276"/>
      <c r="X58" s="276"/>
      <c r="Y58" s="276"/>
      <c r="Z58" s="276"/>
      <c r="AA58" s="276">
        <f t="shared" si="6"/>
        <v>5675</v>
      </c>
      <c r="AB58" s="277">
        <f t="shared" si="1"/>
        <v>1.3948839505834917E-3</v>
      </c>
      <c r="AC58" s="140"/>
      <c r="AD58" s="278">
        <v>18411</v>
      </c>
      <c r="AE58" s="277">
        <f t="shared" si="2"/>
        <v>2.1848053962944115E-3</v>
      </c>
      <c r="AF58" s="279">
        <f t="shared" si="3"/>
        <v>-12736</v>
      </c>
      <c r="AG58" s="279">
        <v>13050</v>
      </c>
      <c r="AH58" s="277">
        <f t="shared" si="4"/>
        <v>2.0583776273853651E-3</v>
      </c>
      <c r="AI58" s="280">
        <f t="shared" si="5"/>
        <v>-7375</v>
      </c>
    </row>
    <row r="59" spans="1:35" x14ac:dyDescent="0.35">
      <c r="A59" s="11"/>
      <c r="B59" s="11"/>
      <c r="C59" s="11"/>
      <c r="D59" s="11"/>
      <c r="E59" s="11"/>
      <c r="F59" s="11"/>
      <c r="G59" s="11"/>
      <c r="H59" s="88" t="s">
        <v>137</v>
      </c>
      <c r="I59" s="104" t="str">
        <f>IF(_epmOfflineCondition_,"T6",_xll.EVPRO($B$1,$H59,"STYLE"))</f>
        <v>T6</v>
      </c>
      <c r="J59" s="104" t="str">
        <f>IF(_epmOfflineCondition_,"Y",_xll.EVPRO($B$1,$H59,"CALC"))</f>
        <v>Y</v>
      </c>
      <c r="K59" s="104"/>
      <c r="L59" s="104" t="str">
        <f>IF(_epmOfflineCondition_,"401600",_xll.EVPRO($B$1,H59,"JDEID"))</f>
        <v>401600</v>
      </c>
      <c r="M59" s="90" t="str">
        <f>IF(_epmOfflineCondition_,"",IF(AND(I59="N",J59="N"),_xll.EVPRO($B$1,H59,"PSFTID"),""))</f>
        <v/>
      </c>
      <c r="N59" s="104" t="str">
        <f>IF(_epmOfflineCondition_,"Convention",IF(_xll.EVDES(H59,$B$1)="#NODATA","",_xll.EVDES(H59,$B$1)))</f>
        <v>Convention</v>
      </c>
      <c r="O59" s="275">
        <v>147320</v>
      </c>
      <c r="P59" s="276">
        <v>47284.52</v>
      </c>
      <c r="Q59" s="276"/>
      <c r="R59" s="276"/>
      <c r="S59" s="276"/>
      <c r="T59" s="276"/>
      <c r="U59" s="276"/>
      <c r="V59" s="276"/>
      <c r="W59" s="276"/>
      <c r="X59" s="276"/>
      <c r="Y59" s="276"/>
      <c r="Z59" s="276"/>
      <c r="AA59" s="276">
        <f t="shared" si="6"/>
        <v>194604.52</v>
      </c>
      <c r="AB59" s="277">
        <f t="shared" si="1"/>
        <v>4.7832726283524953E-2</v>
      </c>
      <c r="AC59" s="140"/>
      <c r="AD59" s="278">
        <v>334032.14</v>
      </c>
      <c r="AE59" s="277">
        <f t="shared" si="2"/>
        <v>3.9639086524782485E-2</v>
      </c>
      <c r="AF59" s="279">
        <f t="shared" si="3"/>
        <v>-139427.62000000002</v>
      </c>
      <c r="AG59" s="279">
        <v>43457.4</v>
      </c>
      <c r="AH59" s="277">
        <f t="shared" si="4"/>
        <v>6.8545394562710164E-3</v>
      </c>
      <c r="AI59" s="280">
        <f t="shared" si="5"/>
        <v>151147.12</v>
      </c>
    </row>
    <row r="60" spans="1:35" x14ac:dyDescent="0.35">
      <c r="A60" s="11"/>
      <c r="B60" s="11"/>
      <c r="C60" s="11"/>
      <c r="D60" s="11"/>
      <c r="E60" s="11"/>
      <c r="F60" s="11"/>
      <c r="G60" s="11"/>
      <c r="H60" s="88" t="s">
        <v>89</v>
      </c>
      <c r="I60" s="89" t="str">
        <f>IF(_epmOfflineCondition_,"T5",_xll.EVPRO($B$1,$H60,"STYLE"))</f>
        <v>T5</v>
      </c>
      <c r="J60" s="89" t="str">
        <f>IF(_epmOfflineCondition_,"Y",_xll.EVPRO($B$1,$H60,"CALC"))</f>
        <v>Y</v>
      </c>
      <c r="K60" s="107"/>
      <c r="L60" s="106" t="str">
        <f>IF(_epmOfflineCondition_,"401800",_xll.EVPRO($B$1,H60,"JDEID"))</f>
        <v>401800</v>
      </c>
      <c r="M60" s="90" t="str">
        <f>IF(_epmOfflineCondition_,"",IF(AND(I60="N",J60="N"),_xll.EVPRO($B$1,H60,"PSFTID"),""))</f>
        <v/>
      </c>
      <c r="N60" s="106" t="str">
        <f>IF(_epmOfflineCondition_,"Government",IF(_xll.EVDES(H60,$B$1)="#NODATA","",_xll.EVDES(H60,$B$1)))</f>
        <v>Government</v>
      </c>
      <c r="O60" s="269">
        <v>7790</v>
      </c>
      <c r="P60" s="270"/>
      <c r="Q60" s="270"/>
      <c r="R60" s="270"/>
      <c r="S60" s="270"/>
      <c r="T60" s="270"/>
      <c r="U60" s="270"/>
      <c r="V60" s="270"/>
      <c r="W60" s="270"/>
      <c r="X60" s="270"/>
      <c r="Y60" s="270"/>
      <c r="Z60" s="270"/>
      <c r="AA60" s="270">
        <f t="shared" si="6"/>
        <v>7790</v>
      </c>
      <c r="AB60" s="271">
        <f t="shared" si="1"/>
        <v>1.9147393788626257E-3</v>
      </c>
      <c r="AC60" s="140"/>
      <c r="AD60" s="272">
        <v>7790</v>
      </c>
      <c r="AE60" s="271">
        <f t="shared" si="2"/>
        <v>9.2442746386038046E-4</v>
      </c>
      <c r="AF60" s="273">
        <f t="shared" si="3"/>
        <v>0</v>
      </c>
      <c r="AG60" s="273"/>
      <c r="AH60" s="271" t="str">
        <f t="shared" si="4"/>
        <v/>
      </c>
      <c r="AI60" s="274">
        <f t="shared" si="5"/>
        <v>7790</v>
      </c>
    </row>
    <row r="61" spans="1:35" x14ac:dyDescent="0.35">
      <c r="A61" s="11"/>
      <c r="B61" s="11"/>
      <c r="C61" s="11"/>
      <c r="D61" s="11"/>
      <c r="E61" s="11"/>
      <c r="F61" s="11"/>
      <c r="G61" s="11"/>
      <c r="H61" s="88" t="s">
        <v>90</v>
      </c>
      <c r="I61" s="89" t="str">
        <f>IF(_epmOfflineCondition_,"T5",_xll.EVPRO($B$1,$H61,"STYLE"))</f>
        <v>T5</v>
      </c>
      <c r="J61" s="89" t="str">
        <f>IF(_epmOfflineCondition_,"Y",_xll.EVPRO($B$1,$H61,"CALC"))</f>
        <v>Y</v>
      </c>
      <c r="K61" s="107"/>
      <c r="L61" s="106" t="str">
        <f>IF(_epmOfflineCondition_,"",_xll.EVPRO($B$1,H61,"JDEID"))</f>
        <v/>
      </c>
      <c r="M61" s="90" t="str">
        <f>IF(_epmOfflineCondition_,"",IF(AND(I61="N",J61="N"),_xll.EVPRO($B$1,H61,"PSFTID"),""))</f>
        <v/>
      </c>
      <c r="N61" s="106" t="str">
        <f>IF(_epmOfflineCondition_,"Tour/Wholesalers",IF(_xll.EVDES(H61,$B$1)="#NODATA","",_xll.EVDES(H61,$B$1)))</f>
        <v>Tour/Wholesalers</v>
      </c>
      <c r="O61" s="269"/>
      <c r="P61" s="270">
        <v>25477</v>
      </c>
      <c r="Q61" s="270">
        <v>406.72</v>
      </c>
      <c r="R61" s="270"/>
      <c r="S61" s="270"/>
      <c r="T61" s="270"/>
      <c r="U61" s="270"/>
      <c r="V61" s="270"/>
      <c r="W61" s="270"/>
      <c r="X61" s="270">
        <v>1830</v>
      </c>
      <c r="Y61" s="270">
        <v>3050</v>
      </c>
      <c r="Z61" s="270"/>
      <c r="AA61" s="270">
        <f t="shared" si="6"/>
        <v>30763.72</v>
      </c>
      <c r="AB61" s="271">
        <f t="shared" si="1"/>
        <v>7.5615540596025337E-3</v>
      </c>
      <c r="AC61" s="140"/>
      <c r="AD61" s="272">
        <v>157002.35999999999</v>
      </c>
      <c r="AE61" s="271">
        <f t="shared" si="2"/>
        <v>1.8631231511539722E-2</v>
      </c>
      <c r="AF61" s="273">
        <f t="shared" si="3"/>
        <v>-126238.63999999998</v>
      </c>
      <c r="AG61" s="273">
        <v>121697</v>
      </c>
      <c r="AH61" s="271">
        <f t="shared" si="4"/>
        <v>1.9195278323365272E-2</v>
      </c>
      <c r="AI61" s="274">
        <f t="shared" si="5"/>
        <v>-90933.28</v>
      </c>
    </row>
    <row r="62" spans="1:35" x14ac:dyDescent="0.35">
      <c r="A62" s="11"/>
      <c r="B62" s="11"/>
      <c r="C62" s="11"/>
      <c r="D62" s="11"/>
      <c r="E62" s="11"/>
      <c r="F62" s="11"/>
      <c r="G62" s="11"/>
      <c r="H62" s="88" t="s">
        <v>138</v>
      </c>
      <c r="I62" s="104" t="str">
        <f>IF(_epmOfflineCondition_,"T6",_xll.EVPRO($B$1,$H62,"STYLE"))</f>
        <v>T6</v>
      </c>
      <c r="J62" s="104" t="str">
        <f>IF(_epmOfflineCondition_,"Y",_xll.EVPRO($B$1,$H62,"CALC"))</f>
        <v>Y</v>
      </c>
      <c r="K62" s="104"/>
      <c r="L62" s="104" t="str">
        <f>IF(_epmOfflineCondition_,"401300",_xll.EVPRO($B$1,H62,"JDEID"))</f>
        <v>401300</v>
      </c>
      <c r="M62" s="90" t="str">
        <f>IF(_epmOfflineCondition_,"",IF(AND(I62="N",J62="N"),_xll.EVPRO($B$1,H62,"PSFTID"),""))</f>
        <v/>
      </c>
      <c r="N62" s="104" t="str">
        <f>IF(_epmOfflineCondition_,"Tour/Wholesale",IF(_xll.EVDES(H62,$B$1)="#NODATA","",_xll.EVDES(H62,$B$1)))</f>
        <v>Tour/Wholesale</v>
      </c>
      <c r="O62" s="275"/>
      <c r="P62" s="276"/>
      <c r="Q62" s="276"/>
      <c r="R62" s="276"/>
      <c r="S62" s="276"/>
      <c r="T62" s="276"/>
      <c r="U62" s="276"/>
      <c r="V62" s="276"/>
      <c r="W62" s="276"/>
      <c r="X62" s="276">
        <v>1830</v>
      </c>
      <c r="Y62" s="276">
        <v>3050</v>
      </c>
      <c r="Z62" s="276"/>
      <c r="AA62" s="276">
        <f t="shared" si="6"/>
        <v>4880</v>
      </c>
      <c r="AB62" s="277">
        <f t="shared" si="1"/>
        <v>1.1994773002374343E-3</v>
      </c>
      <c r="AC62" s="140"/>
      <c r="AD62" s="278">
        <v>16152</v>
      </c>
      <c r="AE62" s="277">
        <f t="shared" si="2"/>
        <v>1.9167332986229609E-3</v>
      </c>
      <c r="AF62" s="279">
        <f t="shared" si="3"/>
        <v>-11272</v>
      </c>
      <c r="AG62" s="279"/>
      <c r="AH62" s="277" t="str">
        <f t="shared" si="4"/>
        <v/>
      </c>
      <c r="AI62" s="280">
        <f t="shared" si="5"/>
        <v>4880</v>
      </c>
    </row>
    <row r="63" spans="1:35" x14ac:dyDescent="0.35">
      <c r="A63" s="11"/>
      <c r="B63" s="11"/>
      <c r="C63" s="11"/>
      <c r="D63" s="11"/>
      <c r="E63" s="11"/>
      <c r="F63" s="11"/>
      <c r="G63" s="11"/>
      <c r="H63" s="88" t="s">
        <v>139</v>
      </c>
      <c r="I63" s="104" t="str">
        <f>IF(_epmOfflineCondition_,"T6",_xll.EVPRO($B$1,$H63,"STYLE"))</f>
        <v>T6</v>
      </c>
      <c r="J63" s="104" t="str">
        <f>IF(_epmOfflineCondition_,"Y",_xll.EVPRO($B$1,$H63,"CALC"))</f>
        <v>Y</v>
      </c>
      <c r="K63" s="104"/>
      <c r="L63" s="104" t="str">
        <f>IF(_epmOfflineCondition_,"401330",_xll.EVPRO($B$1,H63,"JDEID"))</f>
        <v>401330</v>
      </c>
      <c r="M63" s="90" t="str">
        <f>IF(_epmOfflineCondition_,"",IF(AND(I63="N",J63="N"),_xll.EVPRO($B$1,H63,"PSFTID"),""))</f>
        <v/>
      </c>
      <c r="N63" s="104" t="str">
        <f>IF(_epmOfflineCondition_,"MICE",IF(_xll.EVDES(H63,$B$1)="#NODATA","",_xll.EVDES(H63,$B$1)))</f>
        <v>MICE</v>
      </c>
      <c r="O63" s="275"/>
      <c r="P63" s="276">
        <v>25477</v>
      </c>
      <c r="Q63" s="276">
        <v>406.72</v>
      </c>
      <c r="R63" s="276"/>
      <c r="S63" s="276"/>
      <c r="T63" s="276"/>
      <c r="U63" s="276"/>
      <c r="V63" s="276"/>
      <c r="W63" s="276"/>
      <c r="X63" s="276"/>
      <c r="Y63" s="276"/>
      <c r="Z63" s="276"/>
      <c r="AA63" s="276">
        <f t="shared" si="6"/>
        <v>25883.72</v>
      </c>
      <c r="AB63" s="277">
        <f t="shared" si="1"/>
        <v>6.3620767593650989E-3</v>
      </c>
      <c r="AC63" s="140"/>
      <c r="AD63" s="278">
        <v>140850.35999999999</v>
      </c>
      <c r="AE63" s="277">
        <f t="shared" si="2"/>
        <v>1.6714498212916762E-2</v>
      </c>
      <c r="AF63" s="279">
        <f t="shared" si="3"/>
        <v>-114966.63999999998</v>
      </c>
      <c r="AG63" s="279">
        <v>121697</v>
      </c>
      <c r="AH63" s="277">
        <f t="shared" si="4"/>
        <v>1.9195278323365272E-2</v>
      </c>
      <c r="AI63" s="280">
        <f t="shared" si="5"/>
        <v>-95813.28</v>
      </c>
    </row>
    <row r="64" spans="1:35" x14ac:dyDescent="0.35">
      <c r="A64" s="11"/>
      <c r="B64" s="11"/>
      <c r="C64" s="11"/>
      <c r="D64" s="11"/>
      <c r="E64" s="11"/>
      <c r="F64" s="11"/>
      <c r="G64" s="11"/>
      <c r="H64" s="88" t="s">
        <v>68</v>
      </c>
      <c r="I64" s="89" t="str">
        <f>IF(_epmOfflineCondition_,"T5",_xll.EVPRO($B$1,$H64,"STYLE"))</f>
        <v>T5</v>
      </c>
      <c r="J64" s="89" t="str">
        <f>IF(_epmOfflineCondition_,"Y",_xll.EVPRO($B$1,$H64,"CALC"))</f>
        <v>Y</v>
      </c>
      <c r="K64" s="107"/>
      <c r="L64" s="106" t="str">
        <f>IF(_epmOfflineCondition_,"401200",_xll.EVPRO($B$1,H64,"JDEID"))</f>
        <v>401200</v>
      </c>
      <c r="M64" s="90" t="str">
        <f>IF(_epmOfflineCondition_,"",IF(AND(I64="N",J64="N"),_xll.EVPRO($B$1,H64,"PSFTID"),""))</f>
        <v/>
      </c>
      <c r="N64" s="106" t="str">
        <f>IF(_epmOfflineCondition_,"SMERF",IF(_xll.EVDES(H64,$B$1)="#NODATA","",_xll.EVDES(H64,$B$1)))</f>
        <v>SMERF</v>
      </c>
      <c r="O64" s="281">
        <v>7768</v>
      </c>
      <c r="P64" s="282">
        <v>12407</v>
      </c>
      <c r="Q64" s="282"/>
      <c r="R64" s="282"/>
      <c r="S64" s="282"/>
      <c r="T64" s="282"/>
      <c r="U64" s="282"/>
      <c r="V64" s="282"/>
      <c r="W64" s="282"/>
      <c r="X64" s="282">
        <v>5825</v>
      </c>
      <c r="Y64" s="282"/>
      <c r="Z64" s="282"/>
      <c r="AA64" s="282">
        <f t="shared" si="6"/>
        <v>26000</v>
      </c>
      <c r="AB64" s="283">
        <f t="shared" si="1"/>
        <v>6.3906577471666585E-3</v>
      </c>
      <c r="AC64" s="140"/>
      <c r="AD64" s="284">
        <v>54419.19</v>
      </c>
      <c r="AE64" s="283">
        <f t="shared" si="2"/>
        <v>6.457842592687571E-3</v>
      </c>
      <c r="AF64" s="285">
        <f t="shared" si="3"/>
        <v>-28419.190000000002</v>
      </c>
      <c r="AG64" s="285">
        <v>46745.279999999999</v>
      </c>
      <c r="AH64" s="283">
        <f t="shared" si="4"/>
        <v>7.3731370527099277E-3</v>
      </c>
      <c r="AI64" s="286">
        <f t="shared" si="5"/>
        <v>-20745.28</v>
      </c>
    </row>
    <row r="65" spans="1:35" x14ac:dyDescent="0.35">
      <c r="A65" s="11"/>
      <c r="B65" s="11"/>
      <c r="C65" s="11"/>
      <c r="D65" s="11"/>
      <c r="E65" s="11"/>
      <c r="F65" s="11"/>
      <c r="G65" s="11"/>
      <c r="H65" s="88" t="s">
        <v>64</v>
      </c>
      <c r="I65" s="89" t="str">
        <f>IF(_epmOfflineCondition_,"T4",_xll.EVPRO($B$1,$H65,"STYLE"))</f>
        <v>T4</v>
      </c>
      <c r="J65" s="89" t="str">
        <f>IF(_epmOfflineCondition_,"Y",_xll.EVPRO($B$1,$H65,"CALC"))</f>
        <v>Y</v>
      </c>
      <c r="K65" s="107"/>
      <c r="L65" s="106" t="str">
        <f>IF(_epmOfflineCondition_,"401000",_xll.EVPRO($B$1,H65,"JDEID"))</f>
        <v>401000</v>
      </c>
      <c r="M65" s="90" t="str">
        <f>IF(_epmOfflineCondition_,"",IF(AND(I65="N",J65="N"),_xll.EVPRO($B$1,H65,"PSFTID"),""))</f>
        <v/>
      </c>
      <c r="N65" s="106" t="str">
        <f>IF(_epmOfflineCondition_,"Total Group Room Rev",IF(_xll.EVDES(H65,$B$1)="#NODATA","",_xll.EVDES(H65,$B$1)))</f>
        <v>Total Group Room Rev</v>
      </c>
      <c r="O65" s="287">
        <v>342827</v>
      </c>
      <c r="P65" s="288">
        <v>210110.52</v>
      </c>
      <c r="Q65" s="288">
        <v>1701.72</v>
      </c>
      <c r="R65" s="288"/>
      <c r="S65" s="288"/>
      <c r="T65" s="288"/>
      <c r="U65" s="288"/>
      <c r="V65" s="288"/>
      <c r="W65" s="288"/>
      <c r="X65" s="288">
        <v>7655</v>
      </c>
      <c r="Y65" s="288">
        <v>4570</v>
      </c>
      <c r="Z65" s="288">
        <v>27300</v>
      </c>
      <c r="AA65" s="288">
        <f t="shared" si="6"/>
        <v>594164.24</v>
      </c>
      <c r="AB65" s="289">
        <f t="shared" si="1"/>
        <v>0.14604231936328421</v>
      </c>
      <c r="AC65" s="140"/>
      <c r="AD65" s="290">
        <v>1178311.03</v>
      </c>
      <c r="AE65" s="289">
        <f t="shared" si="2"/>
        <v>0.13982837960226094</v>
      </c>
      <c r="AF65" s="291">
        <f t="shared" si="3"/>
        <v>-584146.79</v>
      </c>
      <c r="AG65" s="291">
        <v>644614.93000000005</v>
      </c>
      <c r="AH65" s="289">
        <f t="shared" si="4"/>
        <v>0.10167516859697956</v>
      </c>
      <c r="AI65" s="292">
        <f t="shared" si="5"/>
        <v>-50450.690000000061</v>
      </c>
    </row>
    <row r="66" spans="1:35" x14ac:dyDescent="0.35">
      <c r="A66" s="11"/>
      <c r="B66" s="11"/>
      <c r="C66" s="11"/>
      <c r="D66" s="11"/>
      <c r="E66" s="11"/>
      <c r="F66" s="11"/>
      <c r="G66" s="11"/>
      <c r="H66" s="88" t="s">
        <v>140</v>
      </c>
      <c r="I66" s="104" t="str">
        <f>IF(_epmOfflineCondition_,"T6",_xll.EVPRO($B$1,$H66,"STYLE"))</f>
        <v>T6</v>
      </c>
      <c r="J66" s="104" t="str">
        <f>IF(_epmOfflineCondition_,"Y",_xll.EVPRO($B$1,$H66,"CALC"))</f>
        <v>Y</v>
      </c>
      <c r="K66" s="104"/>
      <c r="L66" s="104" t="str">
        <f>IF(_epmOfflineCondition_,"401700",_xll.EVPRO($B$1,H66,"JDEID"))</f>
        <v>401700</v>
      </c>
      <c r="M66" s="90" t="str">
        <f>IF(_epmOfflineCondition_,"",IF(AND(I66="N",J66="N"),_xll.EVPRO($B$1,H66,"PSFTID"),""))</f>
        <v/>
      </c>
      <c r="N66" s="104" t="str">
        <f>IF(_epmOfflineCondition_,"Contract",IF(_xll.EVDES(H66,$B$1)="#NODATA","",_xll.EVDES(H66,$B$1)))</f>
        <v>Contract</v>
      </c>
      <c r="O66" s="299"/>
      <c r="P66" s="300"/>
      <c r="Q66" s="300"/>
      <c r="R66" s="300"/>
      <c r="S66" s="300"/>
      <c r="T66" s="300"/>
      <c r="U66" s="300"/>
      <c r="V66" s="300"/>
      <c r="W66" s="300"/>
      <c r="X66" s="300"/>
      <c r="Y66" s="300"/>
      <c r="Z66" s="300"/>
      <c r="AA66" s="300">
        <f t="shared" si="6"/>
        <v>0</v>
      </c>
      <c r="AB66" s="301" t="str">
        <f t="shared" si="1"/>
        <v/>
      </c>
      <c r="AC66" s="140"/>
      <c r="AD66" s="302"/>
      <c r="AE66" s="301" t="str">
        <f t="shared" si="2"/>
        <v/>
      </c>
      <c r="AF66" s="303">
        <f t="shared" si="3"/>
        <v>0</v>
      </c>
      <c r="AG66" s="303"/>
      <c r="AH66" s="301" t="str">
        <f t="shared" si="4"/>
        <v/>
      </c>
      <c r="AI66" s="304">
        <f t="shared" si="5"/>
        <v>0</v>
      </c>
    </row>
    <row r="67" spans="1:35" x14ac:dyDescent="0.35">
      <c r="A67" s="11"/>
      <c r="B67" s="11"/>
      <c r="C67" s="11"/>
      <c r="D67" s="11"/>
      <c r="E67" s="11"/>
      <c r="F67" s="11"/>
      <c r="G67" s="11"/>
      <c r="H67" s="88" t="s">
        <v>67</v>
      </c>
      <c r="I67" s="89" t="str">
        <f>IF(_epmOfflineCondition_,"T5",_xll.EVPRO($B$1,$H67,"STYLE"))</f>
        <v>T5</v>
      </c>
      <c r="J67" s="89" t="str">
        <f>IF(_epmOfflineCondition_,"Y",_xll.EVPRO($B$1,$H67,"CALC"))</f>
        <v>Y</v>
      </c>
      <c r="K67" s="107"/>
      <c r="L67" s="106" t="str">
        <f>IF(_epmOfflineCondition_,"403000",_xll.EVPRO($B$1,H67,"JDEID"))</f>
        <v>403000</v>
      </c>
      <c r="M67" s="90" t="str">
        <f>IF(_epmOfflineCondition_,"",IF(AND(I67="N",J67="N"),_xll.EVPRO($B$1,H67,"PSFTID"),""))</f>
        <v/>
      </c>
      <c r="N67" s="106" t="str">
        <f>IF(_epmOfflineCondition_,"Other Rooms Revenue",IF(_xll.EVDES(H67,$B$1)="#NODATA","",_xll.EVDES(H67,$B$1)))</f>
        <v>Other Rooms Revenue</v>
      </c>
      <c r="O67" s="269">
        <v>17543.62</v>
      </c>
      <c r="P67" s="270">
        <v>7230.78</v>
      </c>
      <c r="Q67" s="270">
        <v>5594.86</v>
      </c>
      <c r="R67" s="270">
        <v>-1947.41</v>
      </c>
      <c r="S67" s="270"/>
      <c r="T67" s="270">
        <v>1222</v>
      </c>
      <c r="U67" s="270">
        <v>3668.97</v>
      </c>
      <c r="V67" s="270">
        <v>4420.72</v>
      </c>
      <c r="W67" s="270">
        <v>6104.05</v>
      </c>
      <c r="X67" s="270">
        <v>9559.73</v>
      </c>
      <c r="Y67" s="270">
        <v>10257.780000000001</v>
      </c>
      <c r="Z67" s="270">
        <v>9057.93</v>
      </c>
      <c r="AA67" s="270">
        <f t="shared" si="6"/>
        <v>72713.03</v>
      </c>
      <c r="AB67" s="271">
        <f t="shared" si="1"/>
        <v>1.787246494190237E-2</v>
      </c>
      <c r="AC67" s="140"/>
      <c r="AD67" s="272">
        <v>118594.83</v>
      </c>
      <c r="AE67" s="271">
        <f t="shared" si="2"/>
        <v>1.4073468282907954E-2</v>
      </c>
      <c r="AF67" s="273">
        <f t="shared" si="3"/>
        <v>-45881.8</v>
      </c>
      <c r="AG67" s="273">
        <v>50315.38</v>
      </c>
      <c r="AH67" s="271">
        <f t="shared" si="4"/>
        <v>7.9362492341297358E-3</v>
      </c>
      <c r="AI67" s="274">
        <f t="shared" si="5"/>
        <v>22397.65</v>
      </c>
    </row>
    <row r="68" spans="1:35" x14ac:dyDescent="0.35">
      <c r="A68" s="11"/>
      <c r="B68" s="11"/>
      <c r="C68" s="11"/>
      <c r="D68" s="11"/>
      <c r="E68" s="11"/>
      <c r="F68" s="11"/>
      <c r="G68" s="11"/>
      <c r="H68" s="88" t="s">
        <v>91</v>
      </c>
      <c r="I68" s="104" t="str">
        <f>IF(_epmOfflineCondition_,"N",_xll.EVPRO($B$1,$H68,"STYLE"))</f>
        <v>N</v>
      </c>
      <c r="J68" s="104" t="str">
        <f>IF(_epmOfflineCondition_,"N",_xll.EVPRO($B$1,$H68,"CALC"))</f>
        <v>N</v>
      </c>
      <c r="K68" s="104"/>
      <c r="L68" s="104" t="str">
        <f>IF(_epmOfflineCondition_,"403990",_xll.EVPRO($B$1,H68,"JDEID"))</f>
        <v>403990</v>
      </c>
      <c r="M68" s="90" t="str">
        <f>IF(_epmOfflineCondition_,"200529",IF(AND(I68="N",J68="N"),_xll.EVPRO($B$1,H68,"PSFTID"),""))</f>
        <v>200529</v>
      </c>
      <c r="N68" s="104" t="str">
        <f>IF(_epmOfflineCondition_,"Rooms: Allowances",IF(_xll.EVDES(H68,$B$1)="#NODATA","",_xll.EVDES(H68,$B$1)))</f>
        <v>Rooms: Allowances</v>
      </c>
      <c r="O68" s="305">
        <v>-1307.45</v>
      </c>
      <c r="P68" s="306">
        <v>-2488</v>
      </c>
      <c r="Q68" s="306">
        <v>-2116.7600000000002</v>
      </c>
      <c r="R68" s="306">
        <v>-1821.97</v>
      </c>
      <c r="S68" s="306"/>
      <c r="T68" s="306">
        <v>-177.29</v>
      </c>
      <c r="U68" s="306">
        <v>-177.33</v>
      </c>
      <c r="V68" s="306">
        <v>-407.71</v>
      </c>
      <c r="W68" s="306">
        <v>-24</v>
      </c>
      <c r="X68" s="306">
        <v>-408.45</v>
      </c>
      <c r="Y68" s="306">
        <v>-306.61</v>
      </c>
      <c r="Z68" s="306">
        <v>-1117.23</v>
      </c>
      <c r="AA68" s="306">
        <f t="shared" si="6"/>
        <v>-10352.800000000001</v>
      </c>
      <c r="AB68" s="307">
        <f t="shared" si="1"/>
        <v>-2.5446615971102685E-3</v>
      </c>
      <c r="AC68" s="140"/>
      <c r="AD68" s="308">
        <v>-37083</v>
      </c>
      <c r="AE68" s="307">
        <f t="shared" si="2"/>
        <v>-4.4005832660249664E-3</v>
      </c>
      <c r="AF68" s="309">
        <f t="shared" si="3"/>
        <v>26730.199999999997</v>
      </c>
      <c r="AG68" s="309">
        <v>-36567.79</v>
      </c>
      <c r="AH68" s="307">
        <f t="shared" si="4"/>
        <v>-5.7678406757797913E-3</v>
      </c>
      <c r="AI68" s="310">
        <f t="shared" si="5"/>
        <v>26214.989999999998</v>
      </c>
    </row>
    <row r="69" spans="1:35" x14ac:dyDescent="0.35">
      <c r="A69" s="11"/>
      <c r="B69" s="11"/>
      <c r="C69" s="11"/>
      <c r="D69" s="11"/>
      <c r="E69" s="11"/>
      <c r="F69" s="11"/>
      <c r="G69" s="76"/>
      <c r="H69" s="88" t="s">
        <v>72</v>
      </c>
      <c r="I69" s="89" t="str">
        <f>IF(_epmOfflineCondition_,"T4",_xll.EVPRO($B$1,$H69,"STYLE"))</f>
        <v>T4</v>
      </c>
      <c r="J69" s="89" t="str">
        <f>IF(_epmOfflineCondition_,"Y",_xll.EVPRO($B$1,$H69,"CALC"))</f>
        <v>Y</v>
      </c>
      <c r="K69" s="107"/>
      <c r="L69" s="106" t="str">
        <f>IF(_epmOfflineCondition_,"",_xll.EVPRO($B$1,H69,"JDEID"))</f>
        <v/>
      </c>
      <c r="M69" s="90" t="str">
        <f>IF(_epmOfflineCondition_,"",IF(AND(I69="N",J69="N"),_xll.EVPRO($B$1,H69,"PSFTID"),""))</f>
        <v/>
      </c>
      <c r="N69" s="106" t="str">
        <f>IF(_epmOfflineCondition_,"Total Rooms Revenue",IF(_xll.EVDES(H69,$B$1)="#NODATA","",_xll.EVDES(H69,$B$1)))</f>
        <v>Total Rooms Revenue</v>
      </c>
      <c r="O69" s="287">
        <v>1108171.46</v>
      </c>
      <c r="P69" s="288">
        <v>1121974.83</v>
      </c>
      <c r="Q69" s="288">
        <v>362654.36</v>
      </c>
      <c r="R69" s="288">
        <v>-6257.08</v>
      </c>
      <c r="S69" s="288">
        <v>-9836</v>
      </c>
      <c r="T69" s="288">
        <v>89865.39</v>
      </c>
      <c r="U69" s="288">
        <v>73614.19</v>
      </c>
      <c r="V69" s="288">
        <v>115214.64</v>
      </c>
      <c r="W69" s="288">
        <v>210916.56</v>
      </c>
      <c r="X69" s="288">
        <v>258182.46</v>
      </c>
      <c r="Y69" s="288">
        <v>259380.21</v>
      </c>
      <c r="Z69" s="288">
        <v>484557.79</v>
      </c>
      <c r="AA69" s="288">
        <f t="shared" si="6"/>
        <v>4068438.81</v>
      </c>
      <c r="AB69" s="289">
        <f t="shared" si="1"/>
        <v>1</v>
      </c>
      <c r="AC69" s="140"/>
      <c r="AD69" s="290">
        <v>8426837.4800000098</v>
      </c>
      <c r="AE69" s="289">
        <f t="shared" si="2"/>
        <v>1.0000000000000011</v>
      </c>
      <c r="AF69" s="291">
        <f t="shared" si="3"/>
        <v>-4358398.6700000092</v>
      </c>
      <c r="AG69" s="291">
        <v>6339944.54</v>
      </c>
      <c r="AH69" s="289">
        <f t="shared" si="4"/>
        <v>1</v>
      </c>
      <c r="AI69" s="292">
        <f t="shared" si="5"/>
        <v>-2271505.73</v>
      </c>
    </row>
    <row r="70" spans="1:35" x14ac:dyDescent="0.35">
      <c r="A70" s="11"/>
      <c r="B70" s="11"/>
      <c r="C70" s="11"/>
      <c r="D70" s="11"/>
      <c r="E70" s="11"/>
      <c r="F70" s="11"/>
      <c r="G70" s="76"/>
      <c r="H70" s="55"/>
      <c r="I70" s="59"/>
      <c r="J70" s="59"/>
      <c r="K70" s="11"/>
      <c r="L70" s="11"/>
      <c r="M70" s="11"/>
      <c r="N70" s="11"/>
      <c r="O70" s="203"/>
      <c r="P70" s="204"/>
      <c r="Q70" s="204"/>
      <c r="R70" s="204"/>
      <c r="S70" s="204"/>
      <c r="T70" s="204"/>
      <c r="U70" s="204"/>
      <c r="V70" s="204"/>
      <c r="W70" s="204"/>
      <c r="X70" s="204"/>
      <c r="Y70" s="204"/>
      <c r="Z70" s="204"/>
      <c r="AA70" s="204"/>
      <c r="AB70" s="118"/>
      <c r="AC70" s="11"/>
      <c r="AD70" s="203"/>
      <c r="AE70" s="204"/>
      <c r="AF70" s="118"/>
      <c r="AG70" s="203"/>
      <c r="AH70" s="204"/>
      <c r="AI70" s="118"/>
    </row>
    <row r="71" spans="1:35" x14ac:dyDescent="0.35">
      <c r="A71" s="11"/>
      <c r="B71" s="11"/>
      <c r="C71" s="11"/>
      <c r="D71" s="11"/>
      <c r="E71" s="11"/>
      <c r="F71" s="11"/>
      <c r="G71" s="76"/>
      <c r="H71" s="11" t="s">
        <v>173</v>
      </c>
      <c r="I71" s="59" t="str">
        <f>IF(_epmOfflineCondition_,"T1",_xll.EVPRO($B$1,$H71,"STYLE"))</f>
        <v>T1</v>
      </c>
      <c r="J71" s="59" t="str">
        <f>IF(_epmOfflineCondition_,"Y",_xll.EVPRO($B$1,$H71,"CALC"))</f>
        <v>Y</v>
      </c>
      <c r="K71" s="11"/>
      <c r="L71" s="11"/>
      <c r="M71" s="11"/>
      <c r="N71" s="105" t="str">
        <f>IF(_epmOfflineCondition_,"Rooms Statistics",IF(_xll.EVDES(H71,$B$1)="#NODATA","",_xll.EVDES(H71,$B$1)))</f>
        <v>Rooms Statistics</v>
      </c>
      <c r="O71" s="203"/>
      <c r="P71" s="204"/>
      <c r="Q71" s="204"/>
      <c r="R71" s="204"/>
      <c r="S71" s="204"/>
      <c r="T71" s="204"/>
      <c r="U71" s="204"/>
      <c r="V71" s="204"/>
      <c r="W71" s="204"/>
      <c r="X71" s="204"/>
      <c r="Y71" s="204"/>
      <c r="Z71" s="204"/>
      <c r="AA71" s="204"/>
      <c r="AB71" s="264" t="s">
        <v>742</v>
      </c>
      <c r="AC71" s="11"/>
      <c r="AD71" s="203"/>
      <c r="AE71" s="204"/>
      <c r="AF71" s="118"/>
      <c r="AG71" s="203"/>
      <c r="AH71" s="204"/>
      <c r="AI71" s="118"/>
    </row>
    <row r="72" spans="1:35" x14ac:dyDescent="0.35">
      <c r="A72" s="11"/>
      <c r="B72" s="11"/>
      <c r="C72" s="11"/>
      <c r="D72" s="11"/>
      <c r="E72" s="11"/>
      <c r="F72" s="11"/>
      <c r="G72" s="11"/>
      <c r="H72" s="88" t="s">
        <v>142</v>
      </c>
      <c r="I72" s="89" t="str">
        <f>IF(_epmOfflineCondition_,"T3",_xll.EVPRO($B$1,$H72,"STYLE"))</f>
        <v>T3</v>
      </c>
      <c r="J72" s="89" t="str">
        <f>IF(_epmOfflineCondition_,"Y",_xll.EVPRO($B$1,$H72,"CALC"))</f>
        <v>Y</v>
      </c>
      <c r="K72" s="265"/>
      <c r="L72" s="106" t="str">
        <f>IF(_epmOfflineCondition_,"",_xll.EVPRO($B$1,H72,"JDEID"))</f>
        <v/>
      </c>
      <c r="M72" s="90" t="str">
        <f>IF(_epmOfflineCondition_,"",IF(AND(I72="N",J72="N"),_xll.EVPRO($B$1,H72,"PSFTID"),""))</f>
        <v/>
      </c>
      <c r="N72" s="106" t="str">
        <f>IF(_epmOfflineCondition_,"Retail",IF(_xll.EVDES(H72,$B$1)="#NODATA","",_xll.EVDES(H72,$B$1)))</f>
        <v>Retail</v>
      </c>
      <c r="O72" s="269">
        <v>1055</v>
      </c>
      <c r="P72" s="270">
        <v>976</v>
      </c>
      <c r="Q72" s="270">
        <v>651</v>
      </c>
      <c r="R72" s="270"/>
      <c r="S72" s="270"/>
      <c r="T72" s="270">
        <v>419</v>
      </c>
      <c r="U72" s="270">
        <v>290</v>
      </c>
      <c r="V72" s="270">
        <v>476</v>
      </c>
      <c r="W72" s="270">
        <v>656</v>
      </c>
      <c r="X72" s="270">
        <v>534</v>
      </c>
      <c r="Y72" s="270">
        <v>645</v>
      </c>
      <c r="Z72" s="270">
        <v>1057</v>
      </c>
      <c r="AA72" s="270">
        <f t="shared" ref="AA72:AA116" si="7">SUM(O72:Z72)</f>
        <v>6759</v>
      </c>
      <c r="AB72" s="311">
        <f t="shared" ref="AB72:AB116" si="8">IF($H72="907300",TEXT(IFERROR(AA72/AA$20,""),"0.00"),IF(AA72=0,"",IFERROR(AA72/AA$20,"")))</f>
        <v>0.33710723192019948</v>
      </c>
      <c r="AC72" s="140"/>
      <c r="AD72" s="272">
        <v>9723</v>
      </c>
      <c r="AE72" s="311">
        <f t="shared" ref="AE72:AE116" si="9">IF($H72="907300",TEXT(IFERROR(AD72/AD$20,""),"0.00"),IF(AD72=0,"",IFERROR(AD72/AD$20,"""")))</f>
        <v>0.25725625082682896</v>
      </c>
      <c r="AF72" s="273">
        <f t="shared" ref="AF72:AF116" si="10">IF(AND($AA72="",AD72=""),"",$AA72-AD72)</f>
        <v>-2964</v>
      </c>
      <c r="AG72" s="273">
        <v>7839</v>
      </c>
      <c r="AH72" s="311">
        <f t="shared" ref="AH72:AH116" si="11">IF($H72="907300",TEXT(IFERROR(AG72/AG$20,""),"0.00"),IF(AG72=0,"",IFERROR(AG72/AG$20,"""")))</f>
        <v>0.23839790766984978</v>
      </c>
      <c r="AI72" s="274">
        <f t="shared" ref="AI72:AI116" si="12">IF(AND($AA72="",AG72=""),"",$AA72-AG72)</f>
        <v>-1080</v>
      </c>
    </row>
    <row r="73" spans="1:35" x14ac:dyDescent="0.35">
      <c r="A73" s="11"/>
      <c r="B73" s="11"/>
      <c r="C73" s="11"/>
      <c r="D73" s="11"/>
      <c r="E73" s="11"/>
      <c r="F73" s="11"/>
      <c r="G73" s="11"/>
      <c r="H73" s="88" t="s">
        <v>143</v>
      </c>
      <c r="I73" s="104" t="str">
        <f>IF(_epmOfflineCondition_,"N",_xll.EVPRO($B$1,$H73,"STYLE"))</f>
        <v>N</v>
      </c>
      <c r="J73" s="104" t="str">
        <f>IF(_epmOfflineCondition_,"N",_xll.EVPRO($B$1,$H73,"CALC"))</f>
        <v>N</v>
      </c>
      <c r="K73" s="104"/>
      <c r="L73" s="104" t="str">
        <f>IF(_epmOfflineCondition_,"902100",_xll.EVPRO($B$1,H73,"JDEID"))</f>
        <v>902100</v>
      </c>
      <c r="M73" s="90" t="str">
        <f>IF(_epmOfflineCondition_,"991768",IF(AND(I73="N",J73="N"),_xll.EVPRO($B$1,H73,"PSFTID"),""))</f>
        <v>991768</v>
      </c>
      <c r="N73" s="104" t="str">
        <f>IF(_epmOfflineCondition_,"Room Only",IF(_xll.EVDES(H73,$B$1)="#NODATA","",_xll.EVDES(H73,$B$1)))</f>
        <v>Room Only</v>
      </c>
      <c r="O73" s="275">
        <v>191</v>
      </c>
      <c r="P73" s="276">
        <v>227</v>
      </c>
      <c r="Q73" s="276">
        <v>112</v>
      </c>
      <c r="R73" s="276"/>
      <c r="S73" s="276"/>
      <c r="T73" s="276">
        <v>74</v>
      </c>
      <c r="U73" s="276">
        <v>53</v>
      </c>
      <c r="V73" s="276">
        <v>140</v>
      </c>
      <c r="W73" s="276">
        <v>186</v>
      </c>
      <c r="X73" s="276">
        <v>128</v>
      </c>
      <c r="Y73" s="276">
        <v>104</v>
      </c>
      <c r="Z73" s="276">
        <v>152</v>
      </c>
      <c r="AA73" s="276">
        <f t="shared" si="7"/>
        <v>1367</v>
      </c>
      <c r="AB73" s="312">
        <f t="shared" si="8"/>
        <v>6.8179551122194509E-2</v>
      </c>
      <c r="AC73" s="140"/>
      <c r="AD73" s="278">
        <v>2238</v>
      </c>
      <c r="AE73" s="312">
        <f t="shared" si="9"/>
        <v>5.9214181770075404E-2</v>
      </c>
      <c r="AF73" s="279">
        <f t="shared" si="10"/>
        <v>-871</v>
      </c>
      <c r="AG73" s="279">
        <v>2017</v>
      </c>
      <c r="AH73" s="312">
        <f t="shared" si="11"/>
        <v>6.1340551061370964E-2</v>
      </c>
      <c r="AI73" s="280">
        <f t="shared" si="12"/>
        <v>-650</v>
      </c>
    </row>
    <row r="74" spans="1:35" x14ac:dyDescent="0.35">
      <c r="A74" s="11"/>
      <c r="B74" s="11"/>
      <c r="C74" s="11"/>
      <c r="D74" s="11"/>
      <c r="E74" s="11"/>
      <c r="F74" s="11"/>
      <c r="G74" s="11"/>
      <c r="H74" s="88" t="s">
        <v>144</v>
      </c>
      <c r="I74" s="104" t="str">
        <f>IF(_epmOfflineCondition_,"N",_xll.EVPRO($B$1,$H74,"STYLE"))</f>
        <v>N</v>
      </c>
      <c r="J74" s="104" t="str">
        <f>IF(_epmOfflineCondition_,"N",_xll.EVPRO($B$1,$H74,"CALC"))</f>
        <v>N</v>
      </c>
      <c r="K74" s="104"/>
      <c r="L74" s="104" t="str">
        <f>IF(_epmOfflineCondition_,"902130",_xll.EVPRO($B$1,H74,"JDEID"))</f>
        <v>902130</v>
      </c>
      <c r="M74" s="90" t="str">
        <f>IF(_epmOfflineCondition_,"991755",IF(AND(I74="N",J74="N"),_xll.EVPRO($B$1,H74,"PSFTID"),""))</f>
        <v>991755</v>
      </c>
      <c r="N74" s="104" t="str">
        <f>IF(_epmOfflineCondition_,"Retail Web",IF(_xll.EVDES(H74,$B$1)="#NODATA","",_xll.EVDES(H74,$B$1)))</f>
        <v>Retail Web</v>
      </c>
      <c r="O74" s="275">
        <v>864</v>
      </c>
      <c r="P74" s="276">
        <v>749</v>
      </c>
      <c r="Q74" s="276">
        <v>539</v>
      </c>
      <c r="R74" s="276"/>
      <c r="S74" s="276"/>
      <c r="T74" s="276">
        <v>345</v>
      </c>
      <c r="U74" s="276">
        <v>237</v>
      </c>
      <c r="V74" s="276">
        <v>336</v>
      </c>
      <c r="W74" s="276">
        <v>470</v>
      </c>
      <c r="X74" s="276">
        <v>406</v>
      </c>
      <c r="Y74" s="276">
        <v>541</v>
      </c>
      <c r="Z74" s="276">
        <v>905</v>
      </c>
      <c r="AA74" s="276">
        <f t="shared" si="7"/>
        <v>5392</v>
      </c>
      <c r="AB74" s="312">
        <f t="shared" si="8"/>
        <v>0.268927680798005</v>
      </c>
      <c r="AC74" s="140"/>
      <c r="AD74" s="278">
        <v>7485</v>
      </c>
      <c r="AE74" s="312">
        <f t="shared" si="9"/>
        <v>0.19804206905675353</v>
      </c>
      <c r="AF74" s="279">
        <f t="shared" si="10"/>
        <v>-2093</v>
      </c>
      <c r="AG74" s="279">
        <v>5822</v>
      </c>
      <c r="AH74" s="312">
        <f t="shared" si="11"/>
        <v>0.17705735660847879</v>
      </c>
      <c r="AI74" s="280">
        <f t="shared" si="12"/>
        <v>-430</v>
      </c>
    </row>
    <row r="75" spans="1:35" x14ac:dyDescent="0.35">
      <c r="A75" s="11"/>
      <c r="B75" s="11"/>
      <c r="C75" s="11"/>
      <c r="D75" s="11"/>
      <c r="E75" s="11"/>
      <c r="F75" s="11"/>
      <c r="G75" s="11"/>
      <c r="H75" s="88" t="s">
        <v>145</v>
      </c>
      <c r="I75" s="89" t="str">
        <f>IF(_epmOfflineCondition_,"T3",_xll.EVPRO($B$1,$H75,"STYLE"))</f>
        <v>T3</v>
      </c>
      <c r="J75" s="89" t="str">
        <f>IF(_epmOfflineCondition_,"Y",_xll.EVPRO($B$1,$H75,"CALC"))</f>
        <v>Y</v>
      </c>
      <c r="K75" s="265"/>
      <c r="L75" s="106" t="str">
        <f>IF(_epmOfflineCondition_,"",_xll.EVPRO($B$1,H75,"JDEID"))</f>
        <v/>
      </c>
      <c r="M75" s="90" t="str">
        <f>IF(_epmOfflineCondition_,"",IF(AND(I75="N",J75="N"),_xll.EVPRO($B$1,H75,"PSFTID"),""))</f>
        <v/>
      </c>
      <c r="N75" s="106" t="str">
        <f>IF(_epmOfflineCondition_,"Discount",IF(_xll.EVDES(H75,$B$1)="#NODATA","",_xll.EVDES(H75,$B$1)))</f>
        <v>Discount</v>
      </c>
      <c r="O75" s="269">
        <v>916</v>
      </c>
      <c r="P75" s="270">
        <v>1234</v>
      </c>
      <c r="Q75" s="270">
        <v>772</v>
      </c>
      <c r="R75" s="270"/>
      <c r="S75" s="270"/>
      <c r="T75" s="270">
        <v>237</v>
      </c>
      <c r="U75" s="270">
        <v>186</v>
      </c>
      <c r="V75" s="270">
        <v>502</v>
      </c>
      <c r="W75" s="270">
        <v>1162</v>
      </c>
      <c r="X75" s="270">
        <v>1454</v>
      </c>
      <c r="Y75" s="270">
        <v>1277</v>
      </c>
      <c r="Z75" s="270">
        <v>1569</v>
      </c>
      <c r="AA75" s="270">
        <f t="shared" si="7"/>
        <v>9309</v>
      </c>
      <c r="AB75" s="311">
        <f t="shared" si="8"/>
        <v>0.46428927680798004</v>
      </c>
      <c r="AC75" s="140"/>
      <c r="AD75" s="272">
        <v>14104</v>
      </c>
      <c r="AE75" s="311">
        <f t="shared" si="9"/>
        <v>0.37317105437227144</v>
      </c>
      <c r="AF75" s="273">
        <f t="shared" si="10"/>
        <v>-4795</v>
      </c>
      <c r="AG75" s="273">
        <v>14222</v>
      </c>
      <c r="AH75" s="311">
        <f t="shared" si="11"/>
        <v>0.43251627029986012</v>
      </c>
      <c r="AI75" s="274">
        <f t="shared" si="12"/>
        <v>-4913</v>
      </c>
    </row>
    <row r="76" spans="1:35" x14ac:dyDescent="0.35">
      <c r="A76" s="11"/>
      <c r="B76" s="11"/>
      <c r="C76" s="11"/>
      <c r="D76" s="11"/>
      <c r="E76" s="11"/>
      <c r="F76" s="11"/>
      <c r="G76" s="76"/>
      <c r="H76" s="88" t="s">
        <v>146</v>
      </c>
      <c r="I76" s="104" t="str">
        <f>IF(_epmOfflineCondition_,"N",_xll.EVPRO($B$1,$H76,"STYLE"))</f>
        <v>N</v>
      </c>
      <c r="J76" s="104" t="str">
        <f>IF(_epmOfflineCondition_,"N",_xll.EVPRO($B$1,$H76,"CALC"))</f>
        <v>N</v>
      </c>
      <c r="K76" s="104"/>
      <c r="L76" s="104" t="str">
        <f>IF(_epmOfflineCondition_,"902530",_xll.EVPRO($B$1,H76,"JDEID"))</f>
        <v>902530</v>
      </c>
      <c r="M76" s="90" t="str">
        <f>IF(_epmOfflineCondition_,"991014",IF(AND(I76="N",J76="N"),_xll.EVPRO($B$1,H76,"PSFTID"),""))</f>
        <v>991014</v>
      </c>
      <c r="N76" s="104" t="str">
        <f>IF(_epmOfflineCondition_,"Package",IF(_xll.EVDES(H76,$B$1)="#NODATA","",_xll.EVDES(H76,$B$1)))</f>
        <v>Package</v>
      </c>
      <c r="O76" s="275">
        <v>25</v>
      </c>
      <c r="P76" s="276">
        <v>34</v>
      </c>
      <c r="Q76" s="276">
        <v>31</v>
      </c>
      <c r="R76" s="276"/>
      <c r="S76" s="276"/>
      <c r="T76" s="276">
        <v>9</v>
      </c>
      <c r="U76" s="276">
        <v>1</v>
      </c>
      <c r="V76" s="276">
        <v>3</v>
      </c>
      <c r="W76" s="276">
        <v>24</v>
      </c>
      <c r="X76" s="276">
        <v>3</v>
      </c>
      <c r="Y76" s="276">
        <v>6</v>
      </c>
      <c r="Z76" s="276">
        <v>15</v>
      </c>
      <c r="AA76" s="276">
        <f t="shared" si="7"/>
        <v>151</v>
      </c>
      <c r="AB76" s="312">
        <f t="shared" si="8"/>
        <v>7.5311720698254363E-3</v>
      </c>
      <c r="AC76" s="140"/>
      <c r="AD76" s="278">
        <v>932</v>
      </c>
      <c r="AE76" s="312">
        <f t="shared" si="9"/>
        <v>2.4659346474401374E-2</v>
      </c>
      <c r="AF76" s="279">
        <f t="shared" si="10"/>
        <v>-781</v>
      </c>
      <c r="AG76" s="279">
        <v>444</v>
      </c>
      <c r="AH76" s="312">
        <f t="shared" si="11"/>
        <v>1.3502828295115869E-2</v>
      </c>
      <c r="AI76" s="280">
        <f t="shared" si="12"/>
        <v>-293</v>
      </c>
    </row>
    <row r="77" spans="1:35" x14ac:dyDescent="0.35">
      <c r="A77" s="11"/>
      <c r="B77" s="11"/>
      <c r="C77" s="11"/>
      <c r="D77" s="11"/>
      <c r="E77" s="11"/>
      <c r="F77" s="11"/>
      <c r="G77" s="76"/>
      <c r="H77" s="88" t="s">
        <v>147</v>
      </c>
      <c r="I77" s="104" t="str">
        <f>IF(_epmOfflineCondition_,"N",_xll.EVPRO($B$1,$H77,"STYLE"))</f>
        <v>N</v>
      </c>
      <c r="J77" s="104" t="str">
        <f>IF(_epmOfflineCondition_,"N",_xll.EVPRO($B$1,$H77,"CALC"))</f>
        <v>N</v>
      </c>
      <c r="K77" s="104"/>
      <c r="L77" s="104" t="str">
        <f>IF(_epmOfflineCondition_,"902500",_xll.EVPRO($B$1,H77,"JDEID"))</f>
        <v>902500</v>
      </c>
      <c r="M77" s="90" t="str">
        <f>IF(_epmOfflineCondition_,"991759",IF(AND(I77="N",J77="N"),_xll.EVPRO($B$1,H77,"PSFTID"),""))</f>
        <v>991759</v>
      </c>
      <c r="N77" s="104" t="str">
        <f>IF(_epmOfflineCondition_,"OTA Opaque",IF(_xll.EVDES(H77,$B$1)="#NODATA","",_xll.EVDES(H77,$B$1)))</f>
        <v>OTA Opaque</v>
      </c>
      <c r="O77" s="275">
        <v>47</v>
      </c>
      <c r="P77" s="276">
        <v>34</v>
      </c>
      <c r="Q77" s="276">
        <v>94</v>
      </c>
      <c r="R77" s="276"/>
      <c r="S77" s="276"/>
      <c r="T77" s="276">
        <v>30</v>
      </c>
      <c r="U77" s="276">
        <v>30</v>
      </c>
      <c r="V77" s="276">
        <v>73</v>
      </c>
      <c r="W77" s="276">
        <v>135</v>
      </c>
      <c r="X77" s="276">
        <v>193</v>
      </c>
      <c r="Y77" s="276">
        <v>187</v>
      </c>
      <c r="Z77" s="276">
        <v>202</v>
      </c>
      <c r="AA77" s="276">
        <f t="shared" si="7"/>
        <v>1025</v>
      </c>
      <c r="AB77" s="312">
        <f t="shared" si="8"/>
        <v>5.1122194513715712E-2</v>
      </c>
      <c r="AC77" s="140"/>
      <c r="AD77" s="278">
        <v>739</v>
      </c>
      <c r="AE77" s="312">
        <f t="shared" si="9"/>
        <v>1.9552850906204525E-2</v>
      </c>
      <c r="AF77" s="279">
        <f t="shared" si="10"/>
        <v>286</v>
      </c>
      <c r="AG77" s="279">
        <v>810</v>
      </c>
      <c r="AH77" s="312">
        <f t="shared" si="11"/>
        <v>2.4633538105954627E-2</v>
      </c>
      <c r="AI77" s="280">
        <f t="shared" si="12"/>
        <v>215</v>
      </c>
    </row>
    <row r="78" spans="1:35" x14ac:dyDescent="0.35">
      <c r="A78" s="11"/>
      <c r="B78" s="11"/>
      <c r="C78" s="11"/>
      <c r="D78" s="11"/>
      <c r="E78" s="11"/>
      <c r="F78" s="11"/>
      <c r="G78" s="11"/>
      <c r="H78" s="88" t="s">
        <v>148</v>
      </c>
      <c r="I78" s="104" t="str">
        <f>IF(_epmOfflineCondition_,"N",_xll.EVPRO($B$1,$H78,"STYLE"))</f>
        <v>N</v>
      </c>
      <c r="J78" s="104" t="str">
        <f>IF(_epmOfflineCondition_,"N",_xll.EVPRO($B$1,$H78,"CALC"))</f>
        <v>N</v>
      </c>
      <c r="K78" s="104"/>
      <c r="L78" s="104" t="str">
        <f>IF(_epmOfflineCondition_,"902540",_xll.EVPRO($B$1,H78,"JDEID"))</f>
        <v>902540</v>
      </c>
      <c r="M78" s="90" t="str">
        <f>IF(_epmOfflineCondition_,"991762",IF(AND(I78="N",J78="N"),_xll.EVPRO($B$1,H78,"PSFTID"),""))</f>
        <v>991762</v>
      </c>
      <c r="N78" s="104" t="str">
        <f>IF(_epmOfflineCondition_,"Brand/Media Promotions",IF(_xll.EVDES(H78,$B$1)="#NODATA","",_xll.EVDES(H78,$B$1)))</f>
        <v>Brand/Media Promotions</v>
      </c>
      <c r="O78" s="275">
        <v>391</v>
      </c>
      <c r="P78" s="276">
        <v>553</v>
      </c>
      <c r="Q78" s="276">
        <v>133</v>
      </c>
      <c r="R78" s="276"/>
      <c r="S78" s="276"/>
      <c r="T78" s="276">
        <v>72</v>
      </c>
      <c r="U78" s="276">
        <v>45</v>
      </c>
      <c r="V78" s="276">
        <v>65</v>
      </c>
      <c r="W78" s="276">
        <v>192</v>
      </c>
      <c r="X78" s="276">
        <v>247</v>
      </c>
      <c r="Y78" s="276">
        <v>195</v>
      </c>
      <c r="Z78" s="276">
        <v>543</v>
      </c>
      <c r="AA78" s="276">
        <f t="shared" si="7"/>
        <v>2436</v>
      </c>
      <c r="AB78" s="312">
        <f t="shared" si="8"/>
        <v>0.12149625935162095</v>
      </c>
      <c r="AC78" s="140"/>
      <c r="AD78" s="278">
        <v>2780</v>
      </c>
      <c r="AE78" s="312">
        <f t="shared" si="9"/>
        <v>7.3554703003042732E-2</v>
      </c>
      <c r="AF78" s="279">
        <f t="shared" si="10"/>
        <v>-344</v>
      </c>
      <c r="AG78" s="279">
        <v>2070</v>
      </c>
      <c r="AH78" s="312">
        <f t="shared" si="11"/>
        <v>6.2952375159661816E-2</v>
      </c>
      <c r="AI78" s="280">
        <f t="shared" si="12"/>
        <v>366</v>
      </c>
    </row>
    <row r="79" spans="1:35" x14ac:dyDescent="0.35">
      <c r="A79" s="11"/>
      <c r="B79" s="11"/>
      <c r="C79" s="11"/>
      <c r="D79" s="11"/>
      <c r="E79" s="11"/>
      <c r="F79" s="11"/>
      <c r="G79" s="11"/>
      <c r="H79" s="88" t="s">
        <v>149</v>
      </c>
      <c r="I79" s="104" t="str">
        <f>IF(_epmOfflineCondition_,"N",_xll.EVPRO($B$1,$H79,"STYLE"))</f>
        <v>N</v>
      </c>
      <c r="J79" s="104" t="str">
        <f>IF(_epmOfflineCondition_,"N",_xll.EVPRO($B$1,$H79,"CALC"))</f>
        <v>N</v>
      </c>
      <c r="K79" s="104"/>
      <c r="L79" s="104" t="str">
        <f>IF(_epmOfflineCondition_,"902550",_xll.EVPRO($B$1,H79,"JDEID"))</f>
        <v>902550</v>
      </c>
      <c r="M79" s="90" t="str">
        <f>IF(_epmOfflineCondition_,"991764",IF(AND(I79="N",J79="N"),_xll.EVPRO($B$1,H79,"PSFTID"),""))</f>
        <v>991764</v>
      </c>
      <c r="N79" s="104" t="str">
        <f>IF(_epmOfflineCondition_,"Advance Purchases",IF(_xll.EVDES(H79,$B$1)="#NODATA","",_xll.EVDES(H79,$B$1)))</f>
        <v>Advance Purchases</v>
      </c>
      <c r="O79" s="275">
        <v>34</v>
      </c>
      <c r="P79" s="276">
        <v>57</v>
      </c>
      <c r="Q79" s="276">
        <v>24</v>
      </c>
      <c r="R79" s="276"/>
      <c r="S79" s="276"/>
      <c r="T79" s="276"/>
      <c r="U79" s="276">
        <v>8</v>
      </c>
      <c r="V79" s="276">
        <v>6</v>
      </c>
      <c r="W79" s="276">
        <v>6</v>
      </c>
      <c r="X79" s="276"/>
      <c r="Y79" s="276">
        <v>2</v>
      </c>
      <c r="Z79" s="276">
        <v>1</v>
      </c>
      <c r="AA79" s="276">
        <f t="shared" si="7"/>
        <v>138</v>
      </c>
      <c r="AB79" s="312">
        <f t="shared" si="8"/>
        <v>6.8827930174563592E-3</v>
      </c>
      <c r="AC79" s="140"/>
      <c r="AD79" s="278">
        <v>2196</v>
      </c>
      <c r="AE79" s="312">
        <f t="shared" si="9"/>
        <v>5.8102923667151737E-2</v>
      </c>
      <c r="AF79" s="279">
        <f t="shared" si="10"/>
        <v>-2058</v>
      </c>
      <c r="AG79" s="279">
        <v>1901</v>
      </c>
      <c r="AH79" s="312">
        <f t="shared" si="11"/>
        <v>5.7812785110394747E-2</v>
      </c>
      <c r="AI79" s="280">
        <f t="shared" si="12"/>
        <v>-1763</v>
      </c>
    </row>
    <row r="80" spans="1:35" x14ac:dyDescent="0.35">
      <c r="A80" s="11"/>
      <c r="B80" s="11"/>
      <c r="C80" s="11"/>
      <c r="D80" s="11"/>
      <c r="E80" s="11"/>
      <c r="F80" s="11"/>
      <c r="G80" s="11"/>
      <c r="H80" s="88" t="s">
        <v>150</v>
      </c>
      <c r="I80" s="104" t="str">
        <f>IF(_epmOfflineCondition_,"N",_xll.EVPRO($B$1,$H80,"STYLE"))</f>
        <v>N</v>
      </c>
      <c r="J80" s="104" t="str">
        <f>IF(_epmOfflineCondition_,"N",_xll.EVPRO($B$1,$H80,"CALC"))</f>
        <v>N</v>
      </c>
      <c r="K80" s="104"/>
      <c r="L80" s="104" t="str">
        <f>IF(_epmOfflineCondition_,"902560",_xll.EVPRO($B$1,H80,"JDEID"))</f>
        <v>902560</v>
      </c>
      <c r="M80" s="90" t="str">
        <f>IF(_epmOfflineCondition_,"991769",IF(AND(I80="N",J80="N"),_xll.EVPRO($B$1,H80,"PSFTID"),""))</f>
        <v>991769</v>
      </c>
      <c r="N80" s="104" t="str">
        <f>IF(_epmOfflineCondition_,"Local Discounts",IF(_xll.EVDES(H80,$B$1)="#NODATA","",_xll.EVDES(H80,$B$1)))</f>
        <v>Local Discounts</v>
      </c>
      <c r="O80" s="275">
        <v>419</v>
      </c>
      <c r="P80" s="276">
        <v>556</v>
      </c>
      <c r="Q80" s="276">
        <v>490</v>
      </c>
      <c r="R80" s="276"/>
      <c r="S80" s="276"/>
      <c r="T80" s="276">
        <v>126</v>
      </c>
      <c r="U80" s="276">
        <v>102</v>
      </c>
      <c r="V80" s="276">
        <v>355</v>
      </c>
      <c r="W80" s="276">
        <v>805</v>
      </c>
      <c r="X80" s="276">
        <v>1011</v>
      </c>
      <c r="Y80" s="276">
        <v>887</v>
      </c>
      <c r="Z80" s="276">
        <v>808</v>
      </c>
      <c r="AA80" s="276">
        <f t="shared" si="7"/>
        <v>5559</v>
      </c>
      <c r="AB80" s="312">
        <f t="shared" si="8"/>
        <v>0.27725685785536158</v>
      </c>
      <c r="AC80" s="140"/>
      <c r="AD80" s="278">
        <v>7457</v>
      </c>
      <c r="AE80" s="312">
        <f t="shared" si="9"/>
        <v>0.19730123032147109</v>
      </c>
      <c r="AF80" s="279">
        <f t="shared" si="10"/>
        <v>-1898</v>
      </c>
      <c r="AG80" s="279">
        <v>8997</v>
      </c>
      <c r="AH80" s="312">
        <f t="shared" si="11"/>
        <v>0.27361474362873306</v>
      </c>
      <c r="AI80" s="280">
        <f t="shared" si="12"/>
        <v>-3438</v>
      </c>
    </row>
    <row r="81" spans="1:35" x14ac:dyDescent="0.35">
      <c r="A81" s="11"/>
      <c r="B81" s="11"/>
      <c r="C81" s="11"/>
      <c r="D81" s="11"/>
      <c r="E81" s="11"/>
      <c r="F81" s="11"/>
      <c r="G81" s="11"/>
      <c r="H81" s="88" t="s">
        <v>151</v>
      </c>
      <c r="I81" s="104" t="str">
        <f>IF(_epmOfflineCondition_,"N",_xll.EVPRO($B$1,$H81,"STYLE"))</f>
        <v>N</v>
      </c>
      <c r="J81" s="104" t="str">
        <f>IF(_epmOfflineCondition_,"N",_xll.EVPRO($B$1,$H81,"CALC"))</f>
        <v>N</v>
      </c>
      <c r="K81" s="104"/>
      <c r="L81" s="104" t="str">
        <f>IF(_epmOfflineCondition_,"902600",_xll.EVPRO($B$1,H81,"JDEID"))</f>
        <v>902600</v>
      </c>
      <c r="M81" s="90" t="str">
        <f>IF(_epmOfflineCondition_,"991763",IF(AND(I81="N",J81="N"),_xll.EVPRO($B$1,H81,"PSFTID"),""))</f>
        <v>991763</v>
      </c>
      <c r="N81" s="104" t="str">
        <f>IF(_epmOfflineCondition_,"Package &amp; Promo (Legacy)",IF(_xll.EVDES(H81,$B$1)="#NODATA","",_xll.EVDES(H81,$B$1)))</f>
        <v>Package &amp; Promo (Legacy)</v>
      </c>
      <c r="O81" s="275"/>
      <c r="P81" s="276"/>
      <c r="Q81" s="276"/>
      <c r="R81" s="276"/>
      <c r="S81" s="276"/>
      <c r="T81" s="276"/>
      <c r="U81" s="276"/>
      <c r="V81" s="276"/>
      <c r="W81" s="276"/>
      <c r="X81" s="276"/>
      <c r="Y81" s="276"/>
      <c r="Z81" s="276"/>
      <c r="AA81" s="276">
        <f t="shared" si="7"/>
        <v>0</v>
      </c>
      <c r="AB81" s="312" t="str">
        <f t="shared" si="8"/>
        <v/>
      </c>
      <c r="AC81" s="140"/>
      <c r="AD81" s="278"/>
      <c r="AE81" s="312" t="str">
        <f t="shared" si="9"/>
        <v/>
      </c>
      <c r="AF81" s="279">
        <f t="shared" si="10"/>
        <v>0</v>
      </c>
      <c r="AG81" s="279"/>
      <c r="AH81" s="312" t="str">
        <f t="shared" si="11"/>
        <v/>
      </c>
      <c r="AI81" s="280">
        <f t="shared" si="12"/>
        <v>0</v>
      </c>
    </row>
    <row r="82" spans="1:35" x14ac:dyDescent="0.35">
      <c r="A82" s="11"/>
      <c r="B82" s="11"/>
      <c r="C82" s="11"/>
      <c r="D82" s="11"/>
      <c r="E82" s="11"/>
      <c r="F82" s="11"/>
      <c r="G82" s="11"/>
      <c r="H82" s="88" t="s">
        <v>152</v>
      </c>
      <c r="I82" s="89" t="str">
        <f>IF(_epmOfflineCondition_,"T3",_xll.EVPRO($B$1,$H82,"STYLE"))</f>
        <v>T3</v>
      </c>
      <c r="J82" s="89" t="str">
        <f>IF(_epmOfflineCondition_,"Y",_xll.EVPRO($B$1,$H82,"CALC"))</f>
        <v>Y</v>
      </c>
      <c r="K82" s="265"/>
      <c r="L82" s="106" t="str">
        <f>IF(_epmOfflineCondition_,"",_xll.EVPRO($B$1,H82,"JDEID"))</f>
        <v/>
      </c>
      <c r="M82" s="90" t="str">
        <f>IF(_epmOfflineCondition_,"",IF(AND(I82="N",J82="N"),_xll.EVPRO($B$1,H82,"PSFTID"),""))</f>
        <v/>
      </c>
      <c r="N82" s="106" t="str">
        <f>IF(_epmOfflineCondition_,"Negotiated",IF(_xll.EVDES(H82,$B$1)="#NODATA","",_xll.EVDES(H82,$B$1)))</f>
        <v>Negotiated</v>
      </c>
      <c r="O82" s="269">
        <v>207</v>
      </c>
      <c r="P82" s="270">
        <v>198</v>
      </c>
      <c r="Q82" s="270">
        <v>52</v>
      </c>
      <c r="R82" s="270"/>
      <c r="S82" s="270"/>
      <c r="T82" s="270">
        <v>9</v>
      </c>
      <c r="U82" s="270"/>
      <c r="V82" s="270">
        <v>19</v>
      </c>
      <c r="W82" s="270">
        <v>15</v>
      </c>
      <c r="X82" s="270">
        <v>16</v>
      </c>
      <c r="Y82" s="270">
        <v>23</v>
      </c>
      <c r="Z82" s="270">
        <v>14</v>
      </c>
      <c r="AA82" s="270">
        <f t="shared" si="7"/>
        <v>553</v>
      </c>
      <c r="AB82" s="311">
        <f t="shared" si="8"/>
        <v>2.7581047381546136E-2</v>
      </c>
      <c r="AC82" s="140"/>
      <c r="AD82" s="272">
        <v>2221</v>
      </c>
      <c r="AE82" s="311">
        <f t="shared" si="9"/>
        <v>5.8764386823653925E-2</v>
      </c>
      <c r="AF82" s="273">
        <f t="shared" si="10"/>
        <v>-1668</v>
      </c>
      <c r="AG82" s="273">
        <v>1830</v>
      </c>
      <c r="AH82" s="311">
        <f t="shared" si="11"/>
        <v>5.5653549054193785E-2</v>
      </c>
      <c r="AI82" s="274">
        <f t="shared" si="12"/>
        <v>-1277</v>
      </c>
    </row>
    <row r="83" spans="1:35" x14ac:dyDescent="0.35">
      <c r="A83" s="11"/>
      <c r="B83" s="11"/>
      <c r="C83" s="11"/>
      <c r="D83" s="11"/>
      <c r="E83" s="11"/>
      <c r="F83" s="11"/>
      <c r="G83" s="11"/>
      <c r="H83" s="88" t="s">
        <v>153</v>
      </c>
      <c r="I83" s="104" t="str">
        <f>IF(_epmOfflineCondition_,"N",_xll.EVPRO($B$1,$H83,"STYLE"))</f>
        <v>N</v>
      </c>
      <c r="J83" s="104" t="str">
        <f>IF(_epmOfflineCondition_,"N",_xll.EVPRO($B$1,$H83,"CALC"))</f>
        <v>N</v>
      </c>
      <c r="K83" s="104"/>
      <c r="L83" s="104" t="str">
        <f>IF(_epmOfflineCondition_,"902300",_xll.EVPRO($B$1,H83,"JDEID"))</f>
        <v>902300</v>
      </c>
      <c r="M83" s="90" t="str">
        <f>IF(_epmOfflineCondition_,"991757",IF(AND(I83="N",J83="N"),_xll.EVPRO($B$1,H83,"PSFTID"),""))</f>
        <v>991757</v>
      </c>
      <c r="N83" s="104" t="str">
        <f>IF(_epmOfflineCondition_,"Consortia",IF(_xll.EVDES(H83,$B$1)="#NODATA","",_xll.EVDES(H83,$B$1)))</f>
        <v>Consortia</v>
      </c>
      <c r="O83" s="275">
        <v>42</v>
      </c>
      <c r="P83" s="276">
        <v>35</v>
      </c>
      <c r="Q83" s="276">
        <v>3</v>
      </c>
      <c r="R83" s="276"/>
      <c r="S83" s="276"/>
      <c r="T83" s="276">
        <v>2</v>
      </c>
      <c r="U83" s="276"/>
      <c r="V83" s="276"/>
      <c r="W83" s="276">
        <v>5</v>
      </c>
      <c r="X83" s="276"/>
      <c r="Y83" s="276"/>
      <c r="Z83" s="276"/>
      <c r="AA83" s="276">
        <f t="shared" si="7"/>
        <v>87</v>
      </c>
      <c r="AB83" s="312">
        <f t="shared" si="8"/>
        <v>4.3391521197007482E-3</v>
      </c>
      <c r="AC83" s="140"/>
      <c r="AD83" s="278">
        <v>672</v>
      </c>
      <c r="AE83" s="312">
        <f t="shared" si="9"/>
        <v>1.7780129646778674E-2</v>
      </c>
      <c r="AF83" s="279">
        <f t="shared" si="10"/>
        <v>-585</v>
      </c>
      <c r="AG83" s="279">
        <v>246</v>
      </c>
      <c r="AH83" s="312">
        <f t="shared" si="11"/>
        <v>7.481296758104738E-3</v>
      </c>
      <c r="AI83" s="280">
        <f t="shared" si="12"/>
        <v>-159</v>
      </c>
    </row>
    <row r="84" spans="1:35" x14ac:dyDescent="0.35">
      <c r="A84" s="11"/>
      <c r="B84" s="11"/>
      <c r="C84" s="11"/>
      <c r="D84" s="11"/>
      <c r="E84" s="11"/>
      <c r="F84" s="11"/>
      <c r="G84" s="11"/>
      <c r="H84" s="88" t="s">
        <v>154</v>
      </c>
      <c r="I84" s="104" t="str">
        <f>IF(_epmOfflineCondition_,"N",_xll.EVPRO($B$1,$H84,"STYLE"))</f>
        <v>N</v>
      </c>
      <c r="J84" s="104" t="str">
        <f>IF(_epmOfflineCondition_,"N",_xll.EVPRO($B$1,$H84,"CALC"))</f>
        <v>N</v>
      </c>
      <c r="K84" s="104"/>
      <c r="L84" s="104" t="str">
        <f>IF(_epmOfflineCondition_,"902350",_xll.EVPRO($B$1,H84,"JDEID"))</f>
        <v>902350</v>
      </c>
      <c r="M84" s="90" t="str">
        <f>IF(_epmOfflineCondition_,"991758",IF(AND(I84="N",J84="N"),_xll.EVPRO($B$1,H84,"PSFTID"),""))</f>
        <v>991758</v>
      </c>
      <c r="N84" s="104" t="str">
        <f>IF(_epmOfflineCondition_,"National Negotiated",IF(_xll.EVDES(H84,$B$1)="#NODATA","",_xll.EVDES(H84,$B$1)))</f>
        <v>National Negotiated</v>
      </c>
      <c r="O84" s="275">
        <v>155</v>
      </c>
      <c r="P84" s="276">
        <v>163</v>
      </c>
      <c r="Q84" s="276">
        <v>46</v>
      </c>
      <c r="R84" s="276"/>
      <c r="S84" s="276"/>
      <c r="T84" s="276">
        <v>7</v>
      </c>
      <c r="U84" s="276"/>
      <c r="V84" s="276">
        <v>19</v>
      </c>
      <c r="W84" s="276">
        <v>10</v>
      </c>
      <c r="X84" s="276">
        <v>16</v>
      </c>
      <c r="Y84" s="276">
        <v>11</v>
      </c>
      <c r="Z84" s="276">
        <v>6</v>
      </c>
      <c r="AA84" s="276">
        <f t="shared" si="7"/>
        <v>433</v>
      </c>
      <c r="AB84" s="312">
        <f t="shared" si="8"/>
        <v>2.1596009975062343E-2</v>
      </c>
      <c r="AC84" s="140"/>
      <c r="AD84" s="278">
        <v>956</v>
      </c>
      <c r="AE84" s="312">
        <f t="shared" si="9"/>
        <v>2.5294351104643471E-2</v>
      </c>
      <c r="AF84" s="279">
        <f t="shared" si="10"/>
        <v>-523</v>
      </c>
      <c r="AG84" s="279">
        <v>926</v>
      </c>
      <c r="AH84" s="312">
        <f t="shared" si="11"/>
        <v>2.8161304056930844E-2</v>
      </c>
      <c r="AI84" s="280">
        <f t="shared" si="12"/>
        <v>-493</v>
      </c>
    </row>
    <row r="85" spans="1:35" x14ac:dyDescent="0.35">
      <c r="A85" s="11"/>
      <c r="B85" s="11"/>
      <c r="C85" s="11"/>
      <c r="D85" s="11"/>
      <c r="E85" s="11"/>
      <c r="F85" s="11"/>
      <c r="G85" s="11"/>
      <c r="H85" s="88" t="s">
        <v>155</v>
      </c>
      <c r="I85" s="104" t="str">
        <f>IF(_epmOfflineCondition_,"N",_xll.EVPRO($B$1,$H85,"STYLE"))</f>
        <v>N</v>
      </c>
      <c r="J85" s="104" t="str">
        <f>IF(_epmOfflineCondition_,"N",_xll.EVPRO($B$1,$H85,"CALC"))</f>
        <v>N</v>
      </c>
      <c r="K85" s="104"/>
      <c r="L85" s="104" t="str">
        <f>IF(_epmOfflineCondition_,"902200",_xll.EVPRO($B$1,H85,"JDEID"))</f>
        <v>902200</v>
      </c>
      <c r="M85" s="90" t="str">
        <f>IF(_epmOfflineCondition_,"991756",IF(AND(I85="N",J85="N"),_xll.EVPRO($B$1,H85,"PSFTID"),""))</f>
        <v>991756</v>
      </c>
      <c r="N85" s="104" t="str">
        <f>IF(_epmOfflineCondition_,"Local Negotiated",IF(_xll.EVDES(H85,$B$1)="#NODATA","",_xll.EVDES(H85,$B$1)))</f>
        <v>Local Negotiated</v>
      </c>
      <c r="O85" s="275">
        <v>10</v>
      </c>
      <c r="P85" s="276"/>
      <c r="Q85" s="276">
        <v>3</v>
      </c>
      <c r="R85" s="276"/>
      <c r="S85" s="276"/>
      <c r="T85" s="276"/>
      <c r="U85" s="276"/>
      <c r="V85" s="276"/>
      <c r="W85" s="276"/>
      <c r="X85" s="276"/>
      <c r="Y85" s="276">
        <v>12</v>
      </c>
      <c r="Z85" s="276">
        <v>8</v>
      </c>
      <c r="AA85" s="276">
        <f t="shared" si="7"/>
        <v>33</v>
      </c>
      <c r="AB85" s="312">
        <f t="shared" si="8"/>
        <v>1.6458852867830423E-3</v>
      </c>
      <c r="AC85" s="140"/>
      <c r="AD85" s="278">
        <v>593</v>
      </c>
      <c r="AE85" s="312">
        <f t="shared" si="9"/>
        <v>1.5689906072231776E-2</v>
      </c>
      <c r="AF85" s="279">
        <f t="shared" si="10"/>
        <v>-560</v>
      </c>
      <c r="AG85" s="279">
        <v>658</v>
      </c>
      <c r="AH85" s="312">
        <f t="shared" si="11"/>
        <v>2.0010948239158201E-2</v>
      </c>
      <c r="AI85" s="280">
        <f t="shared" si="12"/>
        <v>-625</v>
      </c>
    </row>
    <row r="86" spans="1:35" x14ac:dyDescent="0.35">
      <c r="A86" s="11"/>
      <c r="B86" s="11"/>
      <c r="C86" s="11"/>
      <c r="D86" s="11"/>
      <c r="E86" s="11"/>
      <c r="F86" s="11"/>
      <c r="G86" s="11"/>
      <c r="H86" s="88" t="s">
        <v>156</v>
      </c>
      <c r="I86" s="89" t="str">
        <f>IF(_epmOfflineCondition_,"T3",_xll.EVPRO($B$1,$H86,"STYLE"))</f>
        <v>T3</v>
      </c>
      <c r="J86" s="89" t="str">
        <f>IF(_epmOfflineCondition_,"Y",_xll.EVPRO($B$1,$H86,"CALC"))</f>
        <v>Y</v>
      </c>
      <c r="K86" s="265"/>
      <c r="L86" s="106" t="str">
        <f>IF(_epmOfflineCondition_,"",_xll.EVPRO($B$1,H86,"JDEID"))</f>
        <v/>
      </c>
      <c r="M86" s="90" t="str">
        <f>IF(_epmOfflineCondition_,"",IF(AND(I86="N",J86="N"),_xll.EVPRO($B$1,H86,"PSFTID"),""))</f>
        <v/>
      </c>
      <c r="N86" s="106" t="str">
        <f>IF(_epmOfflineCondition_,"Qualified",IF(_xll.EVDES(H86,$B$1)="#NODATA","",_xll.EVDES(H86,$B$1)))</f>
        <v>Qualified</v>
      </c>
      <c r="O86" s="269">
        <v>293</v>
      </c>
      <c r="P86" s="270">
        <v>233</v>
      </c>
      <c r="Q86" s="270">
        <v>96</v>
      </c>
      <c r="R86" s="270"/>
      <c r="S86" s="270"/>
      <c r="T86" s="270">
        <v>40</v>
      </c>
      <c r="U86" s="270">
        <v>25</v>
      </c>
      <c r="V86" s="270">
        <v>43</v>
      </c>
      <c r="W86" s="270">
        <v>31</v>
      </c>
      <c r="X86" s="270">
        <v>88</v>
      </c>
      <c r="Y86" s="270">
        <v>60</v>
      </c>
      <c r="Z86" s="270">
        <v>70</v>
      </c>
      <c r="AA86" s="270">
        <f t="shared" si="7"/>
        <v>979</v>
      </c>
      <c r="AB86" s="311">
        <f t="shared" si="8"/>
        <v>4.8827930174563591E-2</v>
      </c>
      <c r="AC86" s="140"/>
      <c r="AD86" s="272">
        <v>2733</v>
      </c>
      <c r="AE86" s="311">
        <f t="shared" si="9"/>
        <v>7.2311152268818624E-2</v>
      </c>
      <c r="AF86" s="273">
        <f t="shared" si="10"/>
        <v>-1754</v>
      </c>
      <c r="AG86" s="273">
        <v>1738</v>
      </c>
      <c r="AH86" s="311">
        <f t="shared" si="11"/>
        <v>5.285566571376437E-2</v>
      </c>
      <c r="AI86" s="274">
        <f t="shared" si="12"/>
        <v>-759</v>
      </c>
    </row>
    <row r="87" spans="1:35" x14ac:dyDescent="0.35">
      <c r="A87" s="11"/>
      <c r="B87" s="11"/>
      <c r="C87" s="11"/>
      <c r="D87" s="11"/>
      <c r="E87" s="11"/>
      <c r="F87" s="11"/>
      <c r="G87" s="11"/>
      <c r="H87" s="88" t="s">
        <v>157</v>
      </c>
      <c r="I87" s="104" t="str">
        <f>IF(_epmOfflineCondition_,"N",_xll.EVPRO($B$1,$H87,"STYLE"))</f>
        <v>N</v>
      </c>
      <c r="J87" s="104" t="str">
        <f>IF(_epmOfflineCondition_,"N",_xll.EVPRO($B$1,$H87,"CALC"))</f>
        <v>N</v>
      </c>
      <c r="K87" s="104"/>
      <c r="L87" s="104" t="str">
        <f>IF(_epmOfflineCondition_,"902700",_xll.EVPRO($B$1,H87,"JDEID"))</f>
        <v>902700</v>
      </c>
      <c r="M87" s="90" t="str">
        <f>IF(_epmOfflineCondition_,"991770",IF(AND(I87="N",J87="N"),_xll.EVPRO($B$1,H87,"PSFTID"),""))</f>
        <v>991770</v>
      </c>
      <c r="N87" s="104" t="str">
        <f>IF(_epmOfflineCondition_,"Qualified",IF(_xll.EVDES(H87,$B$1)="#NODATA","",_xll.EVDES(H87,$B$1)))</f>
        <v>Qualified</v>
      </c>
      <c r="O87" s="275">
        <v>147</v>
      </c>
      <c r="P87" s="276">
        <v>143</v>
      </c>
      <c r="Q87" s="276">
        <v>62</v>
      </c>
      <c r="R87" s="276"/>
      <c r="S87" s="276"/>
      <c r="T87" s="276">
        <v>29</v>
      </c>
      <c r="U87" s="276">
        <v>24</v>
      </c>
      <c r="V87" s="276">
        <v>43</v>
      </c>
      <c r="W87" s="276">
        <v>31</v>
      </c>
      <c r="X87" s="276">
        <v>85</v>
      </c>
      <c r="Y87" s="276">
        <v>53</v>
      </c>
      <c r="Z87" s="276">
        <v>65</v>
      </c>
      <c r="AA87" s="276">
        <f t="shared" si="7"/>
        <v>682</v>
      </c>
      <c r="AB87" s="312">
        <f t="shared" si="8"/>
        <v>3.4014962593516211E-2</v>
      </c>
      <c r="AC87" s="140"/>
      <c r="AD87" s="278">
        <v>1990</v>
      </c>
      <c r="AE87" s="312">
        <f t="shared" si="9"/>
        <v>5.2652467257573755E-2</v>
      </c>
      <c r="AF87" s="279">
        <f t="shared" si="10"/>
        <v>-1308</v>
      </c>
      <c r="AG87" s="279">
        <v>1397</v>
      </c>
      <c r="AH87" s="312">
        <f t="shared" si="11"/>
        <v>4.2485250288911869E-2</v>
      </c>
      <c r="AI87" s="280">
        <f t="shared" si="12"/>
        <v>-715</v>
      </c>
    </row>
    <row r="88" spans="1:35" x14ac:dyDescent="0.35">
      <c r="A88" s="11"/>
      <c r="B88" s="11"/>
      <c r="C88" s="11"/>
      <c r="D88" s="11"/>
      <c r="E88" s="11"/>
      <c r="F88" s="11"/>
      <c r="G88" s="11"/>
      <c r="H88" s="88" t="s">
        <v>158</v>
      </c>
      <c r="I88" s="104" t="str">
        <f>IF(_epmOfflineCondition_,"N",_xll.EVPRO($B$1,$H88,"STYLE"))</f>
        <v>N</v>
      </c>
      <c r="J88" s="104" t="str">
        <f>IF(_epmOfflineCondition_,"N",_xll.EVPRO($B$1,$H88,"CALC"))</f>
        <v>N</v>
      </c>
      <c r="K88" s="104"/>
      <c r="L88" s="104" t="str">
        <f>IF(_epmOfflineCondition_,"902730",_xll.EVPRO($B$1,H88,"JDEID"))</f>
        <v>902730</v>
      </c>
      <c r="M88" s="90" t="str">
        <f>IF(_epmOfflineCondition_,"991030",IF(AND(I88="N",J88="N"),_xll.EVPRO($B$1,H88,"PSFTID"),""))</f>
        <v>991030</v>
      </c>
      <c r="N88" s="104" t="str">
        <f>IF(_epmOfflineCondition_,"Government",IF(_xll.EVDES(H88,$B$1)="#NODATA","",_xll.EVDES(H88,$B$1)))</f>
        <v>Government</v>
      </c>
      <c r="O88" s="275">
        <v>146</v>
      </c>
      <c r="P88" s="276">
        <v>90</v>
      </c>
      <c r="Q88" s="276">
        <v>34</v>
      </c>
      <c r="R88" s="276"/>
      <c r="S88" s="276"/>
      <c r="T88" s="276">
        <v>11</v>
      </c>
      <c r="U88" s="276">
        <v>1</v>
      </c>
      <c r="V88" s="276"/>
      <c r="W88" s="276"/>
      <c r="X88" s="276">
        <v>3</v>
      </c>
      <c r="Y88" s="276">
        <v>7</v>
      </c>
      <c r="Z88" s="276">
        <v>5</v>
      </c>
      <c r="AA88" s="276">
        <f t="shared" si="7"/>
        <v>297</v>
      </c>
      <c r="AB88" s="312">
        <f t="shared" si="8"/>
        <v>1.4812967581047382E-2</v>
      </c>
      <c r="AC88" s="140"/>
      <c r="AD88" s="278">
        <v>743</v>
      </c>
      <c r="AE88" s="312">
        <f t="shared" si="9"/>
        <v>1.9658685011244875E-2</v>
      </c>
      <c r="AF88" s="279">
        <f t="shared" si="10"/>
        <v>-446</v>
      </c>
      <c r="AG88" s="279">
        <v>341</v>
      </c>
      <c r="AH88" s="312">
        <f t="shared" si="11"/>
        <v>1.0370415424852503E-2</v>
      </c>
      <c r="AI88" s="280">
        <f t="shared" si="12"/>
        <v>-44</v>
      </c>
    </row>
    <row r="89" spans="1:35" x14ac:dyDescent="0.35">
      <c r="A89" s="11"/>
      <c r="B89" s="11"/>
      <c r="C89" s="11"/>
      <c r="D89" s="11"/>
      <c r="E89" s="11"/>
      <c r="F89" s="11"/>
      <c r="G89" s="11"/>
      <c r="H89" s="88" t="s">
        <v>159</v>
      </c>
      <c r="I89" s="89" t="str">
        <f>IF(_epmOfflineCondition_,"T3",_xll.EVPRO($B$1,$H89,"STYLE"))</f>
        <v>T3</v>
      </c>
      <c r="J89" s="89" t="str">
        <f>IF(_epmOfflineCondition_,"N",_xll.EVPRO($B$1,$H89,"CALC"))</f>
        <v>N</v>
      </c>
      <c r="K89" s="265"/>
      <c r="L89" s="106" t="str">
        <f>IF(_epmOfflineCondition_,"902400",_xll.EVPRO($B$1,H89,"JDEID"))</f>
        <v>902400</v>
      </c>
      <c r="M89" s="90" t="str">
        <f>IF(_epmOfflineCondition_,"",IF(AND(I89="N",J89="N"),_xll.EVPRO($B$1,H89,"PSFTID"),""))</f>
        <v/>
      </c>
      <c r="N89" s="106" t="str">
        <f>IF(_epmOfflineCondition_,"Wholesale",IF(_xll.EVDES(H89,$B$1)="#NODATA","",_xll.EVDES(H89,$B$1)))</f>
        <v>Wholesale</v>
      </c>
      <c r="O89" s="281">
        <v>240</v>
      </c>
      <c r="P89" s="282">
        <v>115</v>
      </c>
      <c r="Q89" s="282">
        <v>48</v>
      </c>
      <c r="R89" s="282"/>
      <c r="S89" s="282"/>
      <c r="T89" s="282">
        <v>13</v>
      </c>
      <c r="U89" s="282">
        <v>35</v>
      </c>
      <c r="V89" s="282">
        <v>5</v>
      </c>
      <c r="W89" s="282">
        <v>14</v>
      </c>
      <c r="X89" s="282">
        <v>11</v>
      </c>
      <c r="Y89" s="282">
        <v>7</v>
      </c>
      <c r="Z89" s="282">
        <v>115</v>
      </c>
      <c r="AA89" s="282">
        <f t="shared" si="7"/>
        <v>603</v>
      </c>
      <c r="AB89" s="313">
        <f t="shared" si="8"/>
        <v>3.0074812967581046E-2</v>
      </c>
      <c r="AC89" s="140"/>
      <c r="AD89" s="284">
        <v>4596</v>
      </c>
      <c r="AE89" s="313">
        <f t="shared" si="9"/>
        <v>0.1216033866913613</v>
      </c>
      <c r="AF89" s="285">
        <f t="shared" si="10"/>
        <v>-3993</v>
      </c>
      <c r="AG89" s="285">
        <v>3823</v>
      </c>
      <c r="AH89" s="313">
        <f t="shared" si="11"/>
        <v>0.11626421750501795</v>
      </c>
      <c r="AI89" s="286">
        <f t="shared" si="12"/>
        <v>-3220</v>
      </c>
    </row>
    <row r="90" spans="1:35" x14ac:dyDescent="0.35">
      <c r="A90" s="11"/>
      <c r="B90" s="11"/>
      <c r="C90" s="11"/>
      <c r="D90" s="11"/>
      <c r="E90" s="11"/>
      <c r="F90" s="11"/>
      <c r="G90" s="11"/>
      <c r="H90" s="88" t="s">
        <v>141</v>
      </c>
      <c r="I90" s="89" t="str">
        <f>IF(_epmOfflineCondition_,"T2",_xll.EVPRO($B$1,$H90,"STYLE"))</f>
        <v>T2</v>
      </c>
      <c r="J90" s="89" t="str">
        <f>IF(_epmOfflineCondition_,"Y",_xll.EVPRO($B$1,$H90,"CALC"))</f>
        <v>Y</v>
      </c>
      <c r="K90" s="265"/>
      <c r="L90" s="106" t="str">
        <f>IF(_epmOfflineCondition_,"902000",_xll.EVPRO($B$1,H90,"JDEID"))</f>
        <v>902000</v>
      </c>
      <c r="M90" s="90" t="str">
        <f>IF(_epmOfflineCondition_,"",IF(AND(I90="N",J90="N"),_xll.EVPRO($B$1,H90,"PSFTID"),""))</f>
        <v/>
      </c>
      <c r="N90" s="106" t="str">
        <f>IF(_epmOfflineCondition_,"Total Transient Rooms Occupied",IF(_xll.EVDES(H90,$B$1)="#NODATA","",_xll.EVDES(H90,$B$1)))</f>
        <v>Total Transient Rooms Occupied</v>
      </c>
      <c r="O90" s="287">
        <v>2711</v>
      </c>
      <c r="P90" s="288">
        <v>2756</v>
      </c>
      <c r="Q90" s="288">
        <v>1619</v>
      </c>
      <c r="R90" s="288"/>
      <c r="S90" s="288"/>
      <c r="T90" s="288">
        <v>718</v>
      </c>
      <c r="U90" s="288">
        <v>536</v>
      </c>
      <c r="V90" s="288">
        <v>1045</v>
      </c>
      <c r="W90" s="288">
        <v>1878</v>
      </c>
      <c r="X90" s="288">
        <v>2103</v>
      </c>
      <c r="Y90" s="288">
        <v>2012</v>
      </c>
      <c r="Z90" s="288">
        <v>2825</v>
      </c>
      <c r="AA90" s="288">
        <f t="shared" si="7"/>
        <v>18203</v>
      </c>
      <c r="AB90" s="314">
        <f t="shared" si="8"/>
        <v>0.9078802992518703</v>
      </c>
      <c r="AC90" s="140"/>
      <c r="AD90" s="290">
        <v>33377</v>
      </c>
      <c r="AE90" s="314">
        <f t="shared" si="9"/>
        <v>0.88310623098293428</v>
      </c>
      <c r="AF90" s="291">
        <f t="shared" si="10"/>
        <v>-15174</v>
      </c>
      <c r="AG90" s="291">
        <v>29452</v>
      </c>
      <c r="AH90" s="314">
        <f t="shared" si="11"/>
        <v>0.89568761024268595</v>
      </c>
      <c r="AI90" s="292">
        <f t="shared" si="12"/>
        <v>-11249</v>
      </c>
    </row>
    <row r="91" spans="1:35" x14ac:dyDescent="0.35">
      <c r="A91" s="11"/>
      <c r="B91" s="11"/>
      <c r="C91" s="11"/>
      <c r="D91" s="11"/>
      <c r="E91" s="11"/>
      <c r="F91" s="11"/>
      <c r="G91" s="11"/>
      <c r="H91" s="88" t="s">
        <v>175</v>
      </c>
      <c r="I91" s="104" t="str">
        <f>IF(_epmOfflineCondition_,"B1",_xll.EVPRO($B$1,$H91,"STYLE"))</f>
        <v>B1</v>
      </c>
      <c r="J91" s="104" t="str">
        <f>IF(_epmOfflineCondition_,"Y",_xll.EVPRO($B$1,$H91,"CALC"))</f>
        <v>Y</v>
      </c>
      <c r="K91" s="104"/>
      <c r="L91" s="104" t="str">
        <f>IF(_epmOfflineCondition_,"",_xll.EVPRO($B$1,H91,"JDEID"))</f>
        <v/>
      </c>
      <c r="M91" s="90" t="str">
        <f>IF(_epmOfflineCondition_,"",IF(AND(I91="N",J91="N"),_xll.EVPRO($B$1,H91,"PSFTID"),""))</f>
        <v/>
      </c>
      <c r="N91" s="104" t="str">
        <f>IF(_epmOfflineCondition_,"BLANKROW",IF(_xll.EVDES(H91,$B$1)="#NODATA","",_xll.EVDES(H91,$B$1)))</f>
        <v>BLANKROW</v>
      </c>
      <c r="O91" s="293"/>
      <c r="P91" s="294"/>
      <c r="Q91" s="294"/>
      <c r="R91" s="294"/>
      <c r="S91" s="294"/>
      <c r="T91" s="294"/>
      <c r="U91" s="294"/>
      <c r="V91" s="294"/>
      <c r="W91" s="294"/>
      <c r="X91" s="294"/>
      <c r="Y91" s="294"/>
      <c r="Z91" s="294"/>
      <c r="AA91" s="294">
        <f t="shared" si="7"/>
        <v>0</v>
      </c>
      <c r="AB91" s="315" t="str">
        <f t="shared" si="8"/>
        <v/>
      </c>
      <c r="AC91" s="140"/>
      <c r="AD91" s="296"/>
      <c r="AE91" s="315" t="str">
        <f t="shared" si="9"/>
        <v/>
      </c>
      <c r="AF91" s="297">
        <f t="shared" si="10"/>
        <v>0</v>
      </c>
      <c r="AG91" s="297"/>
      <c r="AH91" s="315" t="str">
        <f t="shared" si="11"/>
        <v/>
      </c>
      <c r="AI91" s="298">
        <f t="shared" si="12"/>
        <v>0</v>
      </c>
    </row>
    <row r="92" spans="1:35" x14ac:dyDescent="0.35">
      <c r="A92" s="11"/>
      <c r="B92" s="11"/>
      <c r="C92" s="11"/>
      <c r="D92" s="11"/>
      <c r="E92" s="11"/>
      <c r="F92" s="11"/>
      <c r="G92" s="11"/>
      <c r="H92" s="88" t="s">
        <v>161</v>
      </c>
      <c r="I92" s="89" t="str">
        <f>IF(_epmOfflineCondition_,"T3",_xll.EVPRO($B$1,$H92,"STYLE"))</f>
        <v>T3</v>
      </c>
      <c r="J92" s="89" t="str">
        <f>IF(_epmOfflineCondition_,"Y",_xll.EVPRO($B$1,$H92,"CALC"))</f>
        <v>Y</v>
      </c>
      <c r="K92" s="265"/>
      <c r="L92" s="106" t="str">
        <f>IF(_epmOfflineCondition_,"",_xll.EVPRO($B$1,H92,"JDEID"))</f>
        <v/>
      </c>
      <c r="M92" s="90" t="str">
        <f>IF(_epmOfflineCondition_,"",IF(AND(I92="N",J92="N"),_xll.EVPRO($B$1,H92,"PSFTID"),""))</f>
        <v/>
      </c>
      <c r="N92" s="106" t="str">
        <f>IF(_epmOfflineCondition_,"Corporate",IF(_xll.EVDES(H92,$B$1)="#NODATA","",_xll.EVDES(H92,$B$1)))</f>
        <v>Corporate</v>
      </c>
      <c r="O92" s="269">
        <v>612</v>
      </c>
      <c r="P92" s="270">
        <v>447</v>
      </c>
      <c r="Q92" s="270">
        <v>5</v>
      </c>
      <c r="R92" s="270"/>
      <c r="S92" s="270"/>
      <c r="T92" s="270"/>
      <c r="U92" s="270"/>
      <c r="V92" s="270"/>
      <c r="W92" s="270"/>
      <c r="X92" s="270"/>
      <c r="Y92" s="270">
        <v>16</v>
      </c>
      <c r="Z92" s="270">
        <v>108</v>
      </c>
      <c r="AA92" s="270">
        <f t="shared" si="7"/>
        <v>1188</v>
      </c>
      <c r="AB92" s="311">
        <f t="shared" si="8"/>
        <v>5.9251870324189528E-2</v>
      </c>
      <c r="AC92" s="140"/>
      <c r="AD92" s="272">
        <v>2692</v>
      </c>
      <c r="AE92" s="311">
        <f t="shared" si="9"/>
        <v>7.1226352692155048E-2</v>
      </c>
      <c r="AF92" s="273">
        <f t="shared" si="10"/>
        <v>-1504</v>
      </c>
      <c r="AG92" s="273">
        <v>2044</v>
      </c>
      <c r="AH92" s="311">
        <f t="shared" si="11"/>
        <v>6.2161668998236115E-2</v>
      </c>
      <c r="AI92" s="274">
        <f t="shared" si="12"/>
        <v>-856</v>
      </c>
    </row>
    <row r="93" spans="1:35" x14ac:dyDescent="0.35">
      <c r="A93" s="11"/>
      <c r="B93" s="11"/>
      <c r="C93" s="11"/>
      <c r="D93" s="11"/>
      <c r="E93" s="11"/>
      <c r="F93" s="11"/>
      <c r="G93" s="11"/>
      <c r="H93" s="88" t="s">
        <v>162</v>
      </c>
      <c r="I93" s="104" t="str">
        <f>IF(_epmOfflineCondition_,"N",_xll.EVPRO($B$1,$H93,"STYLE"))</f>
        <v>N</v>
      </c>
      <c r="J93" s="104" t="str">
        <f>IF(_epmOfflineCondition_,"N",_xll.EVPRO($B$1,$H93,"CALC"))</f>
        <v>N</v>
      </c>
      <c r="K93" s="104"/>
      <c r="L93" s="104" t="str">
        <f>IF(_epmOfflineCondition_,"901100",_xll.EVPRO($B$1,H93,"JDEID"))</f>
        <v>901100</v>
      </c>
      <c r="M93" s="90" t="str">
        <f>IF(_epmOfflineCondition_,"991704",IF(AND(I93="N",J93="N"),_xll.EVPRO($B$1,H93,"PSFTID"),""))</f>
        <v>991704</v>
      </c>
      <c r="N93" s="104" t="str">
        <f>IF(_epmOfflineCondition_,"Corporate",IF(_xll.EVDES(H93,$B$1)="#NODATA","",_xll.EVDES(H93,$B$1)))</f>
        <v>Corporate</v>
      </c>
      <c r="O93" s="275">
        <v>200</v>
      </c>
      <c r="P93" s="276">
        <v>294</v>
      </c>
      <c r="Q93" s="276">
        <v>5</v>
      </c>
      <c r="R93" s="276"/>
      <c r="S93" s="276"/>
      <c r="T93" s="276"/>
      <c r="U93" s="276"/>
      <c r="V93" s="276"/>
      <c r="W93" s="276"/>
      <c r="X93" s="276"/>
      <c r="Y93" s="276">
        <v>16</v>
      </c>
      <c r="Z93" s="276"/>
      <c r="AA93" s="276">
        <f t="shared" si="7"/>
        <v>515</v>
      </c>
      <c r="AB93" s="312">
        <f t="shared" si="8"/>
        <v>2.5685785536159602E-2</v>
      </c>
      <c r="AC93" s="140"/>
      <c r="AD93" s="278">
        <v>1822</v>
      </c>
      <c r="AE93" s="312">
        <f t="shared" si="9"/>
        <v>4.8207434845879082E-2</v>
      </c>
      <c r="AF93" s="279">
        <f t="shared" si="10"/>
        <v>-1307</v>
      </c>
      <c r="AG93" s="279">
        <v>1271</v>
      </c>
      <c r="AH93" s="312">
        <f t="shared" si="11"/>
        <v>3.8653366583541147E-2</v>
      </c>
      <c r="AI93" s="280">
        <f t="shared" si="12"/>
        <v>-756</v>
      </c>
    </row>
    <row r="94" spans="1:35" x14ac:dyDescent="0.35">
      <c r="A94" s="11"/>
      <c r="B94" s="11"/>
      <c r="C94" s="11"/>
      <c r="D94" s="11"/>
      <c r="E94" s="11"/>
      <c r="F94" s="11"/>
      <c r="G94" s="11"/>
      <c r="H94" s="88" t="s">
        <v>163</v>
      </c>
      <c r="I94" s="104" t="str">
        <f>IF(_epmOfflineCondition_,"N",_xll.EVPRO($B$1,$H94,"STYLE"))</f>
        <v>N</v>
      </c>
      <c r="J94" s="104" t="str">
        <f>IF(_epmOfflineCondition_,"N",_xll.EVPRO($B$1,$H94,"CALC"))</f>
        <v>N</v>
      </c>
      <c r="K94" s="104"/>
      <c r="L94" s="104" t="str">
        <f>IF(_epmOfflineCondition_,"901500",_xll.EVPRO($B$1,H94,"JDEID"))</f>
        <v>901500</v>
      </c>
      <c r="M94" s="90" t="str">
        <f>IF(_epmOfflineCondition_,"991754",IF(AND(I94="N",J94="N"),_xll.EVPRO($B$1,H94,"PSFTID"),""))</f>
        <v>991754</v>
      </c>
      <c r="N94" s="104" t="str">
        <f>IF(_epmOfflineCondition_,"Entertainment/ Sports",IF(_xll.EVDES(H94,$B$1)="#NODATA","",_xll.EVDES(H94,$B$1)))</f>
        <v>Entertainment/ Sports</v>
      </c>
      <c r="O94" s="275">
        <v>412</v>
      </c>
      <c r="P94" s="276">
        <v>153</v>
      </c>
      <c r="Q94" s="276"/>
      <c r="R94" s="276"/>
      <c r="S94" s="276"/>
      <c r="T94" s="276"/>
      <c r="U94" s="276"/>
      <c r="V94" s="276"/>
      <c r="W94" s="276"/>
      <c r="X94" s="276"/>
      <c r="Y94" s="276"/>
      <c r="Z94" s="276">
        <v>108</v>
      </c>
      <c r="AA94" s="276">
        <f t="shared" si="7"/>
        <v>673</v>
      </c>
      <c r="AB94" s="312">
        <f t="shared" si="8"/>
        <v>3.3566084788029922E-2</v>
      </c>
      <c r="AC94" s="140"/>
      <c r="AD94" s="278">
        <v>870</v>
      </c>
      <c r="AE94" s="312">
        <f t="shared" si="9"/>
        <v>2.3018917846275962E-2</v>
      </c>
      <c r="AF94" s="279">
        <f t="shared" si="10"/>
        <v>-197</v>
      </c>
      <c r="AG94" s="279">
        <v>773</v>
      </c>
      <c r="AH94" s="312">
        <f t="shared" si="11"/>
        <v>2.3508302414694971E-2</v>
      </c>
      <c r="AI94" s="280">
        <f t="shared" si="12"/>
        <v>-100</v>
      </c>
    </row>
    <row r="95" spans="1:35" x14ac:dyDescent="0.35">
      <c r="A95" s="11"/>
      <c r="B95" s="11"/>
      <c r="C95" s="11"/>
      <c r="D95" s="11"/>
      <c r="E95" s="11"/>
      <c r="F95" s="11"/>
      <c r="G95" s="11"/>
      <c r="H95" s="88" t="s">
        <v>164</v>
      </c>
      <c r="I95" s="89" t="str">
        <f>IF(_epmOfflineCondition_,"T3",_xll.EVPRO($B$1,$H95,"STYLE"))</f>
        <v>T3</v>
      </c>
      <c r="J95" s="89" t="str">
        <f>IF(_epmOfflineCondition_,"Y",_xll.EVPRO($B$1,$H95,"CALC"))</f>
        <v>Y</v>
      </c>
      <c r="K95" s="265"/>
      <c r="L95" s="106" t="str">
        <f>IF(_epmOfflineCondition_,"",_xll.EVPRO($B$1,H95,"JDEID"))</f>
        <v/>
      </c>
      <c r="M95" s="90" t="str">
        <f>IF(_epmOfflineCondition_,"",IF(AND(I95="N",J95="N"),_xll.EVPRO($B$1,H95,"PSFTID"),""))</f>
        <v/>
      </c>
      <c r="N95" s="106" t="str">
        <f>IF(_epmOfflineCondition_,"Association/ Convention",IF(_xll.EVDES(H95,$B$1)="#NODATA","",_xll.EVDES(H95,$B$1)))</f>
        <v>Association/ Convention</v>
      </c>
      <c r="O95" s="269">
        <v>165</v>
      </c>
      <c r="P95" s="270">
        <v>41</v>
      </c>
      <c r="Q95" s="270"/>
      <c r="R95" s="270"/>
      <c r="S95" s="270"/>
      <c r="T95" s="270"/>
      <c r="U95" s="270"/>
      <c r="V95" s="270"/>
      <c r="W95" s="270"/>
      <c r="X95" s="270"/>
      <c r="Y95" s="270"/>
      <c r="Z95" s="270"/>
      <c r="AA95" s="270">
        <f t="shared" si="7"/>
        <v>206</v>
      </c>
      <c r="AB95" s="311">
        <f t="shared" si="8"/>
        <v>1.027431421446384E-2</v>
      </c>
      <c r="AC95" s="140"/>
      <c r="AD95" s="272">
        <v>647</v>
      </c>
      <c r="AE95" s="311">
        <f t="shared" si="9"/>
        <v>1.7118666490276491E-2</v>
      </c>
      <c r="AF95" s="273">
        <f t="shared" si="10"/>
        <v>-441</v>
      </c>
      <c r="AG95" s="273">
        <v>388</v>
      </c>
      <c r="AH95" s="311">
        <f t="shared" si="11"/>
        <v>1.179976887050666E-2</v>
      </c>
      <c r="AI95" s="274">
        <f t="shared" si="12"/>
        <v>-182</v>
      </c>
    </row>
    <row r="96" spans="1:35" x14ac:dyDescent="0.35">
      <c r="A96" s="11"/>
      <c r="B96" s="11"/>
      <c r="C96" s="11"/>
      <c r="D96" s="11"/>
      <c r="E96" s="11"/>
      <c r="F96" s="11"/>
      <c r="G96" s="11"/>
      <c r="H96" s="88" t="s">
        <v>165</v>
      </c>
      <c r="I96" s="104" t="str">
        <f>IF(_epmOfflineCondition_,"N",_xll.EVPRO($B$1,$H96,"STYLE"))</f>
        <v>N</v>
      </c>
      <c r="J96" s="104" t="str">
        <f>IF(_epmOfflineCondition_,"N",_xll.EVPRO($B$1,$H96,"CALC"))</f>
        <v>N</v>
      </c>
      <c r="K96" s="104"/>
      <c r="L96" s="104" t="str">
        <f>IF(_epmOfflineCondition_,"901200",_xll.EVPRO($B$1,H96,"JDEID"))</f>
        <v>901200</v>
      </c>
      <c r="M96" s="90" t="str">
        <f>IF(_epmOfflineCondition_,"991715",IF(AND(I96="N",J96="N"),_xll.EVPRO($B$1,H96,"PSFTID"),""))</f>
        <v>991715</v>
      </c>
      <c r="N96" s="104" t="str">
        <f>IF(_epmOfflineCondition_,"Association",IF(_xll.EVDES(H96,$B$1)="#NODATA","",_xll.EVDES(H96,$B$1)))</f>
        <v>Association</v>
      </c>
      <c r="O96" s="275">
        <v>25</v>
      </c>
      <c r="P96" s="276"/>
      <c r="Q96" s="276"/>
      <c r="R96" s="276"/>
      <c r="S96" s="276"/>
      <c r="T96" s="276"/>
      <c r="U96" s="276"/>
      <c r="V96" s="276"/>
      <c r="W96" s="276"/>
      <c r="X96" s="276"/>
      <c r="Y96" s="276"/>
      <c r="Z96" s="276"/>
      <c r="AA96" s="276">
        <f t="shared" si="7"/>
        <v>25</v>
      </c>
      <c r="AB96" s="312">
        <f t="shared" si="8"/>
        <v>1.2468827930174563E-3</v>
      </c>
      <c r="AC96" s="140"/>
      <c r="AD96" s="278">
        <v>89</v>
      </c>
      <c r="AE96" s="312">
        <f t="shared" si="9"/>
        <v>2.3548088371477707E-3</v>
      </c>
      <c r="AF96" s="279">
        <f t="shared" si="10"/>
        <v>-64</v>
      </c>
      <c r="AG96" s="279">
        <v>50</v>
      </c>
      <c r="AH96" s="312">
        <f t="shared" si="11"/>
        <v>1.5205887719725079E-3</v>
      </c>
      <c r="AI96" s="280">
        <f t="shared" si="12"/>
        <v>-25</v>
      </c>
    </row>
    <row r="97" spans="1:35" x14ac:dyDescent="0.35">
      <c r="A97" s="11"/>
      <c r="B97" s="11"/>
      <c r="C97" s="11"/>
      <c r="D97" s="11"/>
      <c r="E97" s="11"/>
      <c r="F97" s="11"/>
      <c r="G97" s="11"/>
      <c r="H97" s="88" t="s">
        <v>166</v>
      </c>
      <c r="I97" s="104" t="str">
        <f>IF(_epmOfflineCondition_,"N",_xll.EVPRO($B$1,$H97,"STYLE"))</f>
        <v>N</v>
      </c>
      <c r="J97" s="104" t="str">
        <f>IF(_epmOfflineCondition_,"N",_xll.EVPRO($B$1,$H97,"CALC"))</f>
        <v>N</v>
      </c>
      <c r="K97" s="104"/>
      <c r="L97" s="104" t="str">
        <f>IF(_epmOfflineCondition_,"901600",_xll.EVPRO($B$1,H97,"JDEID"))</f>
        <v>901600</v>
      </c>
      <c r="M97" s="90" t="str">
        <f>IF(_epmOfflineCondition_,"991767",IF(AND(I97="N",J97="N"),_xll.EVPRO($B$1,H97,"PSFTID"),""))</f>
        <v>991767</v>
      </c>
      <c r="N97" s="104" t="str">
        <f>IF(_epmOfflineCondition_,"Convention",IF(_xll.EVDES(H97,$B$1)="#NODATA","",_xll.EVDES(H97,$B$1)))</f>
        <v>Convention</v>
      </c>
      <c r="O97" s="275">
        <v>140</v>
      </c>
      <c r="P97" s="276">
        <v>41</v>
      </c>
      <c r="Q97" s="276"/>
      <c r="R97" s="276"/>
      <c r="S97" s="276"/>
      <c r="T97" s="276"/>
      <c r="U97" s="276"/>
      <c r="V97" s="276"/>
      <c r="W97" s="276"/>
      <c r="X97" s="276"/>
      <c r="Y97" s="276"/>
      <c r="Z97" s="276"/>
      <c r="AA97" s="276">
        <f t="shared" si="7"/>
        <v>181</v>
      </c>
      <c r="AB97" s="312">
        <f t="shared" si="8"/>
        <v>9.0274314214463837E-3</v>
      </c>
      <c r="AC97" s="140"/>
      <c r="AD97" s="278">
        <v>558</v>
      </c>
      <c r="AE97" s="312">
        <f t="shared" si="9"/>
        <v>1.4763857653128721E-2</v>
      </c>
      <c r="AF97" s="279">
        <f t="shared" si="10"/>
        <v>-377</v>
      </c>
      <c r="AG97" s="279">
        <v>338</v>
      </c>
      <c r="AH97" s="312">
        <f t="shared" si="11"/>
        <v>1.0279180098534152E-2</v>
      </c>
      <c r="AI97" s="280">
        <f t="shared" si="12"/>
        <v>-157</v>
      </c>
    </row>
    <row r="98" spans="1:35" x14ac:dyDescent="0.35">
      <c r="A98" s="11"/>
      <c r="B98" s="11"/>
      <c r="C98" s="11"/>
      <c r="D98" s="11"/>
      <c r="E98" s="11"/>
      <c r="F98" s="11"/>
      <c r="G98" s="11"/>
      <c r="H98" s="88" t="s">
        <v>167</v>
      </c>
      <c r="I98" s="89" t="str">
        <f>IF(_epmOfflineCondition_,"T3",_xll.EVPRO($B$1,$H98,"STYLE"))</f>
        <v>T3</v>
      </c>
      <c r="J98" s="89" t="str">
        <f>IF(_epmOfflineCondition_,"N",_xll.EVPRO($B$1,$H98,"CALC"))</f>
        <v>N</v>
      </c>
      <c r="K98" s="265"/>
      <c r="L98" s="106" t="str">
        <f>IF(_epmOfflineCondition_,"901800",_xll.EVPRO($B$1,H98,"JDEID"))</f>
        <v>901800</v>
      </c>
      <c r="M98" s="90" t="str">
        <f>IF(_epmOfflineCondition_,"",IF(AND(I98="N",J98="N"),_xll.EVPRO($B$1,H98,"PSFTID"),""))</f>
        <v/>
      </c>
      <c r="N98" s="106" t="str">
        <f>IF(_epmOfflineCondition_,"Government",IF(_xll.EVDES(H98,$B$1)="#NODATA","",_xll.EVDES(H98,$B$1)))</f>
        <v>Government</v>
      </c>
      <c r="O98" s="269">
        <v>41</v>
      </c>
      <c r="P98" s="270"/>
      <c r="Q98" s="270"/>
      <c r="R98" s="270"/>
      <c r="S98" s="270"/>
      <c r="T98" s="270"/>
      <c r="U98" s="270"/>
      <c r="V98" s="270"/>
      <c r="W98" s="270"/>
      <c r="X98" s="270"/>
      <c r="Y98" s="270"/>
      <c r="Z98" s="270"/>
      <c r="AA98" s="270">
        <f t="shared" si="7"/>
        <v>41</v>
      </c>
      <c r="AB98" s="311">
        <f t="shared" si="8"/>
        <v>2.0448877805486283E-3</v>
      </c>
      <c r="AC98" s="140"/>
      <c r="AD98" s="272">
        <v>41</v>
      </c>
      <c r="AE98" s="311">
        <f t="shared" si="9"/>
        <v>1.0847995766635797E-3</v>
      </c>
      <c r="AF98" s="273">
        <f t="shared" si="10"/>
        <v>0</v>
      </c>
      <c r="AG98" s="273"/>
      <c r="AH98" s="311" t="str">
        <f t="shared" si="11"/>
        <v/>
      </c>
      <c r="AI98" s="274">
        <f t="shared" si="12"/>
        <v>41</v>
      </c>
    </row>
    <row r="99" spans="1:35" x14ac:dyDescent="0.35">
      <c r="A99" s="11"/>
      <c r="B99" s="11"/>
      <c r="C99" s="11"/>
      <c r="D99" s="11"/>
      <c r="E99" s="11"/>
      <c r="F99" s="11"/>
      <c r="G99" s="11"/>
      <c r="H99" s="88" t="s">
        <v>168</v>
      </c>
      <c r="I99" s="89" t="str">
        <f>IF(_epmOfflineCondition_,"T3",_xll.EVPRO($B$1,$H99,"STYLE"))</f>
        <v>T3</v>
      </c>
      <c r="J99" s="89" t="str">
        <f>IF(_epmOfflineCondition_,"Y",_xll.EVPRO($B$1,$H99,"CALC"))</f>
        <v>Y</v>
      </c>
      <c r="K99" s="265"/>
      <c r="L99" s="106" t="str">
        <f>IF(_epmOfflineCondition_,"",_xll.EVPRO($B$1,H99,"JDEID"))</f>
        <v/>
      </c>
      <c r="M99" s="90" t="str">
        <f>IF(_epmOfflineCondition_,"",IF(AND(I99="N",J99="N"),_xll.EVPRO($B$1,H99,"PSFTID"),""))</f>
        <v/>
      </c>
      <c r="N99" s="106" t="str">
        <f>IF(_epmOfflineCondition_,"Tour/ Wholesalers",IF(_xll.EVDES(H99,$B$1)="#NODATA","",_xll.EVDES(H99,$B$1)))</f>
        <v>Tour/ Wholesalers</v>
      </c>
      <c r="O99" s="269"/>
      <c r="P99" s="270">
        <v>73</v>
      </c>
      <c r="Q99" s="270"/>
      <c r="R99" s="270"/>
      <c r="S99" s="270"/>
      <c r="T99" s="270"/>
      <c r="U99" s="270"/>
      <c r="V99" s="270"/>
      <c r="W99" s="270"/>
      <c r="X99" s="270">
        <v>15</v>
      </c>
      <c r="Y99" s="270">
        <v>25</v>
      </c>
      <c r="Z99" s="270"/>
      <c r="AA99" s="270">
        <f t="shared" si="7"/>
        <v>113</v>
      </c>
      <c r="AB99" s="311">
        <f t="shared" si="8"/>
        <v>5.6359102244389024E-3</v>
      </c>
      <c r="AC99" s="140"/>
      <c r="AD99" s="272">
        <v>688</v>
      </c>
      <c r="AE99" s="311">
        <f t="shared" si="9"/>
        <v>1.8203466066940073E-2</v>
      </c>
      <c r="AF99" s="273">
        <f t="shared" si="10"/>
        <v>-575</v>
      </c>
      <c r="AG99" s="273">
        <v>483</v>
      </c>
      <c r="AH99" s="311">
        <f t="shared" si="11"/>
        <v>1.4688887537254424E-2</v>
      </c>
      <c r="AI99" s="274">
        <f t="shared" si="12"/>
        <v>-370</v>
      </c>
    </row>
    <row r="100" spans="1:35" x14ac:dyDescent="0.35">
      <c r="A100" s="11"/>
      <c r="B100" s="11"/>
      <c r="C100" s="11"/>
      <c r="D100" s="11"/>
      <c r="E100" s="11"/>
      <c r="F100" s="11"/>
      <c r="G100" s="11"/>
      <c r="H100" s="88" t="s">
        <v>169</v>
      </c>
      <c r="I100" s="104" t="str">
        <f>IF(_epmOfflineCondition_,"N",_xll.EVPRO($B$1,$H100,"STYLE"))</f>
        <v>N</v>
      </c>
      <c r="J100" s="104" t="str">
        <f>IF(_epmOfflineCondition_,"N",_xll.EVPRO($B$1,$H100,"CALC"))</f>
        <v>N</v>
      </c>
      <c r="K100" s="104"/>
      <c r="L100" s="104" t="str">
        <f>IF(_epmOfflineCondition_,"901300",_xll.EVPRO($B$1,H100,"JDEID"))</f>
        <v>901300</v>
      </c>
      <c r="M100" s="90" t="str">
        <f>IF(_epmOfflineCondition_,"991010",IF(AND(I100="N",J100="N"),_xll.EVPRO($B$1,H100,"PSFTID"),""))</f>
        <v>991010</v>
      </c>
      <c r="N100" s="104" t="str">
        <f>IF(_epmOfflineCondition_,"Tour/ Wholesale",IF(_xll.EVDES(H100,$B$1)="#NODATA","",_xll.EVDES(H100,$B$1)))</f>
        <v>Tour/ Wholesale</v>
      </c>
      <c r="O100" s="275"/>
      <c r="P100" s="276"/>
      <c r="Q100" s="276"/>
      <c r="R100" s="276"/>
      <c r="S100" s="276"/>
      <c r="T100" s="276"/>
      <c r="U100" s="276"/>
      <c r="V100" s="276"/>
      <c r="W100" s="276"/>
      <c r="X100" s="276">
        <v>15</v>
      </c>
      <c r="Y100" s="276">
        <v>25</v>
      </c>
      <c r="Z100" s="276"/>
      <c r="AA100" s="276">
        <f t="shared" si="7"/>
        <v>40</v>
      </c>
      <c r="AB100" s="312">
        <f t="shared" si="8"/>
        <v>1.99501246882793E-3</v>
      </c>
      <c r="AC100" s="140"/>
      <c r="AD100" s="278">
        <v>48</v>
      </c>
      <c r="AE100" s="312">
        <f t="shared" si="9"/>
        <v>1.270009260484191E-3</v>
      </c>
      <c r="AF100" s="279">
        <f t="shared" si="10"/>
        <v>-8</v>
      </c>
      <c r="AG100" s="279"/>
      <c r="AH100" s="312" t="str">
        <f t="shared" si="11"/>
        <v/>
      </c>
      <c r="AI100" s="280">
        <f t="shared" si="12"/>
        <v>40</v>
      </c>
    </row>
    <row r="101" spans="1:35" x14ac:dyDescent="0.35">
      <c r="A101" s="11"/>
      <c r="B101" s="11"/>
      <c r="C101" s="11"/>
      <c r="D101" s="11"/>
      <c r="E101" s="11"/>
      <c r="F101" s="11"/>
      <c r="G101" s="11"/>
      <c r="H101" s="88" t="s">
        <v>170</v>
      </c>
      <c r="I101" s="104" t="str">
        <f>IF(_epmOfflineCondition_,"N",_xll.EVPRO($B$1,$H101,"STYLE"))</f>
        <v>N</v>
      </c>
      <c r="J101" s="104" t="str">
        <f>IF(_epmOfflineCondition_,"N",_xll.EVPRO($B$1,$H101,"CALC"))</f>
        <v>N</v>
      </c>
      <c r="K101" s="104"/>
      <c r="L101" s="104" t="str">
        <f>IF(_epmOfflineCondition_,"901330",_xll.EVPRO($B$1,H101,"JDEID"))</f>
        <v>901330</v>
      </c>
      <c r="M101" s="90" t="str">
        <f>IF(_epmOfflineCondition_,"991752",IF(AND(I101="N",J101="N"),_xll.EVPRO($B$1,H101,"PSFTID"),""))</f>
        <v>991752</v>
      </c>
      <c r="N101" s="104" t="str">
        <f>IF(_epmOfflineCondition_,"MICE",IF(_xll.EVDES(H101,$B$1)="#NODATA","",_xll.EVDES(H101,$B$1)))</f>
        <v>MICE</v>
      </c>
      <c r="O101" s="275"/>
      <c r="P101" s="276">
        <v>73</v>
      </c>
      <c r="Q101" s="276"/>
      <c r="R101" s="276"/>
      <c r="S101" s="276"/>
      <c r="T101" s="276"/>
      <c r="U101" s="276"/>
      <c r="V101" s="276"/>
      <c r="W101" s="276"/>
      <c r="X101" s="276"/>
      <c r="Y101" s="276"/>
      <c r="Z101" s="276"/>
      <c r="AA101" s="276">
        <f t="shared" si="7"/>
        <v>73</v>
      </c>
      <c r="AB101" s="312">
        <f t="shared" si="8"/>
        <v>3.6408977556109724E-3</v>
      </c>
      <c r="AC101" s="140"/>
      <c r="AD101" s="278">
        <v>640</v>
      </c>
      <c r="AE101" s="312">
        <f t="shared" si="9"/>
        <v>1.6933456806455881E-2</v>
      </c>
      <c r="AF101" s="279">
        <f t="shared" si="10"/>
        <v>-567</v>
      </c>
      <c r="AG101" s="279">
        <v>483</v>
      </c>
      <c r="AH101" s="312">
        <f t="shared" si="11"/>
        <v>1.4688887537254424E-2</v>
      </c>
      <c r="AI101" s="280">
        <f t="shared" si="12"/>
        <v>-410</v>
      </c>
    </row>
    <row r="102" spans="1:35" x14ac:dyDescent="0.35">
      <c r="A102" s="11"/>
      <c r="B102" s="11"/>
      <c r="C102" s="11"/>
      <c r="D102" s="11"/>
      <c r="E102" s="11"/>
      <c r="F102" s="11"/>
      <c r="G102" s="11"/>
      <c r="H102" s="88" t="s">
        <v>171</v>
      </c>
      <c r="I102" s="89" t="str">
        <f>IF(_epmOfflineCondition_,"T3",_xll.EVPRO($B$1,$H102,"STYLE"))</f>
        <v>T3</v>
      </c>
      <c r="J102" s="89" t="str">
        <f>IF(_epmOfflineCondition_,"N",_xll.EVPRO($B$1,$H102,"CALC"))</f>
        <v>N</v>
      </c>
      <c r="K102" s="265"/>
      <c r="L102" s="106" t="str">
        <f>IF(_epmOfflineCondition_,"901400",_xll.EVPRO($B$1,H102,"JDEID"))</f>
        <v>901400</v>
      </c>
      <c r="M102" s="90" t="str">
        <f>IF(_epmOfflineCondition_,"",IF(AND(I102="N",J102="N"),_xll.EVPRO($B$1,H102,"PSFTID"),""))</f>
        <v/>
      </c>
      <c r="N102" s="106" t="str">
        <f>IF(_epmOfflineCondition_,"SMERF",IF(_xll.EVDES(H102,$B$1)="#NODATA","",_xll.EVDES(H102,$B$1)))</f>
        <v>SMERF</v>
      </c>
      <c r="O102" s="281">
        <v>32</v>
      </c>
      <c r="P102" s="282">
        <v>33</v>
      </c>
      <c r="Q102" s="282"/>
      <c r="R102" s="282"/>
      <c r="S102" s="282"/>
      <c r="T102" s="282"/>
      <c r="U102" s="282"/>
      <c r="V102" s="282"/>
      <c r="W102" s="282"/>
      <c r="X102" s="282">
        <v>47</v>
      </c>
      <c r="Y102" s="282"/>
      <c r="Z102" s="282"/>
      <c r="AA102" s="282">
        <f t="shared" si="7"/>
        <v>112</v>
      </c>
      <c r="AB102" s="313">
        <f t="shared" si="8"/>
        <v>5.5860349127182041E-3</v>
      </c>
      <c r="AC102" s="140"/>
      <c r="AD102" s="284">
        <v>265</v>
      </c>
      <c r="AE102" s="313">
        <f t="shared" si="9"/>
        <v>7.0115094589231382E-3</v>
      </c>
      <c r="AF102" s="285">
        <f t="shared" si="10"/>
        <v>-153</v>
      </c>
      <c r="AG102" s="285">
        <v>197</v>
      </c>
      <c r="AH102" s="313">
        <f t="shared" si="11"/>
        <v>5.9911197615716803E-3</v>
      </c>
      <c r="AI102" s="286">
        <f t="shared" si="12"/>
        <v>-85</v>
      </c>
    </row>
    <row r="103" spans="1:35" x14ac:dyDescent="0.35">
      <c r="A103" s="11"/>
      <c r="B103" s="11"/>
      <c r="C103" s="11"/>
      <c r="D103" s="11"/>
      <c r="E103" s="11"/>
      <c r="F103" s="11"/>
      <c r="G103" s="11"/>
      <c r="H103" s="88" t="s">
        <v>160</v>
      </c>
      <c r="I103" s="89" t="str">
        <f>IF(_epmOfflineCondition_,"T2",_xll.EVPRO($B$1,$H103,"STYLE"))</f>
        <v>T2</v>
      </c>
      <c r="J103" s="89" t="str">
        <f>IF(_epmOfflineCondition_,"Y",_xll.EVPRO($B$1,$H103,"CALC"))</f>
        <v>Y</v>
      </c>
      <c r="K103" s="265"/>
      <c r="L103" s="106" t="str">
        <f>IF(_epmOfflineCondition_,"901000",_xll.EVPRO($B$1,H103,"JDEID"))</f>
        <v>901000</v>
      </c>
      <c r="M103" s="90" t="str">
        <f>IF(_epmOfflineCondition_,"",IF(AND(I103="N",J103="N"),_xll.EVPRO($B$1,H103,"PSFTID"),""))</f>
        <v/>
      </c>
      <c r="N103" s="106" t="str">
        <f>IF(_epmOfflineCondition_,"Total Group Rooms Occupied",IF(_xll.EVDES(H103,$B$1)="#NODATA","",_xll.EVDES(H103,$B$1)))</f>
        <v>Total Group Rooms Occupied</v>
      </c>
      <c r="O103" s="287">
        <v>850</v>
      </c>
      <c r="P103" s="288">
        <v>594</v>
      </c>
      <c r="Q103" s="288">
        <v>5</v>
      </c>
      <c r="R103" s="288"/>
      <c r="S103" s="288"/>
      <c r="T103" s="288"/>
      <c r="U103" s="288"/>
      <c r="V103" s="288"/>
      <c r="W103" s="288"/>
      <c r="X103" s="288">
        <v>62</v>
      </c>
      <c r="Y103" s="288">
        <v>41</v>
      </c>
      <c r="Z103" s="288">
        <v>108</v>
      </c>
      <c r="AA103" s="288">
        <f t="shared" si="7"/>
        <v>1660</v>
      </c>
      <c r="AB103" s="314">
        <f t="shared" si="8"/>
        <v>8.27930174563591E-2</v>
      </c>
      <c r="AC103" s="140"/>
      <c r="AD103" s="290">
        <v>4333</v>
      </c>
      <c r="AE103" s="314">
        <f t="shared" si="9"/>
        <v>0.11464479428495833</v>
      </c>
      <c r="AF103" s="291">
        <f t="shared" si="10"/>
        <v>-2673</v>
      </c>
      <c r="AG103" s="291">
        <v>3112</v>
      </c>
      <c r="AH103" s="314">
        <f t="shared" si="11"/>
        <v>9.464144516756888E-2</v>
      </c>
      <c r="AI103" s="292">
        <f t="shared" si="12"/>
        <v>-1452</v>
      </c>
    </row>
    <row r="104" spans="1:35" x14ac:dyDescent="0.35">
      <c r="A104" s="11"/>
      <c r="B104" s="11"/>
      <c r="C104" s="11"/>
      <c r="D104" s="11"/>
      <c r="E104" s="11"/>
      <c r="F104" s="11"/>
      <c r="G104" s="11"/>
      <c r="H104" s="88" t="s">
        <v>172</v>
      </c>
      <c r="I104" s="104" t="str">
        <f>IF(_epmOfflineCondition_,"N",_xll.EVPRO($B$1,$H104,"STYLE"))</f>
        <v>N</v>
      </c>
      <c r="J104" s="104" t="str">
        <f>IF(_epmOfflineCondition_,"N",_xll.EVPRO($B$1,$H104,"CALC"))</f>
        <v>N</v>
      </c>
      <c r="K104" s="104"/>
      <c r="L104" s="104" t="str">
        <f>IF(_epmOfflineCondition_,"901700",_xll.EVPRO($B$1,H104,"JDEID"))</f>
        <v>901700</v>
      </c>
      <c r="M104" s="90" t="str">
        <f>IF(_epmOfflineCondition_,"991753",IF(AND(I104="N",J104="N"),_xll.EVPRO($B$1,H104,"PSFTID"),""))</f>
        <v>991753</v>
      </c>
      <c r="N104" s="104" t="str">
        <f>IF(_epmOfflineCondition_,"Contract",IF(_xll.EVDES(H104,$B$1)="#NODATA","",_xll.EVDES(H104,$B$1)))</f>
        <v>Contract</v>
      </c>
      <c r="O104" s="316"/>
      <c r="P104" s="317"/>
      <c r="Q104" s="317"/>
      <c r="R104" s="317"/>
      <c r="S104" s="317"/>
      <c r="T104" s="317"/>
      <c r="U104" s="317"/>
      <c r="V104" s="317"/>
      <c r="W104" s="317"/>
      <c r="X104" s="317"/>
      <c r="Y104" s="317"/>
      <c r="Z104" s="317"/>
      <c r="AA104" s="317">
        <f t="shared" si="7"/>
        <v>0</v>
      </c>
      <c r="AB104" s="318" t="str">
        <f t="shared" si="8"/>
        <v/>
      </c>
      <c r="AC104" s="140"/>
      <c r="AD104" s="319"/>
      <c r="AE104" s="318" t="str">
        <f t="shared" si="9"/>
        <v/>
      </c>
      <c r="AF104" s="320">
        <f t="shared" si="10"/>
        <v>0</v>
      </c>
      <c r="AG104" s="320"/>
      <c r="AH104" s="318" t="str">
        <f t="shared" si="11"/>
        <v/>
      </c>
      <c r="AI104" s="321">
        <f t="shared" si="12"/>
        <v>0</v>
      </c>
    </row>
    <row r="105" spans="1:35" x14ac:dyDescent="0.35">
      <c r="A105" s="11"/>
      <c r="B105" s="11"/>
      <c r="C105" s="11"/>
      <c r="D105" s="11"/>
      <c r="E105" s="11"/>
      <c r="F105" s="11"/>
      <c r="G105" s="11"/>
      <c r="H105" s="88" t="s">
        <v>257</v>
      </c>
      <c r="I105" s="89" t="str">
        <f>IF(_epmOfflineCondition_,"T2",_xll.EVPRO($B$1,$H105,"STYLE"))</f>
        <v>T2</v>
      </c>
      <c r="J105" s="89" t="str">
        <f>IF(_epmOfflineCondition_,"Y",_xll.EVPRO($B$1,$H105,"CALC"))</f>
        <v>Y</v>
      </c>
      <c r="K105" s="265"/>
      <c r="L105" s="106" t="str">
        <f>IF(_epmOfflineCondition_,"",_xll.EVPRO($B$1,H105,"JDEID"))</f>
        <v/>
      </c>
      <c r="M105" s="90" t="str">
        <f>IF(_epmOfflineCondition_,"",IF(AND(I105="N",J105="N"),_xll.EVPRO($B$1,H105,"PSFTID"),""))</f>
        <v/>
      </c>
      <c r="N105" s="106" t="str">
        <f>IF(_epmOfflineCondition_,"Total Rooms Sold",IF(_xll.EVDES(H105,$B$1)="#NODATA","",_xll.EVDES(H105,$B$1)))</f>
        <v>Total Rooms Sold</v>
      </c>
      <c r="O105" s="287">
        <v>3561</v>
      </c>
      <c r="P105" s="288">
        <v>3350</v>
      </c>
      <c r="Q105" s="288">
        <v>1624</v>
      </c>
      <c r="R105" s="288"/>
      <c r="S105" s="288"/>
      <c r="T105" s="288">
        <v>718</v>
      </c>
      <c r="U105" s="288">
        <v>536</v>
      </c>
      <c r="V105" s="288">
        <v>1045</v>
      </c>
      <c r="W105" s="288">
        <v>1878</v>
      </c>
      <c r="X105" s="288">
        <v>2165</v>
      </c>
      <c r="Y105" s="288">
        <v>2053</v>
      </c>
      <c r="Z105" s="288">
        <v>2933</v>
      </c>
      <c r="AA105" s="288">
        <f t="shared" si="7"/>
        <v>19863</v>
      </c>
      <c r="AB105" s="314">
        <f t="shared" si="8"/>
        <v>0.99067331670822945</v>
      </c>
      <c r="AC105" s="140"/>
      <c r="AD105" s="290">
        <v>37710</v>
      </c>
      <c r="AE105" s="314">
        <f t="shared" si="9"/>
        <v>0.99775102526789261</v>
      </c>
      <c r="AF105" s="291">
        <f t="shared" si="10"/>
        <v>-17847</v>
      </c>
      <c r="AG105" s="291">
        <v>32564</v>
      </c>
      <c r="AH105" s="314">
        <f t="shared" si="11"/>
        <v>0.99032905541025484</v>
      </c>
      <c r="AI105" s="292">
        <f t="shared" si="12"/>
        <v>-12701</v>
      </c>
    </row>
    <row r="106" spans="1:35" x14ac:dyDescent="0.35">
      <c r="A106" s="11"/>
      <c r="B106" s="11"/>
      <c r="C106" s="11"/>
      <c r="D106" s="11"/>
      <c r="E106" s="11"/>
      <c r="F106" s="11"/>
      <c r="G106" s="11"/>
      <c r="H106" s="88" t="s">
        <v>176</v>
      </c>
      <c r="I106" s="104" t="str">
        <f>IF(_epmOfflineCondition_,"N",_xll.EVPRO($B$1,$H106,"STYLE"))</f>
        <v>N</v>
      </c>
      <c r="J106" s="104" t="str">
        <f>IF(_epmOfflineCondition_,"N",_xll.EVPRO($B$1,$H106,"CALC"))</f>
        <v>N</v>
      </c>
      <c r="K106" s="104"/>
      <c r="L106" s="104" t="str">
        <f>IF(_epmOfflineCondition_,"903100",_xll.EVPRO($B$1,H106,"JDEID"))</f>
        <v>903100</v>
      </c>
      <c r="M106" s="90" t="str">
        <f>IF(_epmOfflineCondition_,"991022",IF(AND(I106="N",J106="N"),_xll.EVPRO($B$1,H106,"PSFTID"),""))</f>
        <v>991022</v>
      </c>
      <c r="N106" s="104" t="str">
        <f>IF(_epmOfflineCondition_,"Comp Rooms",IF(_xll.EVDES(H106,$B$1)="#NODATA","",_xll.EVDES(H106,$B$1)))</f>
        <v>Comp Rooms</v>
      </c>
      <c r="O106" s="316">
        <v>35</v>
      </c>
      <c r="P106" s="317">
        <v>32</v>
      </c>
      <c r="Q106" s="317">
        <v>37</v>
      </c>
      <c r="R106" s="317"/>
      <c r="S106" s="317"/>
      <c r="T106" s="317">
        <v>3</v>
      </c>
      <c r="U106" s="317">
        <v>13</v>
      </c>
      <c r="V106" s="317">
        <v>21</v>
      </c>
      <c r="W106" s="317">
        <v>14</v>
      </c>
      <c r="X106" s="317">
        <v>9</v>
      </c>
      <c r="Y106" s="317">
        <v>7</v>
      </c>
      <c r="Z106" s="317">
        <v>16</v>
      </c>
      <c r="AA106" s="317">
        <f t="shared" si="7"/>
        <v>187</v>
      </c>
      <c r="AB106" s="318">
        <f t="shared" si="8"/>
        <v>9.3266832917705735E-3</v>
      </c>
      <c r="AC106" s="140"/>
      <c r="AD106" s="319">
        <v>85</v>
      </c>
      <c r="AE106" s="318">
        <f t="shared" si="9"/>
        <v>2.2489747321074215E-3</v>
      </c>
      <c r="AF106" s="320">
        <f t="shared" si="10"/>
        <v>102</v>
      </c>
      <c r="AG106" s="320">
        <v>318</v>
      </c>
      <c r="AH106" s="318">
        <f t="shared" si="11"/>
        <v>9.6709445897451493E-3</v>
      </c>
      <c r="AI106" s="321">
        <f t="shared" si="12"/>
        <v>-131</v>
      </c>
    </row>
    <row r="107" spans="1:35" x14ac:dyDescent="0.35">
      <c r="A107" s="11"/>
      <c r="B107" s="11"/>
      <c r="C107" s="11"/>
      <c r="D107" s="11"/>
      <c r="E107" s="11"/>
      <c r="F107" s="11"/>
      <c r="G107" s="11"/>
      <c r="H107" s="88" t="s">
        <v>174</v>
      </c>
      <c r="I107" s="89" t="str">
        <f>IF(_epmOfflineCondition_,"T2",_xll.EVPRO($B$1,$H107,"STYLE"))</f>
        <v>T2</v>
      </c>
      <c r="J107" s="89" t="str">
        <f>IF(_epmOfflineCondition_,"Y",_xll.EVPRO($B$1,$H107,"CALC"))</f>
        <v>Y</v>
      </c>
      <c r="K107" s="265"/>
      <c r="L107" s="106" t="str">
        <f>IF(_epmOfflineCondition_,"900200",_xll.EVPRO($B$1,H107,"JDEID"))</f>
        <v>900200</v>
      </c>
      <c r="M107" s="90" t="str">
        <f>IF(_epmOfflineCondition_,"",IF(AND(I107="N",J107="N"),_xll.EVPRO($B$1,H107,"PSFTID"),""))</f>
        <v/>
      </c>
      <c r="N107" s="106" t="str">
        <f>IF(_epmOfflineCondition_,"Total Rooms Occupied",IF(_xll.EVDES(H107,$B$1)="#NODATA","",_xll.EVDES(H107,$B$1)))</f>
        <v>Total Rooms Occupied</v>
      </c>
      <c r="O107" s="287">
        <v>3596</v>
      </c>
      <c r="P107" s="288">
        <v>3382</v>
      </c>
      <c r="Q107" s="288">
        <v>1661</v>
      </c>
      <c r="R107" s="288"/>
      <c r="S107" s="288"/>
      <c r="T107" s="288">
        <v>721</v>
      </c>
      <c r="U107" s="288">
        <v>549</v>
      </c>
      <c r="V107" s="288">
        <v>1066</v>
      </c>
      <c r="W107" s="288">
        <v>1892</v>
      </c>
      <c r="X107" s="288">
        <v>2174</v>
      </c>
      <c r="Y107" s="288">
        <v>2060</v>
      </c>
      <c r="Z107" s="288">
        <v>2949</v>
      </c>
      <c r="AA107" s="288">
        <f t="shared" si="7"/>
        <v>20050</v>
      </c>
      <c r="AB107" s="314">
        <f t="shared" si="8"/>
        <v>1</v>
      </c>
      <c r="AC107" s="140"/>
      <c r="AD107" s="290">
        <v>37795</v>
      </c>
      <c r="AE107" s="314">
        <f t="shared" si="9"/>
        <v>1</v>
      </c>
      <c r="AF107" s="291">
        <f t="shared" si="10"/>
        <v>-17745</v>
      </c>
      <c r="AG107" s="291">
        <v>32882</v>
      </c>
      <c r="AH107" s="314">
        <f t="shared" si="11"/>
        <v>1</v>
      </c>
      <c r="AI107" s="292">
        <f t="shared" si="12"/>
        <v>-12832</v>
      </c>
    </row>
    <row r="108" spans="1:35" x14ac:dyDescent="0.35">
      <c r="A108" s="11"/>
      <c r="B108" s="11"/>
      <c r="C108" s="11"/>
      <c r="D108" s="11"/>
      <c r="E108" s="11"/>
      <c r="F108" s="11"/>
      <c r="G108" s="11"/>
      <c r="H108" s="88" t="s">
        <v>175</v>
      </c>
      <c r="I108" s="104" t="str">
        <f>IF(_epmOfflineCondition_,"B1",_xll.EVPRO($B$1,$H108,"STYLE"))</f>
        <v>B1</v>
      </c>
      <c r="J108" s="104" t="str">
        <f>IF(_epmOfflineCondition_,"Y",_xll.EVPRO($B$1,$H108,"CALC"))</f>
        <v>Y</v>
      </c>
      <c r="K108" s="104"/>
      <c r="L108" s="104" t="str">
        <f>IF(_epmOfflineCondition_,"",_xll.EVPRO($B$1,H108,"JDEID"))</f>
        <v/>
      </c>
      <c r="M108" s="90" t="str">
        <f>IF(_epmOfflineCondition_,"",IF(AND(I108="N",J108="N"),_xll.EVPRO($B$1,H108,"PSFTID"),""))</f>
        <v/>
      </c>
      <c r="N108" s="104" t="str">
        <f>IF(_epmOfflineCondition_,"BLANKROW",IF(_xll.EVDES(H108,$B$1)="#NODATA","",_xll.EVDES(H108,$B$1)))</f>
        <v>BLANKROW</v>
      </c>
      <c r="O108" s="293"/>
      <c r="P108" s="294"/>
      <c r="Q108" s="294"/>
      <c r="R108" s="294"/>
      <c r="S108" s="294"/>
      <c r="T108" s="294"/>
      <c r="U108" s="294"/>
      <c r="V108" s="294"/>
      <c r="W108" s="294"/>
      <c r="X108" s="294"/>
      <c r="Y108" s="294"/>
      <c r="Z108" s="294"/>
      <c r="AA108" s="294">
        <f t="shared" si="7"/>
        <v>0</v>
      </c>
      <c r="AB108" s="315" t="str">
        <f t="shared" si="8"/>
        <v/>
      </c>
      <c r="AC108" s="140"/>
      <c r="AD108" s="296"/>
      <c r="AE108" s="315" t="str">
        <f t="shared" si="9"/>
        <v/>
      </c>
      <c r="AF108" s="297">
        <f t="shared" si="10"/>
        <v>0</v>
      </c>
      <c r="AG108" s="297"/>
      <c r="AH108" s="315" t="str">
        <f t="shared" si="11"/>
        <v/>
      </c>
      <c r="AI108" s="298">
        <f t="shared" si="12"/>
        <v>0</v>
      </c>
    </row>
    <row r="109" spans="1:35" x14ac:dyDescent="0.35">
      <c r="A109" s="11"/>
      <c r="B109" s="11"/>
      <c r="C109" s="11"/>
      <c r="D109" s="11"/>
      <c r="E109" s="11"/>
      <c r="F109" s="11"/>
      <c r="G109" s="11"/>
      <c r="H109" s="88" t="s">
        <v>211</v>
      </c>
      <c r="I109" s="104" t="str">
        <f>IF(_epmOfflineCondition_,"N",_xll.EVPRO($B$1,$H109,"STYLE"))</f>
        <v>N</v>
      </c>
      <c r="J109" s="104" t="str">
        <f>IF(_epmOfflineCondition_,"N",_xll.EVPRO($B$1,$H109,"CALC"))</f>
        <v>N</v>
      </c>
      <c r="K109" s="104"/>
      <c r="L109" s="104" t="str">
        <f>IF(_epmOfflineCondition_,"904100",_xll.EVPRO($B$1,H109,"JDEID"))</f>
        <v>904100</v>
      </c>
      <c r="M109" s="90" t="str">
        <f>IF(_epmOfflineCondition_,"991001",IF(AND(I109="N",J109="N"),_xll.EVPRO($B$1,H109,"PSFTID"),""))</f>
        <v>991001</v>
      </c>
      <c r="N109" s="104" t="str">
        <f>IF(_epmOfflineCondition_,"Available rooms",IF(_xll.EVDES(H109,$B$1)="#NODATA","",_xll.EVDES(H109,$B$1)))</f>
        <v>Available rooms</v>
      </c>
      <c r="O109" s="275">
        <v>4092</v>
      </c>
      <c r="P109" s="276">
        <v>3828</v>
      </c>
      <c r="Q109" s="276">
        <v>4092</v>
      </c>
      <c r="R109" s="276">
        <v>3960</v>
      </c>
      <c r="S109" s="276">
        <v>4092</v>
      </c>
      <c r="T109" s="276">
        <v>3960</v>
      </c>
      <c r="U109" s="276">
        <v>4092</v>
      </c>
      <c r="V109" s="276">
        <v>4092</v>
      </c>
      <c r="W109" s="276">
        <v>3960</v>
      </c>
      <c r="X109" s="276">
        <v>4092</v>
      </c>
      <c r="Y109" s="276">
        <v>3960</v>
      </c>
      <c r="Z109" s="276">
        <v>4092</v>
      </c>
      <c r="AA109" s="276">
        <f t="shared" si="7"/>
        <v>48312</v>
      </c>
      <c r="AB109" s="312">
        <f t="shared" si="8"/>
        <v>2.4095760598503739</v>
      </c>
      <c r="AC109" s="140"/>
      <c r="AD109" s="278">
        <v>48312</v>
      </c>
      <c r="AE109" s="312">
        <f t="shared" si="9"/>
        <v>1.2782643206773383</v>
      </c>
      <c r="AF109" s="279">
        <f t="shared" si="10"/>
        <v>0</v>
      </c>
      <c r="AG109" s="279">
        <v>48180</v>
      </c>
      <c r="AH109" s="312">
        <f t="shared" si="11"/>
        <v>1.4652393406727084</v>
      </c>
      <c r="AI109" s="280">
        <f t="shared" si="12"/>
        <v>132</v>
      </c>
    </row>
    <row r="110" spans="1:35" x14ac:dyDescent="0.35">
      <c r="A110" s="11"/>
      <c r="B110" s="11"/>
      <c r="C110" s="11"/>
      <c r="D110" s="11"/>
      <c r="E110" s="11"/>
      <c r="F110" s="11"/>
      <c r="G110" s="11"/>
      <c r="H110" s="88" t="s">
        <v>212</v>
      </c>
      <c r="I110" s="104" t="str">
        <f>IF(_epmOfflineCondition_,"N",_xll.EVPRO($B$1,$H110,"STYLE"))</f>
        <v>N</v>
      </c>
      <c r="J110" s="104" t="str">
        <f>IF(_epmOfflineCondition_,"N",_xll.EVPRO($B$1,$H110,"CALC"))</f>
        <v>N</v>
      </c>
      <c r="K110" s="104"/>
      <c r="L110" s="104" t="str">
        <f>IF(_epmOfflineCondition_,"905100",_xll.EVPRO($B$1,H110,"JDEID"))</f>
        <v>905100</v>
      </c>
      <c r="M110" s="90" t="str">
        <f>IF(_epmOfflineCondition_,"991765",IF(AND(I110="N",J110="N"),_xll.EVPRO($B$1,H110,"PSFTID"),""))</f>
        <v>991765</v>
      </c>
      <c r="N110" s="104" t="str">
        <f>IF(_epmOfflineCondition_,"Seasonally Closed Rooms",IF(_xll.EVDES(H110,$B$1)="#NODATA","",_xll.EVDES(H110,$B$1)))</f>
        <v>Seasonally Closed Rooms</v>
      </c>
      <c r="O110" s="275"/>
      <c r="P110" s="276"/>
      <c r="Q110" s="276"/>
      <c r="R110" s="276"/>
      <c r="S110" s="276"/>
      <c r="T110" s="276"/>
      <c r="U110" s="276"/>
      <c r="V110" s="276"/>
      <c r="W110" s="276"/>
      <c r="X110" s="276"/>
      <c r="Y110" s="276"/>
      <c r="Z110" s="276"/>
      <c r="AA110" s="276">
        <f t="shared" si="7"/>
        <v>0</v>
      </c>
      <c r="AB110" s="312" t="str">
        <f t="shared" si="8"/>
        <v/>
      </c>
      <c r="AC110" s="140"/>
      <c r="AD110" s="278"/>
      <c r="AE110" s="312" t="str">
        <f t="shared" si="9"/>
        <v/>
      </c>
      <c r="AF110" s="279">
        <f t="shared" si="10"/>
        <v>0</v>
      </c>
      <c r="AG110" s="279"/>
      <c r="AH110" s="312" t="str">
        <f t="shared" si="11"/>
        <v/>
      </c>
      <c r="AI110" s="280">
        <f t="shared" si="12"/>
        <v>0</v>
      </c>
    </row>
    <row r="111" spans="1:35" x14ac:dyDescent="0.35">
      <c r="A111" s="11"/>
      <c r="B111" s="11"/>
      <c r="C111" s="11"/>
      <c r="D111" s="11"/>
      <c r="E111" s="11"/>
      <c r="F111" s="11"/>
      <c r="G111" s="11"/>
      <c r="H111" s="88" t="s">
        <v>213</v>
      </c>
      <c r="I111" s="104" t="str">
        <f>IF(_epmOfflineCondition_,"N",_xll.EVPRO($B$1,$H111,"STYLE"))</f>
        <v>N</v>
      </c>
      <c r="J111" s="104" t="str">
        <f>IF(_epmOfflineCondition_,"N",_xll.EVPRO($B$1,$H111,"CALC"))</f>
        <v>N</v>
      </c>
      <c r="K111" s="104"/>
      <c r="L111" s="104" t="str">
        <f>IF(_epmOfflineCondition_,"905200",_xll.EVPRO($B$1,H111,"JDEID"))</f>
        <v>905200</v>
      </c>
      <c r="M111" s="90" t="str">
        <f>IF(_epmOfflineCondition_,"991766",IF(AND(I111="N",J111="N"),_xll.EVPRO($B$1,H111,"PSFTID"),""))</f>
        <v>991766</v>
      </c>
      <c r="N111" s="104" t="str">
        <f>IF(_epmOfflineCondition_,"Extended Closed Rooms",IF(_xll.EVDES(H111,$B$1)="#NODATA","",_xll.EVDES(H111,$B$1)))</f>
        <v>Extended Closed Rooms</v>
      </c>
      <c r="O111" s="275">
        <v>81</v>
      </c>
      <c r="P111" s="276">
        <v>78</v>
      </c>
      <c r="Q111" s="276">
        <v>852</v>
      </c>
      <c r="R111" s="276"/>
      <c r="S111" s="276"/>
      <c r="T111" s="276">
        <v>1245</v>
      </c>
      <c r="U111" s="276">
        <v>1895</v>
      </c>
      <c r="V111" s="276">
        <v>1946</v>
      </c>
      <c r="W111" s="276">
        <v>673</v>
      </c>
      <c r="X111" s="276">
        <v>346</v>
      </c>
      <c r="Y111" s="276">
        <v>327</v>
      </c>
      <c r="Z111" s="276">
        <v>419</v>
      </c>
      <c r="AA111" s="276">
        <f t="shared" si="7"/>
        <v>7862</v>
      </c>
      <c r="AB111" s="312">
        <f t="shared" si="8"/>
        <v>0.39211970074812968</v>
      </c>
      <c r="AC111" s="140"/>
      <c r="AD111" s="278"/>
      <c r="AE111" s="312" t="str">
        <f t="shared" si="9"/>
        <v/>
      </c>
      <c r="AF111" s="279">
        <f t="shared" si="10"/>
        <v>7862</v>
      </c>
      <c r="AG111" s="279">
        <v>8085</v>
      </c>
      <c r="AH111" s="312">
        <f t="shared" si="11"/>
        <v>0.2458792044279545</v>
      </c>
      <c r="AI111" s="280">
        <f t="shared" si="12"/>
        <v>-223</v>
      </c>
    </row>
    <row r="112" spans="1:35" x14ac:dyDescent="0.35">
      <c r="A112" s="11"/>
      <c r="B112" s="11"/>
      <c r="C112" s="11"/>
      <c r="D112" s="11"/>
      <c r="E112" s="11"/>
      <c r="F112" s="11"/>
      <c r="G112" s="11"/>
      <c r="H112" s="88" t="s">
        <v>214</v>
      </c>
      <c r="I112" s="104" t="str">
        <f>IF(_epmOfflineCondition_,"N",_xll.EVPRO($B$1,$H112,"STYLE"))</f>
        <v>N</v>
      </c>
      <c r="J112" s="104" t="str">
        <f>IF(_epmOfflineCondition_,"N",_xll.EVPRO($B$1,$H112,"CALC"))</f>
        <v>N</v>
      </c>
      <c r="K112" s="104"/>
      <c r="L112" s="104" t="str">
        <f>IF(_epmOfflineCondition_,"905300",_xll.EVPRO($B$1,H112,"JDEID"))</f>
        <v>905300</v>
      </c>
      <c r="M112" s="90" t="str">
        <f>IF(_epmOfflineCondition_,"991009",IF(AND(I112="N",J112="N"),_xll.EVPRO($B$1,H112,"PSFTID"),""))</f>
        <v>991009</v>
      </c>
      <c r="N112" s="104" t="str">
        <f>IF(_epmOfflineCondition_,"Rooms for Permanent House Use",IF(_xll.EVDES(H112,$B$1)="#NODATA","",_xll.EVDES(H112,$B$1)))</f>
        <v>Rooms for Permanent House Use</v>
      </c>
      <c r="O112" s="275"/>
      <c r="P112" s="276"/>
      <c r="Q112" s="276"/>
      <c r="R112" s="276"/>
      <c r="S112" s="276"/>
      <c r="T112" s="276"/>
      <c r="U112" s="276"/>
      <c r="V112" s="276"/>
      <c r="W112" s="276"/>
      <c r="X112" s="276"/>
      <c r="Y112" s="276"/>
      <c r="Z112" s="276"/>
      <c r="AA112" s="276">
        <f t="shared" si="7"/>
        <v>0</v>
      </c>
      <c r="AB112" s="312" t="str">
        <f t="shared" si="8"/>
        <v/>
      </c>
      <c r="AC112" s="140"/>
      <c r="AD112" s="278"/>
      <c r="AE112" s="312" t="str">
        <f t="shared" si="9"/>
        <v/>
      </c>
      <c r="AF112" s="279">
        <f t="shared" si="10"/>
        <v>0</v>
      </c>
      <c r="AG112" s="279"/>
      <c r="AH112" s="312" t="str">
        <f t="shared" si="11"/>
        <v/>
      </c>
      <c r="AI112" s="280">
        <f t="shared" si="12"/>
        <v>0</v>
      </c>
    </row>
    <row r="113" spans="1:35" x14ac:dyDescent="0.35">
      <c r="A113" s="11"/>
      <c r="B113" s="11"/>
      <c r="C113" s="11"/>
      <c r="D113" s="11"/>
      <c r="E113" s="11"/>
      <c r="F113" s="11"/>
      <c r="G113" s="11"/>
      <c r="H113" s="88" t="s">
        <v>215</v>
      </c>
      <c r="I113" s="104" t="str">
        <f>IF(_epmOfflineCondition_,"N",_xll.EVPRO($B$1,$H113,"STYLE"))</f>
        <v>N</v>
      </c>
      <c r="J113" s="104" t="str">
        <f>IF(_epmOfflineCondition_,"N",_xll.EVPRO($B$1,$H113,"CALC"))</f>
        <v>N</v>
      </c>
      <c r="K113" s="104"/>
      <c r="L113" s="104" t="str">
        <f>IF(_epmOfflineCondition_,"906100",_xll.EVPRO($B$1,H113,"JDEID"))</f>
        <v>906100</v>
      </c>
      <c r="M113" s="90" t="str">
        <f>IF(_epmOfflineCondition_,"991008",IF(AND(I113="N",J113="N"),_xll.EVPRO($B$1,H113,"PSFTID"),""))</f>
        <v>991008</v>
      </c>
      <c r="N113" s="104" t="str">
        <f>IF(_epmOfflineCondition_,"Number of Arrivals",IF(_xll.EVDES(H113,$B$1)="#NODATA","",_xll.EVDES(H113,$B$1)))</f>
        <v>Number of Arrivals</v>
      </c>
      <c r="O113" s="275">
        <v>1501</v>
      </c>
      <c r="P113" s="276">
        <v>1514</v>
      </c>
      <c r="Q113" s="276">
        <v>685</v>
      </c>
      <c r="R113" s="276"/>
      <c r="S113" s="276"/>
      <c r="T113" s="276">
        <v>342</v>
      </c>
      <c r="U113" s="276">
        <v>229</v>
      </c>
      <c r="V113" s="276">
        <v>505</v>
      </c>
      <c r="W113" s="276">
        <v>845</v>
      </c>
      <c r="X113" s="276">
        <v>992</v>
      </c>
      <c r="Y113" s="276">
        <v>938</v>
      </c>
      <c r="Z113" s="276">
        <v>1174</v>
      </c>
      <c r="AA113" s="276">
        <f t="shared" si="7"/>
        <v>8725</v>
      </c>
      <c r="AB113" s="312">
        <f t="shared" si="8"/>
        <v>0.43516209476309226</v>
      </c>
      <c r="AC113" s="140"/>
      <c r="AD113" s="278"/>
      <c r="AE113" s="312" t="str">
        <f t="shared" si="9"/>
        <v/>
      </c>
      <c r="AF113" s="279">
        <f t="shared" si="10"/>
        <v>8725</v>
      </c>
      <c r="AG113" s="279">
        <v>13173</v>
      </c>
      <c r="AH113" s="312">
        <f t="shared" si="11"/>
        <v>0.40061431786387691</v>
      </c>
      <c r="AI113" s="280">
        <f t="shared" si="12"/>
        <v>-4448</v>
      </c>
    </row>
    <row r="114" spans="1:35" x14ac:dyDescent="0.35">
      <c r="A114" s="11"/>
      <c r="B114" s="11"/>
      <c r="C114" s="11"/>
      <c r="D114" s="11"/>
      <c r="E114" s="11"/>
      <c r="F114" s="11"/>
      <c r="G114" s="11"/>
      <c r="H114" s="88" t="s">
        <v>216</v>
      </c>
      <c r="I114" s="104" t="str">
        <f>IF(_epmOfflineCondition_,"N",_xll.EVPRO($B$1,$H114,"STYLE"))</f>
        <v>N</v>
      </c>
      <c r="J114" s="104" t="str">
        <f>IF(_epmOfflineCondition_,"N",_xll.EVPRO($B$1,$H114,"CALC"))</f>
        <v>N</v>
      </c>
      <c r="K114" s="104"/>
      <c r="L114" s="104" t="str">
        <f>IF(_epmOfflineCondition_,"907100",_xll.EVPRO($B$1,H114,"JDEID"))</f>
        <v>907100</v>
      </c>
      <c r="M114" s="90" t="str">
        <f>IF(_epmOfflineCondition_,"991007",IF(AND(I114="N",J114="N"),_xll.EVPRO($B$1,H114,"PSFTID"),""))</f>
        <v>991007</v>
      </c>
      <c r="N114" s="104" t="str">
        <f>IF(_epmOfflineCondition_,"Rooms Cleaned",IF(_xll.EVDES(H114,$B$1)="#NODATA","",_xll.EVDES(H114,$B$1)))</f>
        <v>Rooms Cleaned</v>
      </c>
      <c r="O114" s="275">
        <v>1497</v>
      </c>
      <c r="P114" s="276">
        <v>1507</v>
      </c>
      <c r="Q114" s="276">
        <v>815</v>
      </c>
      <c r="R114" s="276"/>
      <c r="S114" s="276"/>
      <c r="T114" s="276">
        <v>316</v>
      </c>
      <c r="U114" s="276">
        <v>241</v>
      </c>
      <c r="V114" s="276">
        <v>1015</v>
      </c>
      <c r="W114" s="276">
        <v>844</v>
      </c>
      <c r="X114" s="276">
        <v>912</v>
      </c>
      <c r="Y114" s="276">
        <v>993</v>
      </c>
      <c r="Z114" s="276">
        <v>1108</v>
      </c>
      <c r="AA114" s="276">
        <f t="shared" si="7"/>
        <v>9248</v>
      </c>
      <c r="AB114" s="312">
        <f t="shared" si="8"/>
        <v>0.46124688279301745</v>
      </c>
      <c r="AC114" s="140"/>
      <c r="AD114" s="278"/>
      <c r="AE114" s="312" t="str">
        <f t="shared" si="9"/>
        <v/>
      </c>
      <c r="AF114" s="279">
        <f t="shared" si="10"/>
        <v>9248</v>
      </c>
      <c r="AG114" s="279">
        <v>13148</v>
      </c>
      <c r="AH114" s="312">
        <f t="shared" si="11"/>
        <v>0.39985402347789062</v>
      </c>
      <c r="AI114" s="280">
        <f t="shared" si="12"/>
        <v>-3900</v>
      </c>
    </row>
    <row r="115" spans="1:35" x14ac:dyDescent="0.35">
      <c r="A115" s="11"/>
      <c r="B115" s="11"/>
      <c r="C115" s="11"/>
      <c r="D115" s="11"/>
      <c r="E115" s="11"/>
      <c r="F115" s="11"/>
      <c r="G115" s="11"/>
      <c r="H115" s="88" t="s">
        <v>217</v>
      </c>
      <c r="I115" s="104" t="str">
        <f>IF(_epmOfflineCondition_,"N",_xll.EVPRO($B$1,$H115,"STYLE"))</f>
        <v>N</v>
      </c>
      <c r="J115" s="104" t="str">
        <f>IF(_epmOfflineCondition_,"N",_xll.EVPRO($B$1,$H115,"CALC"))</f>
        <v>N</v>
      </c>
      <c r="K115" s="104"/>
      <c r="L115" s="104" t="str">
        <f>IF(_epmOfflineCondition_,"907200",_xll.EVPRO($B$1,H115,"JDEID"))</f>
        <v>907200</v>
      </c>
      <c r="M115" s="90" t="str">
        <f>IF(_epmOfflineCondition_,"991700",IF(AND(I115="N",J115="N"),_xll.EVPRO($B$1,H115,"PSFTID"),""))</f>
        <v>991700</v>
      </c>
      <c r="N115" s="104" t="str">
        <f>IF(_epmOfflineCondition_,"KIT Rooms Occupied",IF(_xll.EVDES(H115,$B$1)="#NODATA","",_xll.EVDES(H115,$B$1)))</f>
        <v>KIT Rooms Occupied</v>
      </c>
      <c r="O115" s="275">
        <v>437</v>
      </c>
      <c r="P115" s="276">
        <v>757</v>
      </c>
      <c r="Q115" s="276">
        <v>-188</v>
      </c>
      <c r="R115" s="276">
        <v>122</v>
      </c>
      <c r="S115" s="276"/>
      <c r="T115" s="276">
        <v>147</v>
      </c>
      <c r="U115" s="276">
        <v>97</v>
      </c>
      <c r="V115" s="276">
        <v>198</v>
      </c>
      <c r="W115" s="276">
        <v>427</v>
      </c>
      <c r="X115" s="276">
        <v>855</v>
      </c>
      <c r="Y115" s="276">
        <v>327</v>
      </c>
      <c r="Z115" s="276">
        <v>955</v>
      </c>
      <c r="AA115" s="276">
        <f t="shared" si="7"/>
        <v>4134</v>
      </c>
      <c r="AB115" s="312">
        <f t="shared" si="8"/>
        <v>0.20618453865336658</v>
      </c>
      <c r="AC115" s="140"/>
      <c r="AD115" s="278"/>
      <c r="AE115" s="312" t="str">
        <f t="shared" si="9"/>
        <v/>
      </c>
      <c r="AF115" s="279">
        <f t="shared" si="10"/>
        <v>4134</v>
      </c>
      <c r="AG115" s="279">
        <v>1589</v>
      </c>
      <c r="AH115" s="312">
        <f t="shared" si="11"/>
        <v>4.8324311173286297E-2</v>
      </c>
      <c r="AI115" s="280">
        <f t="shared" si="12"/>
        <v>2545</v>
      </c>
    </row>
    <row r="116" spans="1:35" x14ac:dyDescent="0.35">
      <c r="A116" s="11"/>
      <c r="B116" s="11"/>
      <c r="C116" s="11"/>
      <c r="D116" s="11"/>
      <c r="E116" s="11"/>
      <c r="F116" s="11"/>
      <c r="G116" s="11"/>
      <c r="H116" s="88" t="s">
        <v>218</v>
      </c>
      <c r="I116" s="104" t="str">
        <f>IF(_epmOfflineCondition_,"N",_xll.EVPRO($B$1,$H116,"STYLE"))</f>
        <v>N</v>
      </c>
      <c r="J116" s="104" t="str">
        <f>IF(_epmOfflineCondition_,"N",_xll.EVPRO($B$1,$H116,"CALC"))</f>
        <v>N</v>
      </c>
      <c r="K116" s="104"/>
      <c r="L116" s="104" t="str">
        <f>IF(_epmOfflineCondition_,"907300",_xll.EVPRO($B$1,H116,"JDEID"))</f>
        <v>907300</v>
      </c>
      <c r="M116" s="90" t="str">
        <f>IF(_epmOfflineCondition_,"991059",IF(AND(I116="N",J116="N"),_xll.EVPRO($B$1,H116,"PSFTID"),""))</f>
        <v>991059</v>
      </c>
      <c r="N116" s="104" t="str">
        <f>IF(_epmOfflineCondition_,"Number of Guests",IF(_xll.EVDES(H116,$B$1)="#NODATA","",_xll.EVDES(H116,$B$1)))</f>
        <v>Number of Guests</v>
      </c>
      <c r="O116" s="322">
        <v>5784</v>
      </c>
      <c r="P116" s="323">
        <v>5470</v>
      </c>
      <c r="Q116" s="323">
        <v>3139</v>
      </c>
      <c r="R116" s="323"/>
      <c r="S116" s="323"/>
      <c r="T116" s="323">
        <v>1191</v>
      </c>
      <c r="U116" s="323">
        <v>1050</v>
      </c>
      <c r="V116" s="323">
        <v>1840</v>
      </c>
      <c r="W116" s="323">
        <v>3208</v>
      </c>
      <c r="X116" s="323">
        <v>3700</v>
      </c>
      <c r="Y116" s="323">
        <v>3521</v>
      </c>
      <c r="Z116" s="323">
        <v>5192</v>
      </c>
      <c r="AA116" s="323">
        <f t="shared" si="7"/>
        <v>34095</v>
      </c>
      <c r="AB116" s="324" t="str">
        <f t="shared" si="8"/>
        <v>1.70</v>
      </c>
      <c r="AC116" s="140"/>
      <c r="AD116" s="325"/>
      <c r="AE116" s="324" t="str">
        <f t="shared" si="9"/>
        <v>0.00</v>
      </c>
      <c r="AF116" s="326">
        <f t="shared" si="10"/>
        <v>34095</v>
      </c>
      <c r="AG116" s="326">
        <v>60091</v>
      </c>
      <c r="AH116" s="324" t="str">
        <f t="shared" si="11"/>
        <v>1.83</v>
      </c>
      <c r="AI116" s="327">
        <f t="shared" si="12"/>
        <v>-25996</v>
      </c>
    </row>
    <row r="117" spans="1:35" x14ac:dyDescent="0.35">
      <c r="A117" s="11"/>
      <c r="B117" s="11"/>
      <c r="C117" s="11"/>
      <c r="D117" s="11"/>
      <c r="E117" s="11"/>
      <c r="F117" s="11"/>
      <c r="G117" s="11"/>
      <c r="H117" s="11"/>
      <c r="I117" s="11"/>
      <c r="J117" s="11"/>
      <c r="K117" s="11"/>
      <c r="L117" s="11"/>
      <c r="M117" s="11"/>
      <c r="N117" s="104"/>
      <c r="O117" s="203"/>
      <c r="P117" s="204"/>
      <c r="Q117" s="204"/>
      <c r="R117" s="204"/>
      <c r="S117" s="204"/>
      <c r="T117" s="204"/>
      <c r="U117" s="204"/>
      <c r="V117" s="204"/>
      <c r="W117" s="204"/>
      <c r="X117" s="204"/>
      <c r="Y117" s="204"/>
      <c r="Z117" s="204"/>
      <c r="AA117" s="204"/>
      <c r="AB117" s="118"/>
      <c r="AC117" s="11"/>
      <c r="AD117" s="203"/>
      <c r="AE117" s="204"/>
      <c r="AF117" s="118"/>
      <c r="AG117" s="203"/>
      <c r="AH117" s="204"/>
      <c r="AI117" s="118"/>
    </row>
    <row r="118" spans="1:35" x14ac:dyDescent="0.35">
      <c r="A118" s="11"/>
      <c r="B118" s="11"/>
      <c r="C118" s="11"/>
      <c r="D118" s="11"/>
      <c r="E118" s="11"/>
      <c r="F118" s="11"/>
      <c r="G118" s="11"/>
      <c r="H118" s="11" t="s">
        <v>494</v>
      </c>
      <c r="I118" s="59" t="str">
        <f>IF(_epmOfflineCondition_,"B1",_xll.EVPRO($B$1,$H118,"STYLE"))</f>
        <v>B1</v>
      </c>
      <c r="J118" s="59" t="str">
        <f>IF(_epmOfflineCondition_,"Y",_xll.EVPRO($B$1,$H118,"CALC"))</f>
        <v>Y</v>
      </c>
      <c r="K118" s="11"/>
      <c r="L118" s="11"/>
      <c r="M118" s="11"/>
      <c r="N118" s="105" t="str">
        <f>IF(_epmOfflineCondition_,"ADR &amp; OCC% Calculations",IF(_xll.EVDES(H118,$B$1)="#NODATA","",_xll.EVDES(H118,$B$1)))</f>
        <v>ADR &amp; OCC% Calculations</v>
      </c>
      <c r="O118" s="266" t="s">
        <v>743</v>
      </c>
      <c r="P118" s="266" t="s">
        <v>743</v>
      </c>
      <c r="Q118" s="266" t="s">
        <v>743</v>
      </c>
      <c r="R118" s="266" t="s">
        <v>743</v>
      </c>
      <c r="S118" s="266" t="s">
        <v>743</v>
      </c>
      <c r="T118" s="266" t="s">
        <v>743</v>
      </c>
      <c r="U118" s="266" t="s">
        <v>743</v>
      </c>
      <c r="V118" s="266" t="s">
        <v>743</v>
      </c>
      <c r="W118" s="266" t="s">
        <v>743</v>
      </c>
      <c r="X118" s="266" t="s">
        <v>743</v>
      </c>
      <c r="Y118" s="266" t="s">
        <v>743</v>
      </c>
      <c r="Z118" s="266" t="s">
        <v>743</v>
      </c>
      <c r="AA118" s="266" t="s">
        <v>743</v>
      </c>
      <c r="AB118" s="266" t="s">
        <v>744</v>
      </c>
      <c r="AC118" s="11"/>
      <c r="AD118" s="266" t="s">
        <v>743</v>
      </c>
      <c r="AE118" s="266" t="s">
        <v>744</v>
      </c>
      <c r="AF118" s="266"/>
      <c r="AG118" s="266" t="s">
        <v>743</v>
      </c>
      <c r="AH118" s="266" t="s">
        <v>744</v>
      </c>
      <c r="AI118" s="266"/>
    </row>
    <row r="119" spans="1:35" x14ac:dyDescent="0.35">
      <c r="A119" s="11"/>
      <c r="B119" s="11"/>
      <c r="C119" s="11"/>
      <c r="D119" s="11"/>
      <c r="E119" s="11"/>
      <c r="F119" s="11"/>
      <c r="G119" s="265" t="str">
        <f t="shared" ref="G119:G151" si="13">REPLACE(H119,1,3,"OCC")</f>
        <v>OCC_RETAIL</v>
      </c>
      <c r="H119" s="88" t="s">
        <v>190</v>
      </c>
      <c r="I119" s="89" t="str">
        <f>IF(_epmOfflineCondition_,"T3",_xll.EVPRO($B$1,$H119,"STYLE"))</f>
        <v>T3</v>
      </c>
      <c r="J119" s="89" t="str">
        <f>IF(_epmOfflineCondition_,"Y",_xll.EVPRO($B$1,$H119,"CALC"))</f>
        <v>Y</v>
      </c>
      <c r="K119" s="11"/>
      <c r="L119" s="106" t="str">
        <f>IF(_epmOfflineCondition_,"",_xll.EVPRO($B$1,H119,"JDEID"))</f>
        <v/>
      </c>
      <c r="M119" s="90" t="str">
        <f>IF(_epmOfflineCondition_,"",IF(AND(I119="N",J119="N"),_xll.EVPRO($B$1,H119,"PSFTID"),""))</f>
        <v/>
      </c>
      <c r="N119" s="106" t="str">
        <f>IF(_epmOfflineCondition_,"Retail",IF(_xll.EVDES(H119,$B$1)="#NODATA","",_xll.EVDES(H119,$B$1)))</f>
        <v>Retail</v>
      </c>
      <c r="O119" s="328">
        <v>262.83302369668201</v>
      </c>
      <c r="P119" s="329">
        <v>356.88702868852499</v>
      </c>
      <c r="Q119" s="329">
        <v>229.660875576037</v>
      </c>
      <c r="R119" s="329"/>
      <c r="S119" s="329"/>
      <c r="T119" s="329">
        <v>131.259474940334</v>
      </c>
      <c r="U119" s="329">
        <v>140.95055172413799</v>
      </c>
      <c r="V119" s="329">
        <v>113.396029411765</v>
      </c>
      <c r="W119" s="329">
        <v>118.216875</v>
      </c>
      <c r="X119" s="329">
        <v>115.331404494382</v>
      </c>
      <c r="Y119" s="329">
        <v>115.173627906977</v>
      </c>
      <c r="Z119" s="329">
        <v>164.79273415326401</v>
      </c>
      <c r="AA119" s="329">
        <f t="shared" ref="AA119:AA150" si="14">IFERROR(AA34/AA72,0)</f>
        <v>193.40950880307739</v>
      </c>
      <c r="AB119" s="330">
        <f>IF(_epmOfflineCondition_,0.139903129657228,IF(_xll.EVGET($B$1,$B$3,$B$5,$B$6,$B$7,$B$9,AA$16,AA$17,AA$18,$G119)="#NODATA","",_xll.EVGET($B$1,$B$3,$B$5,$B$6,$B$7,$B$9,AA$16,AA$17,AA$18,$G119)))</f>
        <v>0.13990312965722801</v>
      </c>
      <c r="AC119" s="140"/>
      <c r="AD119" s="328">
        <v>255.98716239843699</v>
      </c>
      <c r="AE119" s="330">
        <f>IF(_epmOfflineCondition_,0.20125434674615,IF(_xll.EVGET($B$1,$B$3,$B$5,$B$6,$B$7,$B$9,AD$16,AD$17,AD$18,$G119)="#NODATA","",_xll.EVGET($B$1,$B$3,$B$5,$B$6,$B$7,$B$9,AD$16,AD$17,AD$18,$G119)))</f>
        <v>0.20125434674615</v>
      </c>
      <c r="AF119" s="331">
        <f t="shared" ref="AF119:AF152" si="15">IF(AND($AA119="",AD119=""),"",$AA119-AD119)</f>
        <v>-62.577653595359607</v>
      </c>
      <c r="AG119" s="328">
        <v>211.232112514351</v>
      </c>
      <c r="AH119" s="330">
        <f>IF(_epmOfflineCondition_,0.162702366127024,IF(_xll.EVGET($B$1,$B$3,$B$5,$B$6,$B$7,$B$9,AG$16,AG$17,AG$18,$G119)="#NODATA","",_xll.EVGET($B$1,$B$3,$B$5,$B$6,$B$7,$B$9,AG$16,AG$17,AG$18,$G119)))</f>
        <v>0.16270236612702399</v>
      </c>
      <c r="AI119" s="332">
        <f t="shared" ref="AI119:AI152" si="16">IF(AND($AA119="",AG119=""),"",$AA119-AG119)</f>
        <v>-17.822603711273615</v>
      </c>
    </row>
    <row r="120" spans="1:35" x14ac:dyDescent="0.35">
      <c r="A120" s="11"/>
      <c r="B120" s="11"/>
      <c r="C120" s="11"/>
      <c r="D120" s="11"/>
      <c r="E120" s="11"/>
      <c r="F120" s="11"/>
      <c r="G120" s="267" t="str">
        <f t="shared" si="13"/>
        <v>OCC_ROOM</v>
      </c>
      <c r="H120" s="88" t="s">
        <v>191</v>
      </c>
      <c r="I120" s="104" t="str">
        <f>IF(_epmOfflineCondition_,"N",_xll.EVPRO($B$1,$H120,"STYLE"))</f>
        <v>N</v>
      </c>
      <c r="J120" s="104" t="str">
        <f>IF(_epmOfflineCondition_,"Y",_xll.EVPRO($B$1,$H120,"CALC"))</f>
        <v>Y</v>
      </c>
      <c r="K120" s="11"/>
      <c r="L120" s="104" t="str">
        <f>IF(_epmOfflineCondition_,"",_xll.EVPRO($B$1,H120,"JDEID"))</f>
        <v/>
      </c>
      <c r="M120" s="90" t="str">
        <f>IF(_epmOfflineCondition_,"",IF(AND(I120="N",J120="N"),_xll.EVPRO($B$1,H120,"PSFTID"),""))</f>
        <v/>
      </c>
      <c r="N120" s="104" t="str">
        <f>IF(_epmOfflineCondition_,"Room Only",IF(_xll.EVDES(H120,$B$1)="#NODATA","",_xll.EVDES(H120,$B$1)))</f>
        <v>Room Only</v>
      </c>
      <c r="O120" s="333">
        <v>379.46403141361299</v>
      </c>
      <c r="P120" s="334">
        <v>634.13823788546301</v>
      </c>
      <c r="Q120" s="334">
        <v>226.06839285714301</v>
      </c>
      <c r="R120" s="334"/>
      <c r="S120" s="334"/>
      <c r="T120" s="334">
        <v>137.76337837837801</v>
      </c>
      <c r="U120" s="334">
        <v>180.97339622641499</v>
      </c>
      <c r="V120" s="334">
        <v>119.400285714286</v>
      </c>
      <c r="W120" s="334">
        <v>131.75440860215099</v>
      </c>
      <c r="X120" s="334">
        <v>145.77726562500001</v>
      </c>
      <c r="Y120" s="334">
        <v>148.72711538461499</v>
      </c>
      <c r="Z120" s="334">
        <v>199.85749999999999</v>
      </c>
      <c r="AA120" s="334">
        <f t="shared" si="14"/>
        <v>268.66171177761521</v>
      </c>
      <c r="AB120" s="335">
        <f>IF(_epmOfflineCondition_,0.0282952475575426,IF(_xll.EVGET($B$1,$B$3,$B$5,$B$6,$B$7,$B$9,AA$16,AA$17,AA$18,$G120)="#NODATA","",_xll.EVGET($B$1,$B$3,$B$5,$B$6,$B$7,$B$9,AA$16,AA$17,AA$18,$G120)))</f>
        <v>2.8295247557542601E-2</v>
      </c>
      <c r="AC120" s="140"/>
      <c r="AD120" s="333">
        <v>314.99240840035702</v>
      </c>
      <c r="AE120" s="335">
        <f>IF(_epmOfflineCondition_,0.0463238946845504,IF(_xll.EVGET($B$1,$B$3,$B$5,$B$6,$B$7,$B$9,AD$16,AD$17,AD$18,$G120)="#NODATA","",_xll.EVGET($B$1,$B$3,$B$5,$B$6,$B$7,$B$9,AD$16,AD$17,AD$18,$G120)))</f>
        <v>4.63238946845504E-2</v>
      </c>
      <c r="AF120" s="336">
        <f t="shared" si="15"/>
        <v>-46.330696622741812</v>
      </c>
      <c r="AG120" s="333">
        <v>231.385785820526</v>
      </c>
      <c r="AH120" s="335">
        <f>IF(_epmOfflineCondition_,0.0418638439186384,IF(_xll.EVGET($B$1,$B$3,$B$5,$B$6,$B$7,$B$9,AG$16,AG$17,AG$18,$G120)="#NODATA","",_xll.EVGET($B$1,$B$3,$B$5,$B$6,$B$7,$B$9,AG$16,AG$17,AG$18,$G120)))</f>
        <v>4.1863843918638399E-2</v>
      </c>
      <c r="AI120" s="337">
        <f t="shared" si="16"/>
        <v>37.275925957089214</v>
      </c>
    </row>
    <row r="121" spans="1:35" x14ac:dyDescent="0.35">
      <c r="A121" s="11"/>
      <c r="B121" s="11"/>
      <c r="C121" s="11"/>
      <c r="D121" s="11"/>
      <c r="E121" s="11"/>
      <c r="F121" s="11"/>
      <c r="G121" s="267" t="str">
        <f t="shared" si="13"/>
        <v>OCC_RWEB</v>
      </c>
      <c r="H121" s="88" t="s">
        <v>192</v>
      </c>
      <c r="I121" s="104" t="str">
        <f>IF(_epmOfflineCondition_,"N",_xll.EVPRO($B$1,$H121,"STYLE"))</f>
        <v>N</v>
      </c>
      <c r="J121" s="104" t="str">
        <f>IF(_epmOfflineCondition_,"Y",_xll.EVPRO($B$1,$H121,"CALC"))</f>
        <v>Y</v>
      </c>
      <c r="K121" s="11"/>
      <c r="L121" s="104" t="str">
        <f>IF(_epmOfflineCondition_,"",_xll.EVPRO($B$1,H121,"JDEID"))</f>
        <v/>
      </c>
      <c r="M121" s="90" t="str">
        <f>IF(_epmOfflineCondition_,"",IF(AND(I121="N",J121="N"),_xll.EVPRO($B$1,H121,"PSFTID"),""))</f>
        <v/>
      </c>
      <c r="N121" s="104" t="str">
        <f>IF(_epmOfflineCondition_,"Retail Web",IF(_xll.EVDES(H121,$B$1)="#NODATA","",_xll.EVDES(H121,$B$1)))</f>
        <v>Retail Web</v>
      </c>
      <c r="O121" s="333">
        <v>237.05001157407401</v>
      </c>
      <c r="P121" s="334">
        <v>272.86029372496699</v>
      </c>
      <c r="Q121" s="334">
        <v>230.40736549165101</v>
      </c>
      <c r="R121" s="334"/>
      <c r="S121" s="334"/>
      <c r="T121" s="334">
        <v>129.86443478260901</v>
      </c>
      <c r="U121" s="334">
        <v>132.00029535864999</v>
      </c>
      <c r="V121" s="334">
        <v>110.894255952381</v>
      </c>
      <c r="W121" s="334">
        <v>112.859468085106</v>
      </c>
      <c r="X121" s="334">
        <v>105.73270935960601</v>
      </c>
      <c r="Y121" s="334">
        <v>108.72341959334599</v>
      </c>
      <c r="Z121" s="334">
        <v>158.903403314917</v>
      </c>
      <c r="AA121" s="334">
        <f t="shared" si="14"/>
        <v>174.33128894658748</v>
      </c>
      <c r="AB121" s="335">
        <f>IF(_epmOfflineCondition_,0.111607882099685,IF(_xll.EVGET($B$1,$B$3,$B$5,$B$6,$B$7,$B$9,AA$16,AA$17,AA$18,$G121)="#NODATA","",_xll.EVGET($B$1,$B$3,$B$5,$B$6,$B$7,$B$9,AA$16,AA$17,AA$18,$G121)))</f>
        <v>0.111607882099685</v>
      </c>
      <c r="AC121" s="140"/>
      <c r="AD121" s="333">
        <v>238.34471209084799</v>
      </c>
      <c r="AE121" s="335">
        <f>IF(_epmOfflineCondition_,0.1549304520616,IF(_xll.EVGET($B$1,$B$3,$B$5,$B$6,$B$7,$B$9,AD$16,AD$17,AD$18,$G121)="#NODATA","",_xll.EVGET($B$1,$B$3,$B$5,$B$6,$B$7,$B$9,AD$16,AD$17,AD$18,$G121)))</f>
        <v>0.1549304520616</v>
      </c>
      <c r="AF121" s="336">
        <f t="shared" si="15"/>
        <v>-64.013423144260514</v>
      </c>
      <c r="AG121" s="333">
        <v>204.249982823772</v>
      </c>
      <c r="AH121" s="335">
        <f>IF(_epmOfflineCondition_,0.120838522208385,IF(_xll.EVGET($B$1,$B$3,$B$5,$B$6,$B$7,$B$9,AG$16,AG$17,AG$18,$G121)="#NODATA","",_xll.EVGET($B$1,$B$3,$B$5,$B$6,$B$7,$B$9,AG$16,AG$17,AG$18,$G121)))</f>
        <v>0.12083852220838499</v>
      </c>
      <c r="AI121" s="337">
        <f t="shared" si="16"/>
        <v>-29.918693877184523</v>
      </c>
    </row>
    <row r="122" spans="1:35" x14ac:dyDescent="0.35">
      <c r="A122" s="11"/>
      <c r="B122" s="11"/>
      <c r="C122" s="11"/>
      <c r="D122" s="11"/>
      <c r="E122" s="11"/>
      <c r="F122" s="11"/>
      <c r="G122" s="265" t="str">
        <f t="shared" si="13"/>
        <v>OCC_DISCNT</v>
      </c>
      <c r="H122" s="88" t="s">
        <v>193</v>
      </c>
      <c r="I122" s="89" t="str">
        <f>IF(_epmOfflineCondition_,"T3",_xll.EVPRO($B$1,$H122,"STYLE"))</f>
        <v>T3</v>
      </c>
      <c r="J122" s="89" t="str">
        <f>IF(_epmOfflineCondition_,"Y",_xll.EVPRO($B$1,$H122,"CALC"))</f>
        <v>Y</v>
      </c>
      <c r="K122" s="11"/>
      <c r="L122" s="106" t="str">
        <f>IF(_epmOfflineCondition_,"",_xll.EVPRO($B$1,H122,"JDEID"))</f>
        <v/>
      </c>
      <c r="M122" s="90" t="str">
        <f>IF(_epmOfflineCondition_,"",IF(AND(I122="N",J122="N"),_xll.EVPRO($B$1,H122,"PSFTID"),""))</f>
        <v/>
      </c>
      <c r="N122" s="106" t="str">
        <f>IF(_epmOfflineCondition_,"Discount",IF(_xll.EVDES(H122,$B$1)="#NODATA","",_xll.EVDES(H122,$B$1)))</f>
        <v>Discount</v>
      </c>
      <c r="O122" s="328">
        <v>326.50113537117898</v>
      </c>
      <c r="P122" s="329">
        <v>341.23019448946502</v>
      </c>
      <c r="Q122" s="329">
        <v>222.892642487047</v>
      </c>
      <c r="R122" s="329"/>
      <c r="S122" s="329"/>
      <c r="T122" s="329">
        <v>116.15198312236301</v>
      </c>
      <c r="U122" s="329">
        <v>123.914838709677</v>
      </c>
      <c r="V122" s="329">
        <v>100.003107569721</v>
      </c>
      <c r="W122" s="329">
        <v>103.523141135972</v>
      </c>
      <c r="X122" s="329">
        <v>112.739539202201</v>
      </c>
      <c r="Y122" s="329">
        <v>124.77244322631201</v>
      </c>
      <c r="Z122" s="329">
        <v>159.66081580624601</v>
      </c>
      <c r="AA122" s="329">
        <f t="shared" si="14"/>
        <v>180.47745729938768</v>
      </c>
      <c r="AB122" s="330">
        <f>IF(_epmOfflineCondition_,0.192685047193244,IF(_xll.EVGET($B$1,$B$3,$B$5,$B$6,$B$7,$B$9,AA$16,AA$17,AA$18,$G122)="#NODATA","",_xll.EVGET($B$1,$B$3,$B$5,$B$6,$B$7,$B$9,AA$16,AA$17,AA$18,$G122)))</f>
        <v>0.192685047193244</v>
      </c>
      <c r="AC122" s="140"/>
      <c r="AD122" s="328">
        <v>211.430097844583</v>
      </c>
      <c r="AE122" s="330">
        <f>IF(_epmOfflineCondition_,0.291935750952144,IF(_xll.EVGET($B$1,$B$3,$B$5,$B$6,$B$7,$B$9,AD$16,AD$17,AD$18,$G122)="#NODATA","",_xll.EVGET($B$1,$B$3,$B$5,$B$6,$B$7,$B$9,AD$16,AD$17,AD$18,$G122)))</f>
        <v>0.29193575095214402</v>
      </c>
      <c r="AF122" s="331">
        <f t="shared" si="15"/>
        <v>-30.952640545195322</v>
      </c>
      <c r="AG122" s="328">
        <v>194.284171002672</v>
      </c>
      <c r="AH122" s="330">
        <f>IF(_epmOfflineCondition_,0.295184723951847,IF(_xll.EVGET($B$1,$B$3,$B$5,$B$6,$B$7,$B$9,AG$16,AG$17,AG$18,$G122)="#NODATA","",_xll.EVGET($B$1,$B$3,$B$5,$B$6,$B$7,$B$9,AG$16,AG$17,AG$18,$G122)))</f>
        <v>0.29518472395184697</v>
      </c>
      <c r="AI122" s="332">
        <f t="shared" si="16"/>
        <v>-13.806713703284316</v>
      </c>
    </row>
    <row r="123" spans="1:35" x14ac:dyDescent="0.35">
      <c r="A123" s="11"/>
      <c r="B123" s="11"/>
      <c r="C123" s="11"/>
      <c r="D123" s="11"/>
      <c r="E123" s="11"/>
      <c r="F123" s="11"/>
      <c r="G123" s="267" t="str">
        <f t="shared" si="13"/>
        <v>OCC_PACK</v>
      </c>
      <c r="H123" s="88" t="s">
        <v>194</v>
      </c>
      <c r="I123" s="104" t="str">
        <f>IF(_epmOfflineCondition_,"N",_xll.EVPRO($B$1,$H123,"STYLE"))</f>
        <v>N</v>
      </c>
      <c r="J123" s="104" t="str">
        <f>IF(_epmOfflineCondition_,"Y",_xll.EVPRO($B$1,$H123,"CALC"))</f>
        <v>Y</v>
      </c>
      <c r="K123" s="11"/>
      <c r="L123" s="104" t="str">
        <f>IF(_epmOfflineCondition_,"",_xll.EVPRO($B$1,H123,"JDEID"))</f>
        <v/>
      </c>
      <c r="M123" s="90" t="str">
        <f>IF(_epmOfflineCondition_,"",IF(AND(I123="N",J123="N"),_xll.EVPRO($B$1,H123,"PSFTID"),""))</f>
        <v/>
      </c>
      <c r="N123" s="104" t="str">
        <f>IF(_epmOfflineCondition_,"Package",IF(_xll.EVDES(H123,$B$1)="#NODATA","",_xll.EVDES(H123,$B$1)))</f>
        <v>Package</v>
      </c>
      <c r="O123" s="333">
        <v>393.55599999999998</v>
      </c>
      <c r="P123" s="334">
        <v>367.678235294118</v>
      </c>
      <c r="Q123" s="334">
        <v>281.03161290322601</v>
      </c>
      <c r="R123" s="334"/>
      <c r="S123" s="334"/>
      <c r="T123" s="334">
        <v>170.86666666666699</v>
      </c>
      <c r="U123" s="334">
        <v>179</v>
      </c>
      <c r="V123" s="334">
        <v>145.666666666667</v>
      </c>
      <c r="W123" s="334">
        <v>168.34583333333299</v>
      </c>
      <c r="X123" s="334">
        <v>94.133333333333297</v>
      </c>
      <c r="Y123" s="334">
        <v>423.33333333333297</v>
      </c>
      <c r="Z123" s="334">
        <v>207.40666666666701</v>
      </c>
      <c r="AA123" s="334">
        <f t="shared" si="14"/>
        <v>285.95721854304634</v>
      </c>
      <c r="AB123" s="335">
        <f>IF(_epmOfflineCondition_,0.00312551746977977,IF(_xll.EVGET($B$1,$B$3,$B$5,$B$6,$B$7,$B$9,AA$16,AA$17,AA$18,$G123)="#NODATA","",_xll.EVGET($B$1,$B$3,$B$5,$B$6,$B$7,$B$9,AA$16,AA$17,AA$18,$G123)))</f>
        <v>3.1255174697797702E-3</v>
      </c>
      <c r="AC123" s="140"/>
      <c r="AD123" s="333">
        <v>286.843701716738</v>
      </c>
      <c r="AE123" s="335">
        <f>IF(_epmOfflineCondition_,0.019291273389634,IF(_xll.EVGET($B$1,$B$3,$B$5,$B$6,$B$7,$B$9,AD$16,AD$17,AD$18,$G123)="#NODATA","",_xll.EVGET($B$1,$B$3,$B$5,$B$6,$B$7,$B$9,AD$16,AD$17,AD$18,$G123)))</f>
        <v>1.9291273389634E-2</v>
      </c>
      <c r="AF123" s="336">
        <f t="shared" si="15"/>
        <v>-0.88648317369165852</v>
      </c>
      <c r="AG123" s="333">
        <v>340.34351351351398</v>
      </c>
      <c r="AH123" s="335">
        <f>IF(_epmOfflineCondition_,0.00921544209215442,IF(_xll.EVGET($B$1,$B$3,$B$5,$B$6,$B$7,$B$9,AG$16,AG$17,AG$18,$G123)="#NODATA","",_xll.EVGET($B$1,$B$3,$B$5,$B$6,$B$7,$B$9,AG$16,AG$17,AG$18,$G123)))</f>
        <v>9.2154420921544203E-3</v>
      </c>
      <c r="AI123" s="337">
        <f t="shared" si="16"/>
        <v>-54.386294970467645</v>
      </c>
    </row>
    <row r="124" spans="1:35" x14ac:dyDescent="0.35">
      <c r="A124" s="11"/>
      <c r="B124" s="11"/>
      <c r="C124" s="11"/>
      <c r="D124" s="11"/>
      <c r="E124" s="11"/>
      <c r="F124" s="11"/>
      <c r="G124" s="267" t="str">
        <f t="shared" si="13"/>
        <v>OCC_OTA</v>
      </c>
      <c r="H124" s="88" t="s">
        <v>195</v>
      </c>
      <c r="I124" s="104" t="str">
        <f>IF(_epmOfflineCondition_,"N",_xll.EVPRO($B$1,$H124,"STYLE"))</f>
        <v>N</v>
      </c>
      <c r="J124" s="104" t="str">
        <f>IF(_epmOfflineCondition_,"Y",_xll.EVPRO($B$1,$H124,"CALC"))</f>
        <v>Y</v>
      </c>
      <c r="K124" s="11"/>
      <c r="L124" s="104" t="str">
        <f>IF(_epmOfflineCondition_,"",_xll.EVPRO($B$1,H124,"JDEID"))</f>
        <v/>
      </c>
      <c r="M124" s="90" t="str">
        <f>IF(_epmOfflineCondition_,"",IF(AND(I124="N",J124="N"),_xll.EVPRO($B$1,H124,"PSFTID"),""))</f>
        <v/>
      </c>
      <c r="N124" s="104" t="str">
        <f>IF(_epmOfflineCondition_,"OTA Opaque",IF(_xll.EVDES(H124,$B$1)="#NODATA","",_xll.EVDES(H124,$B$1)))</f>
        <v>OTA Opaque</v>
      </c>
      <c r="O124" s="333">
        <v>314.04808510638298</v>
      </c>
      <c r="P124" s="334">
        <v>358.87411764705899</v>
      </c>
      <c r="Q124" s="334">
        <v>125.282765957447</v>
      </c>
      <c r="R124" s="334"/>
      <c r="S124" s="334"/>
      <c r="T124" s="334">
        <v>110.476</v>
      </c>
      <c r="U124" s="334">
        <v>118.895333333333</v>
      </c>
      <c r="V124" s="334">
        <v>91.631506849315102</v>
      </c>
      <c r="W124" s="334">
        <v>92.719111111111104</v>
      </c>
      <c r="X124" s="334">
        <v>91.57</v>
      </c>
      <c r="Y124" s="334">
        <v>97.935828877005306</v>
      </c>
      <c r="Z124" s="334">
        <v>135.17683168316799</v>
      </c>
      <c r="AA124" s="334">
        <f t="shared" si="14"/>
        <v>124.89334634146341</v>
      </c>
      <c r="AB124" s="335">
        <f>IF(_epmOfflineCondition_,0.0212162609703593,IF(_xll.EVGET($B$1,$B$3,$B$5,$B$6,$B$7,$B$9,AA$16,AA$17,AA$18,$G124)="#NODATA","",_xll.EVGET($B$1,$B$3,$B$5,$B$6,$B$7,$B$9,AA$16,AA$17,AA$18,$G124)))</f>
        <v>2.1216260970359301E-2</v>
      </c>
      <c r="AC124" s="140"/>
      <c r="AD124" s="333">
        <v>156.410365358593</v>
      </c>
      <c r="AE124" s="335">
        <f>IF(_epmOfflineCondition_,0.0152964066898493,IF(_xll.EVGET($B$1,$B$3,$B$5,$B$6,$B$7,$B$9,AD$16,AD$17,AD$18,$G124)="#NODATA","",_xll.EVGET($B$1,$B$3,$B$5,$B$6,$B$7,$B$9,AD$16,AD$17,AD$18,$G124)))</f>
        <v>1.5296406689849299E-2</v>
      </c>
      <c r="AF124" s="336">
        <f t="shared" si="15"/>
        <v>-31.517019017129584</v>
      </c>
      <c r="AG124" s="333">
        <v>149.78398765432101</v>
      </c>
      <c r="AH124" s="335">
        <f>IF(_epmOfflineCondition_,0.0168119551681196,IF(_xll.EVGET($B$1,$B$3,$B$5,$B$6,$B$7,$B$9,AG$16,AG$17,AG$18,$G124)="#NODATA","",_xll.EVGET($B$1,$B$3,$B$5,$B$6,$B$7,$B$9,AG$16,AG$17,AG$18,$G124)))</f>
        <v>1.6811955168119602E-2</v>
      </c>
      <c r="AI124" s="337">
        <f t="shared" si="16"/>
        <v>-24.890641312857596</v>
      </c>
    </row>
    <row r="125" spans="1:35" x14ac:dyDescent="0.35">
      <c r="A125" s="11"/>
      <c r="B125" s="11"/>
      <c r="C125" s="11"/>
      <c r="D125" s="11"/>
      <c r="E125" s="11"/>
      <c r="F125" s="11"/>
      <c r="G125" s="267" t="str">
        <f t="shared" si="13"/>
        <v>OCC_BMPRO</v>
      </c>
      <c r="H125" s="88" t="s">
        <v>196</v>
      </c>
      <c r="I125" s="104" t="str">
        <f>IF(_epmOfflineCondition_,"N",_xll.EVPRO($B$1,$H125,"STYLE"))</f>
        <v>N</v>
      </c>
      <c r="J125" s="104" t="str">
        <f>IF(_epmOfflineCondition_,"Y",_xll.EVPRO($B$1,$H125,"CALC"))</f>
        <v>Y</v>
      </c>
      <c r="K125" s="11"/>
      <c r="L125" s="104" t="str">
        <f>IF(_epmOfflineCondition_,"",_xll.EVPRO($B$1,H125,"JDEID"))</f>
        <v/>
      </c>
      <c r="M125" s="90" t="str">
        <f>IF(_epmOfflineCondition_,"",IF(AND(I125="N",J125="N"),_xll.EVPRO($B$1,H125,"PSFTID"),""))</f>
        <v/>
      </c>
      <c r="N125" s="104" t="str">
        <f>IF(_epmOfflineCondition_,"Brand/Media Promotions",IF(_xll.EVDES(H125,$B$1)="#NODATA","",_xll.EVDES(H125,$B$1)))</f>
        <v>Brand/Media Promotions</v>
      </c>
      <c r="O125" s="333">
        <v>374.576061381074</v>
      </c>
      <c r="P125" s="334">
        <v>357.83871609403297</v>
      </c>
      <c r="Q125" s="334">
        <v>165.993533834586</v>
      </c>
      <c r="R125" s="334"/>
      <c r="S125" s="334"/>
      <c r="T125" s="334">
        <v>96.021249999999995</v>
      </c>
      <c r="U125" s="334">
        <v>54.842222222222198</v>
      </c>
      <c r="V125" s="334">
        <v>83.825076923076907</v>
      </c>
      <c r="W125" s="334">
        <v>72.715625000000003</v>
      </c>
      <c r="X125" s="334">
        <v>97.952348178137697</v>
      </c>
      <c r="Y125" s="334">
        <v>121.631282051282</v>
      </c>
      <c r="Z125" s="334">
        <v>159.76532228361</v>
      </c>
      <c r="AA125" s="334">
        <f t="shared" si="14"/>
        <v>214.64688013136291</v>
      </c>
      <c r="AB125" s="335">
        <f>IF(_epmOfflineCondition_,0.0504222553402881,IF(_xll.EVGET($B$1,$B$3,$B$5,$B$6,$B$7,$B$9,AA$16,AA$17,AA$18,$G125)="#NODATA","",_xll.EVGET($B$1,$B$3,$B$5,$B$6,$B$7,$B$9,AA$16,AA$17,AA$18,$G125)))</f>
        <v>5.0422255340288102E-2</v>
      </c>
      <c r="AC125" s="140"/>
      <c r="AD125" s="333">
        <v>187.460366906475</v>
      </c>
      <c r="AE125" s="335">
        <f>IF(_epmOfflineCondition_,0.0575426395098526,IF(_xll.EVGET($B$1,$B$3,$B$5,$B$6,$B$7,$B$9,AD$16,AD$17,AD$18,$G125)="#NODATA","",_xll.EVGET($B$1,$B$3,$B$5,$B$6,$B$7,$B$9,AD$16,AD$17,AD$18,$G125)))</f>
        <v>5.7542639509852597E-2</v>
      </c>
      <c r="AF125" s="336">
        <f t="shared" si="15"/>
        <v>27.186513224887904</v>
      </c>
      <c r="AG125" s="333">
        <v>152.829004830918</v>
      </c>
      <c r="AH125" s="335">
        <f>IF(_epmOfflineCondition_,0.0429638854296389,IF(_xll.EVGET($B$1,$B$3,$B$5,$B$6,$B$7,$B$9,AG$16,AG$17,AG$18,$G125)="#NODATA","",_xll.EVGET($B$1,$B$3,$B$5,$B$6,$B$7,$B$9,AG$16,AG$17,AG$18,$G125)))</f>
        <v>4.2963885429638901E-2</v>
      </c>
      <c r="AI125" s="337">
        <f t="shared" si="16"/>
        <v>61.817875300444911</v>
      </c>
    </row>
    <row r="126" spans="1:35" x14ac:dyDescent="0.35">
      <c r="A126" s="11"/>
      <c r="B126" s="11"/>
      <c r="C126" s="11"/>
      <c r="D126" s="11"/>
      <c r="E126" s="11"/>
      <c r="F126" s="11"/>
      <c r="G126" s="267" t="str">
        <f t="shared" si="13"/>
        <v>OCC_ADVPR</v>
      </c>
      <c r="H126" s="88" t="s">
        <v>197</v>
      </c>
      <c r="I126" s="104" t="str">
        <f>IF(_epmOfflineCondition_,"N",_xll.EVPRO($B$1,$H126,"STYLE"))</f>
        <v>N</v>
      </c>
      <c r="J126" s="104" t="str">
        <f>IF(_epmOfflineCondition_,"Y",_xll.EVPRO($B$1,$H126,"CALC"))</f>
        <v>Y</v>
      </c>
      <c r="K126" s="11"/>
      <c r="L126" s="104" t="str">
        <f>IF(_epmOfflineCondition_,"",_xll.EVPRO($B$1,H126,"JDEID"))</f>
        <v/>
      </c>
      <c r="M126" s="90" t="str">
        <f>IF(_epmOfflineCondition_,"",IF(AND(I126="N",J126="N"),_xll.EVPRO($B$1,H126,"PSFTID"),""))</f>
        <v/>
      </c>
      <c r="N126" s="104" t="str">
        <f>IF(_epmOfflineCondition_,"Advance Purchases",IF(_xll.EVDES(H126,$B$1)="#NODATA","",_xll.EVDES(H126,$B$1)))</f>
        <v>Advance Purchases</v>
      </c>
      <c r="O126" s="333">
        <v>294.27</v>
      </c>
      <c r="P126" s="334">
        <v>343.52385964912298</v>
      </c>
      <c r="Q126" s="334">
        <v>333.33499999999998</v>
      </c>
      <c r="R126" s="334"/>
      <c r="S126" s="334"/>
      <c r="T126" s="334"/>
      <c r="U126" s="334">
        <v>196.94125</v>
      </c>
      <c r="V126" s="334">
        <v>132.316666666667</v>
      </c>
      <c r="W126" s="334">
        <v>135.15</v>
      </c>
      <c r="X126" s="334"/>
      <c r="Y126" s="334">
        <v>108.54</v>
      </c>
      <c r="Z126" s="334">
        <v>127.76</v>
      </c>
      <c r="AA126" s="334">
        <f t="shared" si="14"/>
        <v>297.90768115942035</v>
      </c>
      <c r="AB126" s="335">
        <f>IF(_epmOfflineCondition_,0.00285643318430204,IF(_xll.EVGET($B$1,$B$3,$B$5,$B$6,$B$7,$B$9,AA$16,AA$17,AA$18,$G126)="#NODATA","",_xll.EVGET($B$1,$B$3,$B$5,$B$6,$B$7,$B$9,AA$16,AA$17,AA$18,$G126)))</f>
        <v>2.85643318430204E-3</v>
      </c>
      <c r="AC126" s="140"/>
      <c r="AD126" s="333">
        <v>228.97329690346101</v>
      </c>
      <c r="AE126" s="335">
        <f>IF(_epmOfflineCondition_,0.0454545454545455,IF(_xll.EVGET($B$1,$B$3,$B$5,$B$6,$B$7,$B$9,AD$16,AD$17,AD$18,$G126)="#NODATA","",_xll.EVGET($B$1,$B$3,$B$5,$B$6,$B$7,$B$9,AD$16,AD$17,AD$18,$G126)))</f>
        <v>4.5454545454545497E-2</v>
      </c>
      <c r="AF126" s="336">
        <f t="shared" si="15"/>
        <v>68.934384255959344</v>
      </c>
      <c r="AG126" s="333">
        <v>226.939005786428</v>
      </c>
      <c r="AH126" s="335">
        <f>IF(_epmOfflineCondition_,0.0394562058945621,IF(_xll.EVGET($B$1,$B$3,$B$5,$B$6,$B$7,$B$9,AG$16,AG$17,AG$18,$G126)="#NODATA","",_xll.EVGET($B$1,$B$3,$B$5,$B$6,$B$7,$B$9,AG$16,AG$17,AG$18,$G126)))</f>
        <v>3.9456205894562099E-2</v>
      </c>
      <c r="AI126" s="337">
        <f t="shared" si="16"/>
        <v>70.968675372992351</v>
      </c>
    </row>
    <row r="127" spans="1:35" x14ac:dyDescent="0.35">
      <c r="A127" s="11"/>
      <c r="B127" s="11"/>
      <c r="C127" s="11"/>
      <c r="D127" s="11"/>
      <c r="E127" s="11"/>
      <c r="F127" s="11"/>
      <c r="G127" s="267" t="str">
        <f t="shared" si="13"/>
        <v>OCC_LDISCNT</v>
      </c>
      <c r="H127" s="88" t="s">
        <v>198</v>
      </c>
      <c r="I127" s="104" t="str">
        <f>IF(_epmOfflineCondition_,"N",_xll.EVPRO($B$1,$H127,"STYLE"))</f>
        <v>N</v>
      </c>
      <c r="J127" s="104" t="str">
        <f>IF(_epmOfflineCondition_,"Y",_xll.EVPRO($B$1,$H127,"CALC"))</f>
        <v>Y</v>
      </c>
      <c r="K127" s="11"/>
      <c r="L127" s="104" t="str">
        <f>IF(_epmOfflineCondition_,"",_xll.EVPRO($B$1,H127,"JDEID"))</f>
        <v/>
      </c>
      <c r="M127" s="90" t="str">
        <f>IF(_epmOfflineCondition_,"",IF(AND(I127="N",J127="N"),_xll.EVPRO($B$1,H127,"PSFTID"),""))</f>
        <v/>
      </c>
      <c r="N127" s="104" t="str">
        <f>IF(_epmOfflineCondition_,"Local Discounts",IF(_xll.EVDES(H127,$B$1)="#NODATA","",_xll.EVDES(H127,$B$1)))</f>
        <v>Local Discounts</v>
      </c>
      <c r="O127" s="333">
        <v>281.65026252983301</v>
      </c>
      <c r="P127" s="334">
        <v>321.77987410071898</v>
      </c>
      <c r="Q127" s="334">
        <v>247.97424489795901</v>
      </c>
      <c r="R127" s="334"/>
      <c r="S127" s="334"/>
      <c r="T127" s="334">
        <v>125.098492063492</v>
      </c>
      <c r="U127" s="334">
        <v>149.59676470588201</v>
      </c>
      <c r="V127" s="334">
        <v>103.754732394366</v>
      </c>
      <c r="W127" s="334">
        <v>110.514546583851</v>
      </c>
      <c r="X127" s="334">
        <v>120.448714144411</v>
      </c>
      <c r="Y127" s="334">
        <v>129.13780157835399</v>
      </c>
      <c r="Z127" s="334">
        <v>164.864690594059</v>
      </c>
      <c r="AA127" s="334">
        <f t="shared" si="14"/>
        <v>169.97272351142291</v>
      </c>
      <c r="AB127" s="335">
        <f>IF(_epmOfflineCondition_,0.115064580228515,IF(_xll.EVGET($B$1,$B$3,$B$5,$B$6,$B$7,$B$9,AA$16,AA$17,AA$18,$G127)="#NODATA","",_xll.EVGET($B$1,$B$3,$B$5,$B$6,$B$7,$B$9,AA$16,AA$17,AA$18,$G127)))</f>
        <v>0.115064580228515</v>
      </c>
      <c r="AC127" s="140"/>
      <c r="AD127" s="333">
        <v>211.22694515220601</v>
      </c>
      <c r="AE127" s="335">
        <f>IF(_epmOfflineCondition_,0.154350885908263,IF(_xll.EVGET($B$1,$B$3,$B$5,$B$6,$B$7,$B$9,AD$16,AD$17,AD$18,$G127)="#NODATA","",_xll.EVGET($B$1,$B$3,$B$5,$B$6,$B$7,$B$9,AD$16,AD$17,AD$18,$G127)))</f>
        <v>0.15435088590826301</v>
      </c>
      <c r="AF127" s="336">
        <f t="shared" si="15"/>
        <v>-41.254221640783101</v>
      </c>
      <c r="AG127" s="333">
        <v>193.720666888963</v>
      </c>
      <c r="AH127" s="335">
        <f>IF(_epmOfflineCondition_,0.186737235367372,IF(_xll.EVGET($B$1,$B$3,$B$5,$B$6,$B$7,$B$9,AG$16,AG$17,AG$18,$G127)="#NODATA","",_xll.EVGET($B$1,$B$3,$B$5,$B$6,$B$7,$B$9,AG$16,AG$17,AG$18,$G127)))</f>
        <v>0.186737235367372</v>
      </c>
      <c r="AI127" s="337">
        <f t="shared" si="16"/>
        <v>-23.747943377540082</v>
      </c>
    </row>
    <row r="128" spans="1:35" x14ac:dyDescent="0.35">
      <c r="A128" s="11"/>
      <c r="B128" s="11"/>
      <c r="C128" s="11"/>
      <c r="D128" s="11"/>
      <c r="E128" s="11"/>
      <c r="F128" s="11"/>
      <c r="G128" s="267" t="str">
        <f t="shared" si="13"/>
        <v>OCC_PAPR</v>
      </c>
      <c r="H128" s="88" t="s">
        <v>199</v>
      </c>
      <c r="I128" s="104" t="str">
        <f>IF(_epmOfflineCondition_,"N",_xll.EVPRO($B$1,$H128,"STYLE"))</f>
        <v>N</v>
      </c>
      <c r="J128" s="104" t="str">
        <f>IF(_epmOfflineCondition_,"Y",_xll.EVPRO($B$1,$H128,"CALC"))</f>
        <v>Y</v>
      </c>
      <c r="K128" s="11"/>
      <c r="L128" s="104" t="str">
        <f>IF(_epmOfflineCondition_,"",_xll.EVPRO($B$1,H128,"JDEID"))</f>
        <v/>
      </c>
      <c r="M128" s="90" t="str">
        <f>IF(_epmOfflineCondition_,"",IF(AND(I128="N",J128="N"),_xll.EVPRO($B$1,H128,"PSFTID"),""))</f>
        <v/>
      </c>
      <c r="N128" s="104" t="str">
        <f>IF(_epmOfflineCondition_,"Package &amp; Promo (Legacy)",IF(_xll.EVDES(H128,$B$1)="#NODATA","",_xll.EVDES(H128,$B$1)))</f>
        <v>Package &amp; Promo (Legacy)</v>
      </c>
      <c r="O128" s="333"/>
      <c r="P128" s="334"/>
      <c r="Q128" s="334"/>
      <c r="R128" s="334"/>
      <c r="S128" s="334"/>
      <c r="T128" s="334"/>
      <c r="U128" s="334"/>
      <c r="V128" s="334"/>
      <c r="W128" s="334"/>
      <c r="X128" s="334"/>
      <c r="Y128" s="334"/>
      <c r="Z128" s="334"/>
      <c r="AA128" s="334">
        <f t="shared" si="14"/>
        <v>0</v>
      </c>
      <c r="AB128" s="335">
        <f>IF(_epmOfflineCondition_,0,IF(_xll.EVGET($B$1,$B$3,$B$5,$B$6,$B$7,$B$9,AA$16,AA$17,AA$18,$G128)="#NODATA","",_xll.EVGET($B$1,$B$3,$B$5,$B$6,$B$7,$B$9,AA$16,AA$17,AA$18,$G128)))</f>
        <v>0</v>
      </c>
      <c r="AC128" s="140"/>
      <c r="AD128" s="333"/>
      <c r="AE128" s="335">
        <f>IF(_epmOfflineCondition_,0,IF(_xll.EVGET($B$1,$B$3,$B$5,$B$6,$B$7,$B$9,AD$16,AD$17,AD$18,$G128)="#NODATA","",_xll.EVGET($B$1,$B$3,$B$5,$B$6,$B$7,$B$9,AD$16,AD$17,AD$18,$G128)))</f>
        <v>0</v>
      </c>
      <c r="AF128" s="336">
        <f t="shared" si="15"/>
        <v>0</v>
      </c>
      <c r="AG128" s="333"/>
      <c r="AH128" s="335">
        <f>IF(_epmOfflineCondition_,0,IF(_xll.EVGET($B$1,$B$3,$B$5,$B$6,$B$7,$B$9,AG$16,AG$17,AG$18,$G128)="#NODATA","",_xll.EVGET($B$1,$B$3,$B$5,$B$6,$B$7,$B$9,AG$16,AG$17,AG$18,$G128)))</f>
        <v>0</v>
      </c>
      <c r="AI128" s="337">
        <f t="shared" si="16"/>
        <v>0</v>
      </c>
    </row>
    <row r="129" spans="1:35" x14ac:dyDescent="0.35">
      <c r="A129" s="11"/>
      <c r="B129" s="11"/>
      <c r="C129" s="11"/>
      <c r="D129" s="11"/>
      <c r="E129" s="11"/>
      <c r="F129" s="11"/>
      <c r="G129" s="265" t="str">
        <f t="shared" si="13"/>
        <v>OCC_NEGOT</v>
      </c>
      <c r="H129" s="88" t="s">
        <v>200</v>
      </c>
      <c r="I129" s="89" t="str">
        <f>IF(_epmOfflineCondition_,"T3",_xll.EVPRO($B$1,$H129,"STYLE"))</f>
        <v>T3</v>
      </c>
      <c r="J129" s="89" t="str">
        <f>IF(_epmOfflineCondition_,"Y",_xll.EVPRO($B$1,$H129,"CALC"))</f>
        <v>Y</v>
      </c>
      <c r="K129" s="11"/>
      <c r="L129" s="106" t="str">
        <f>IF(_epmOfflineCondition_,"",_xll.EVPRO($B$1,H129,"JDEID"))</f>
        <v/>
      </c>
      <c r="M129" s="90" t="str">
        <f>IF(_epmOfflineCondition_,"",IF(AND(I129="N",J129="N"),_xll.EVPRO($B$1,H129,"PSFTID"),""))</f>
        <v/>
      </c>
      <c r="N129" s="106" t="str">
        <f>IF(_epmOfflineCondition_,"Negotiated",IF(_xll.EVDES(H129,$B$1)="#NODATA","",_xll.EVDES(H129,$B$1)))</f>
        <v>Negotiated</v>
      </c>
      <c r="O129" s="328">
        <v>324.02763285024201</v>
      </c>
      <c r="P129" s="329">
        <v>301.00171717171702</v>
      </c>
      <c r="Q129" s="329">
        <v>232.038076923077</v>
      </c>
      <c r="R129" s="329"/>
      <c r="S129" s="329"/>
      <c r="T129" s="329">
        <v>149.837777777778</v>
      </c>
      <c r="U129" s="329"/>
      <c r="V129" s="329">
        <v>125.14</v>
      </c>
      <c r="W129" s="329">
        <v>121.04</v>
      </c>
      <c r="X129" s="329">
        <v>147.735625</v>
      </c>
      <c r="Y129" s="329">
        <v>114.193043478261</v>
      </c>
      <c r="Z129" s="329">
        <v>127.37142857142901</v>
      </c>
      <c r="AA129" s="329">
        <f t="shared" si="14"/>
        <v>273.15235081374328</v>
      </c>
      <c r="AB129" s="330">
        <f>IF(_epmOfflineCondition_,0.0114464315283987,IF(_xll.EVGET($B$1,$B$3,$B$5,$B$6,$B$7,$B$9,AA$16,AA$17,AA$18,$G129)="#NODATA","",_xll.EVGET($B$1,$B$3,$B$5,$B$6,$B$7,$B$9,AA$16,AA$17,AA$18,$G129)))</f>
        <v>1.14464315283987E-2</v>
      </c>
      <c r="AC129" s="140"/>
      <c r="AD129" s="328">
        <v>232.18608734804101</v>
      </c>
      <c r="AE129" s="330">
        <f>IF(_epmOfflineCondition_,0.0459720152343103,IF(_xll.EVGET($B$1,$B$3,$B$5,$B$6,$B$7,$B$9,AD$16,AD$17,AD$18,$G129)="#NODATA","",_xll.EVGET($B$1,$B$3,$B$5,$B$6,$B$7,$B$9,AD$16,AD$17,AD$18,$G129)))</f>
        <v>4.5972015234310298E-2</v>
      </c>
      <c r="AF129" s="331">
        <f t="shared" si="15"/>
        <v>40.966263465702269</v>
      </c>
      <c r="AG129" s="328">
        <v>206.579677595628</v>
      </c>
      <c r="AH129" s="330">
        <f>IF(_epmOfflineCondition_,0.0379825653798257,IF(_xll.EVGET($B$1,$B$3,$B$5,$B$6,$B$7,$B$9,AG$16,AG$17,AG$18,$G129)="#NODATA","",_xll.EVGET($B$1,$B$3,$B$5,$B$6,$B$7,$B$9,AG$16,AG$17,AG$18,$G129)))</f>
        <v>3.7982565379825702E-2</v>
      </c>
      <c r="AI129" s="332">
        <f t="shared" si="16"/>
        <v>66.572673218115284</v>
      </c>
    </row>
    <row r="130" spans="1:35" x14ac:dyDescent="0.35">
      <c r="A130" s="11"/>
      <c r="B130" s="11"/>
      <c r="C130" s="11"/>
      <c r="D130" s="11"/>
      <c r="E130" s="11"/>
      <c r="F130" s="11"/>
      <c r="G130" s="267" t="str">
        <f t="shared" si="13"/>
        <v>OCC_CONS</v>
      </c>
      <c r="H130" s="88" t="s">
        <v>201</v>
      </c>
      <c r="I130" s="104" t="str">
        <f>IF(_epmOfflineCondition_,"N",_xll.EVPRO($B$1,$H130,"STYLE"))</f>
        <v>N</v>
      </c>
      <c r="J130" s="104" t="str">
        <f>IF(_epmOfflineCondition_,"Y",_xll.EVPRO($B$1,$H130,"CALC"))</f>
        <v>Y</v>
      </c>
      <c r="K130" s="11"/>
      <c r="L130" s="104" t="str">
        <f>IF(_epmOfflineCondition_,"",_xll.EVPRO($B$1,H130,"JDEID"))</f>
        <v/>
      </c>
      <c r="M130" s="90" t="str">
        <f>IF(_epmOfflineCondition_,"",IF(AND(I130="N",J130="N"),_xll.EVPRO($B$1,H130,"PSFTID"),""))</f>
        <v/>
      </c>
      <c r="N130" s="104" t="str">
        <f>IF(_epmOfflineCondition_,"Consortia",IF(_xll.EVDES(H130,$B$1)="#NODATA","",_xll.EVDES(H130,$B$1)))</f>
        <v>Consortia</v>
      </c>
      <c r="O130" s="333">
        <v>350.81404761904798</v>
      </c>
      <c r="P130" s="334">
        <v>367.629428571429</v>
      </c>
      <c r="Q130" s="334">
        <v>345.66666666666703</v>
      </c>
      <c r="R130" s="334"/>
      <c r="S130" s="334"/>
      <c r="T130" s="334">
        <v>154</v>
      </c>
      <c r="U130" s="334"/>
      <c r="V130" s="334"/>
      <c r="W130" s="334">
        <v>145</v>
      </c>
      <c r="X130" s="334"/>
      <c r="Y130" s="334"/>
      <c r="Z130" s="334"/>
      <c r="AA130" s="334">
        <f t="shared" si="14"/>
        <v>341.04850574712646</v>
      </c>
      <c r="AB130" s="335">
        <f>IF(_epmOfflineCondition_,0.00180079483358172,IF(_xll.EVGET($B$1,$B$3,$B$5,$B$6,$B$7,$B$9,AA$16,AA$17,AA$18,$G130)="#NODATA","",_xll.EVGET($B$1,$B$3,$B$5,$B$6,$B$7,$B$9,AA$16,AA$17,AA$18,$G130)))</f>
        <v>1.80079483358172E-3</v>
      </c>
      <c r="AC130" s="140"/>
      <c r="AD130" s="333">
        <v>284.639761904762</v>
      </c>
      <c r="AE130" s="335">
        <f>IF(_epmOfflineCondition_,0.0139095876800795,IF(_xll.EVGET($B$1,$B$3,$B$5,$B$6,$B$7,$B$9,AD$16,AD$17,AD$18,$G130)="#NODATA","",_xll.EVGET($B$1,$B$3,$B$5,$B$6,$B$7,$B$9,AD$16,AD$17,AD$18,$G130)))</f>
        <v>1.3909587680079501E-2</v>
      </c>
      <c r="AF130" s="336">
        <f t="shared" si="15"/>
        <v>56.408743842364458</v>
      </c>
      <c r="AG130" s="333">
        <v>244.31674796748001</v>
      </c>
      <c r="AH130" s="335">
        <f>IF(_epmOfflineCondition_,0.00510585305105853,IF(_xll.EVGET($B$1,$B$3,$B$5,$B$6,$B$7,$B$9,AG$16,AG$17,AG$18,$G130)="#NODATA","",_xll.EVGET($B$1,$B$3,$B$5,$B$6,$B$7,$B$9,AG$16,AG$17,AG$18,$G130)))</f>
        <v>5.1058530510585303E-3</v>
      </c>
      <c r="AI130" s="337">
        <f t="shared" si="16"/>
        <v>96.731757779646443</v>
      </c>
    </row>
    <row r="131" spans="1:35" x14ac:dyDescent="0.35">
      <c r="A131" s="11"/>
      <c r="B131" s="11"/>
      <c r="C131" s="11"/>
      <c r="D131" s="11"/>
      <c r="E131" s="11"/>
      <c r="F131" s="11"/>
      <c r="G131" s="267" t="str">
        <f t="shared" si="13"/>
        <v>OCC_NNEG</v>
      </c>
      <c r="H131" s="88" t="s">
        <v>202</v>
      </c>
      <c r="I131" s="104" t="str">
        <f>IF(_epmOfflineCondition_,"N",_xll.EVPRO($B$1,$H131,"STYLE"))</f>
        <v>N</v>
      </c>
      <c r="J131" s="104" t="str">
        <f>IF(_epmOfflineCondition_,"Y",_xll.EVPRO($B$1,$H131,"CALC"))</f>
        <v>Y</v>
      </c>
      <c r="K131" s="11"/>
      <c r="L131" s="104" t="str">
        <f>IF(_epmOfflineCondition_,"",_xll.EVPRO($B$1,H131,"JDEID"))</f>
        <v/>
      </c>
      <c r="M131" s="90" t="str">
        <f>IF(_epmOfflineCondition_,"",IF(AND(I131="N",J131="N"),_xll.EVPRO($B$1,H131,"PSFTID"),""))</f>
        <v/>
      </c>
      <c r="N131" s="104" t="str">
        <f>IF(_epmOfflineCondition_,"National Negotiated",IF(_xll.EVDES(H131,$B$1)="#NODATA","",_xll.EVDES(H131,$B$1)))</f>
        <v>National Negotiated</v>
      </c>
      <c r="O131" s="333">
        <v>309.02922580645202</v>
      </c>
      <c r="P131" s="334">
        <v>286.69515337423297</v>
      </c>
      <c r="Q131" s="334">
        <v>228.08652173913001</v>
      </c>
      <c r="R131" s="334"/>
      <c r="S131" s="334"/>
      <c r="T131" s="334">
        <v>148.64857142857099</v>
      </c>
      <c r="U131" s="334"/>
      <c r="V131" s="334">
        <v>125.14</v>
      </c>
      <c r="W131" s="334">
        <v>109.06</v>
      </c>
      <c r="X131" s="334">
        <v>147.735625</v>
      </c>
      <c r="Y131" s="334">
        <v>128.494545454545</v>
      </c>
      <c r="Z131" s="334">
        <v>131.19999999999999</v>
      </c>
      <c r="AA131" s="334">
        <f t="shared" si="14"/>
        <v>263.73217090069284</v>
      </c>
      <c r="AB131" s="335">
        <f>IF(_epmOfflineCondition_,0.00896257658552741,IF(_xll.EVGET($B$1,$B$3,$B$5,$B$6,$B$7,$B$9,AA$16,AA$17,AA$18,$G131)="#NODATA","",_xll.EVGET($B$1,$B$3,$B$5,$B$6,$B$7,$B$9,AA$16,AA$17,AA$18,$G131)))</f>
        <v>8.9625765855274094E-3</v>
      </c>
      <c r="AC131" s="140"/>
      <c r="AD131" s="333">
        <v>224.608514644351</v>
      </c>
      <c r="AE131" s="335">
        <f>IF(_epmOfflineCondition_,0.0197880443782083,IF(_xll.EVGET($B$1,$B$3,$B$5,$B$6,$B$7,$B$9,AD$16,AD$17,AD$18,$G131)="#NODATA","",_xll.EVGET($B$1,$B$3,$B$5,$B$6,$B$7,$B$9,AD$16,AD$17,AD$18,$G131)))</f>
        <v>1.9788044378208299E-2</v>
      </c>
      <c r="AF131" s="336">
        <f t="shared" si="15"/>
        <v>39.123656256341832</v>
      </c>
      <c r="AG131" s="333">
        <v>212.797343412527</v>
      </c>
      <c r="AH131" s="335">
        <f>IF(_epmOfflineCondition_,0.0192195931921959,IF(_xll.EVGET($B$1,$B$3,$B$5,$B$6,$B$7,$B$9,AG$16,AG$17,AG$18,$G131)="#NODATA","",_xll.EVGET($B$1,$B$3,$B$5,$B$6,$B$7,$B$9,AG$16,AG$17,AG$18,$G131)))</f>
        <v>1.9219593192195902E-2</v>
      </c>
      <c r="AI131" s="337">
        <f t="shared" si="16"/>
        <v>50.934827488165837</v>
      </c>
    </row>
    <row r="132" spans="1:35" x14ac:dyDescent="0.35">
      <c r="A132" s="11"/>
      <c r="B132" s="11"/>
      <c r="C132" s="11"/>
      <c r="D132" s="11"/>
      <c r="E132" s="11"/>
      <c r="F132" s="11"/>
      <c r="G132" s="267" t="str">
        <f t="shared" si="13"/>
        <v>OCC_LNEG</v>
      </c>
      <c r="H132" s="88" t="s">
        <v>203</v>
      </c>
      <c r="I132" s="104" t="str">
        <f>IF(_epmOfflineCondition_,"N",_xll.EVPRO($B$1,$H132,"STYLE"))</f>
        <v>N</v>
      </c>
      <c r="J132" s="104" t="str">
        <f>IF(_epmOfflineCondition_,"Y",_xll.EVPRO($B$1,$H132,"CALC"))</f>
        <v>Y</v>
      </c>
      <c r="K132" s="11"/>
      <c r="L132" s="104" t="str">
        <f>IF(_epmOfflineCondition_,"",_xll.EVPRO($B$1,H132,"JDEID"))</f>
        <v/>
      </c>
      <c r="M132" s="90" t="str">
        <f>IF(_epmOfflineCondition_,"",IF(AND(I132="N",J132="N"),_xll.EVPRO($B$1,H132,"PSFTID"),""))</f>
        <v/>
      </c>
      <c r="N132" s="104" t="str">
        <f>IF(_epmOfflineCondition_,"Local Negotiated",IF(_xll.EVDES(H132,$B$1)="#NODATA","",_xll.EVDES(H132,$B$1)))</f>
        <v>Local Negotiated</v>
      </c>
      <c r="O132" s="333">
        <v>444</v>
      </c>
      <c r="P132" s="334"/>
      <c r="Q132" s="334">
        <v>179</v>
      </c>
      <c r="R132" s="334"/>
      <c r="S132" s="334"/>
      <c r="T132" s="334"/>
      <c r="U132" s="334"/>
      <c r="V132" s="334"/>
      <c r="W132" s="334"/>
      <c r="X132" s="334"/>
      <c r="Y132" s="334">
        <v>101.083333333333</v>
      </c>
      <c r="Z132" s="334">
        <v>124.5</v>
      </c>
      <c r="AA132" s="334">
        <f t="shared" si="14"/>
        <v>217.75757575757575</v>
      </c>
      <c r="AB132" s="335">
        <f>IF(_epmOfflineCondition_,0.000683060109289617,IF(_xll.EVGET($B$1,$B$3,$B$5,$B$6,$B$7,$B$9,AA$16,AA$17,AA$18,$G132)="#NODATA","",_xll.EVGET($B$1,$B$3,$B$5,$B$6,$B$7,$B$9,AA$16,AA$17,AA$18,$G132)))</f>
        <v>6.8306010928961705E-4</v>
      </c>
      <c r="AC132" s="140"/>
      <c r="AD132" s="333">
        <v>184.96060708263099</v>
      </c>
      <c r="AE132" s="335">
        <f>IF(_epmOfflineCondition_,0.0122743831760225,IF(_xll.EVGET($B$1,$B$3,$B$5,$B$6,$B$7,$B$9,AD$16,AD$17,AD$18,$G132)="#NODATA","",_xll.EVGET($B$1,$B$3,$B$5,$B$6,$B$7,$B$9,AD$16,AD$17,AD$18,$G132)))</f>
        <v>1.22743831760225E-2</v>
      </c>
      <c r="AF132" s="336">
        <f t="shared" si="15"/>
        <v>32.796968674944765</v>
      </c>
      <c r="AG132" s="333">
        <v>183.721200607903</v>
      </c>
      <c r="AH132" s="335">
        <f>IF(_epmOfflineCondition_,0.0136571191365712,IF(_xll.EVGET($B$1,$B$3,$B$5,$B$6,$B$7,$B$9,AG$16,AG$17,AG$18,$G132)="#NODATA","",_xll.EVGET($B$1,$B$3,$B$5,$B$6,$B$7,$B$9,AG$16,AG$17,AG$18,$G132)))</f>
        <v>1.3657119136571199E-2</v>
      </c>
      <c r="AI132" s="337">
        <f t="shared" si="16"/>
        <v>34.03637514967275</v>
      </c>
    </row>
    <row r="133" spans="1:35" x14ac:dyDescent="0.35">
      <c r="A133" s="11"/>
      <c r="B133" s="11"/>
      <c r="C133" s="11"/>
      <c r="D133" s="11"/>
      <c r="E133" s="11"/>
      <c r="F133" s="11"/>
      <c r="G133" s="265" t="str">
        <f t="shared" si="13"/>
        <v>OCC_QUALF</v>
      </c>
      <c r="H133" s="88" t="s">
        <v>204</v>
      </c>
      <c r="I133" s="89" t="str">
        <f>IF(_epmOfflineCondition_,"T3",_xll.EVPRO($B$1,$H133,"STYLE"))</f>
        <v>T3</v>
      </c>
      <c r="J133" s="89" t="str">
        <f>IF(_epmOfflineCondition_,"Y",_xll.EVPRO($B$1,$H133,"CALC"))</f>
        <v>Y</v>
      </c>
      <c r="K133" s="11"/>
      <c r="L133" s="106" t="str">
        <f>IF(_epmOfflineCondition_,"",_xll.EVPRO($B$1,H133,"JDEID"))</f>
        <v/>
      </c>
      <c r="M133" s="90" t="str">
        <f>IF(_epmOfflineCondition_,"",IF(AND(I133="N",J133="N"),_xll.EVPRO($B$1,H133,"PSFTID"),""))</f>
        <v/>
      </c>
      <c r="N133" s="106" t="str">
        <f>IF(_epmOfflineCondition_,"Qualified",IF(_xll.EVDES(H133,$B$1)="#NODATA","",_xll.EVDES(H133,$B$1)))</f>
        <v>Qualified</v>
      </c>
      <c r="O133" s="328">
        <v>198.53372013651901</v>
      </c>
      <c r="P133" s="329">
        <v>205.98527896995699</v>
      </c>
      <c r="Q133" s="329">
        <v>192.74916666666701</v>
      </c>
      <c r="R133" s="329"/>
      <c r="S133" s="329"/>
      <c r="T133" s="329">
        <v>91.841250000000002</v>
      </c>
      <c r="U133" s="329">
        <v>99.07</v>
      </c>
      <c r="V133" s="329">
        <v>96.3</v>
      </c>
      <c r="W133" s="329">
        <v>118.854838709677</v>
      </c>
      <c r="X133" s="329">
        <v>138.69431818181801</v>
      </c>
      <c r="Y133" s="329">
        <v>132.18666666666701</v>
      </c>
      <c r="Z133" s="329">
        <v>137.80357142857099</v>
      </c>
      <c r="AA133" s="329">
        <f t="shared" si="14"/>
        <v>172.04006128702758</v>
      </c>
      <c r="AB133" s="330">
        <f>IF(_epmOfflineCondition_,0.020264116575592,IF(_xll.EVGET($B$1,$B$3,$B$5,$B$6,$B$7,$B$9,AA$16,AA$17,AA$18,$G133)="#NODATA","",_xll.EVGET($B$1,$B$3,$B$5,$B$6,$B$7,$B$9,AA$16,AA$17,AA$18,$G133)))</f>
        <v>2.0264116575592E-2</v>
      </c>
      <c r="AC133" s="140"/>
      <c r="AD133" s="328">
        <v>193.690289059641</v>
      </c>
      <c r="AE133" s="330">
        <f>IF(_epmOfflineCondition_,0.0565697963238947,IF(_xll.EVGET($B$1,$B$3,$B$5,$B$6,$B$7,$B$9,AD$16,AD$17,AD$18,$G133)="#NODATA","",_xll.EVGET($B$1,$B$3,$B$5,$B$6,$B$7,$B$9,AD$16,AD$17,AD$18,$G133)))</f>
        <v>5.6569796323894701E-2</v>
      </c>
      <c r="AF133" s="331">
        <f t="shared" si="15"/>
        <v>-21.65022777261342</v>
      </c>
      <c r="AG133" s="328">
        <v>169.60547756041399</v>
      </c>
      <c r="AH133" s="330">
        <f>IF(_epmOfflineCondition_,0.0360730593607306,IF(_xll.EVGET($B$1,$B$3,$B$5,$B$6,$B$7,$B$9,AG$16,AG$17,AG$18,$G133)="#NODATA","",_xll.EVGET($B$1,$B$3,$B$5,$B$6,$B$7,$B$9,AG$16,AG$17,AG$18,$G133)))</f>
        <v>3.6073059360730603E-2</v>
      </c>
      <c r="AI133" s="332">
        <f t="shared" si="16"/>
        <v>2.4345837266135959</v>
      </c>
    </row>
    <row r="134" spans="1:35" x14ac:dyDescent="0.35">
      <c r="A134" s="11"/>
      <c r="B134" s="11"/>
      <c r="C134" s="11"/>
      <c r="D134" s="11"/>
      <c r="E134" s="11"/>
      <c r="F134" s="11"/>
      <c r="G134" s="267" t="str">
        <f t="shared" si="13"/>
        <v>OCC_QUDI</v>
      </c>
      <c r="H134" s="88" t="s">
        <v>205</v>
      </c>
      <c r="I134" s="104" t="str">
        <f>IF(_epmOfflineCondition_,"N",_xll.EVPRO($B$1,$H134,"STYLE"))</f>
        <v>N</v>
      </c>
      <c r="J134" s="104" t="str">
        <f>IF(_epmOfflineCondition_,"Y",_xll.EVPRO($B$1,$H134,"CALC"))</f>
        <v>Y</v>
      </c>
      <c r="K134" s="11"/>
      <c r="L134" s="104" t="str">
        <f>IF(_epmOfflineCondition_,"",_xll.EVPRO($B$1,H134,"JDEID"))</f>
        <v/>
      </c>
      <c r="M134" s="90" t="str">
        <f>IF(_epmOfflineCondition_,"",IF(AND(I134="N",J134="N"),_xll.EVPRO($B$1,H134,"PSFTID"),""))</f>
        <v/>
      </c>
      <c r="N134" s="104" t="str">
        <f>IF(_epmOfflineCondition_,"Qualified",IF(_xll.EVDES(H134,$B$1)="#NODATA","",_xll.EVDES(H134,$B$1)))</f>
        <v>Qualified</v>
      </c>
      <c r="O134" s="333">
        <v>200.88693877551</v>
      </c>
      <c r="P134" s="334">
        <v>203.16482517482501</v>
      </c>
      <c r="Q134" s="334">
        <v>178.93419354838699</v>
      </c>
      <c r="R134" s="334"/>
      <c r="S134" s="334"/>
      <c r="T134" s="334">
        <v>87.056896551724094</v>
      </c>
      <c r="U134" s="334">
        <v>98.2395833333333</v>
      </c>
      <c r="V134" s="334">
        <v>96.3</v>
      </c>
      <c r="W134" s="334">
        <v>118.854838709677</v>
      </c>
      <c r="X134" s="334">
        <v>139.107058823529</v>
      </c>
      <c r="Y134" s="334">
        <v>132.871698113208</v>
      </c>
      <c r="Z134" s="334">
        <v>133.63461538461499</v>
      </c>
      <c r="AA134" s="334">
        <f t="shared" si="14"/>
        <v>161.1982697947214</v>
      </c>
      <c r="AB134" s="335">
        <f>IF(_epmOfflineCondition_,0.0141165755919854,IF(_xll.EVGET($B$1,$B$3,$B$5,$B$6,$B$7,$B$9,AA$16,AA$17,AA$18,$G134)="#NODATA","",_xll.EVGET($B$1,$B$3,$B$5,$B$6,$B$7,$B$9,AA$16,AA$17,AA$18,$G134)))</f>
        <v>1.4116575591985399E-2</v>
      </c>
      <c r="AC134" s="140"/>
      <c r="AD134" s="333">
        <v>203.63784924623101</v>
      </c>
      <c r="AE134" s="335">
        <f>IF(_epmOfflineCondition_,0.041190594469283,IF(_xll.EVGET($B$1,$B$3,$B$5,$B$6,$B$7,$B$9,AD$16,AD$17,AD$18,$G134)="#NODATA","",_xll.EVGET($B$1,$B$3,$B$5,$B$6,$B$7,$B$9,AD$16,AD$17,AD$18,$G134)))</f>
        <v>4.1190594469282998E-2</v>
      </c>
      <c r="AF134" s="336">
        <f t="shared" si="15"/>
        <v>-42.439579451509616</v>
      </c>
      <c r="AG134" s="333">
        <v>165.183908375089</v>
      </c>
      <c r="AH134" s="335">
        <f>IF(_epmOfflineCondition_,0.0289954337899543,IF(_xll.EVGET($B$1,$B$3,$B$5,$B$6,$B$7,$B$9,AG$16,AG$17,AG$18,$G134)="#NODATA","",_xll.EVGET($B$1,$B$3,$B$5,$B$6,$B$7,$B$9,AG$16,AG$17,AG$18,$G134)))</f>
        <v>2.8995433789954301E-2</v>
      </c>
      <c r="AI134" s="337">
        <f t="shared" si="16"/>
        <v>-3.9856385803676062</v>
      </c>
    </row>
    <row r="135" spans="1:35" x14ac:dyDescent="0.35">
      <c r="A135" s="11"/>
      <c r="B135" s="11"/>
      <c r="C135" s="11"/>
      <c r="D135" s="11"/>
      <c r="E135" s="11"/>
      <c r="F135" s="11"/>
      <c r="G135" s="267" t="str">
        <f t="shared" si="13"/>
        <v>OCC_TGOV</v>
      </c>
      <c r="H135" s="88" t="s">
        <v>206</v>
      </c>
      <c r="I135" s="104" t="str">
        <f>IF(_epmOfflineCondition_,"N",_xll.EVPRO($B$1,$H135,"STYLE"))</f>
        <v>N</v>
      </c>
      <c r="J135" s="104" t="str">
        <f>IF(_epmOfflineCondition_,"Y",_xll.EVPRO($B$1,$H135,"CALC"))</f>
        <v>Y</v>
      </c>
      <c r="K135" s="11"/>
      <c r="L135" s="104" t="str">
        <f>IF(_epmOfflineCondition_,"",_xll.EVPRO($B$1,H135,"JDEID"))</f>
        <v/>
      </c>
      <c r="M135" s="90" t="str">
        <f>IF(_epmOfflineCondition_,"",IF(AND(I135="N",J135="N"),_xll.EVPRO($B$1,H135,"PSFTID"),""))</f>
        <v/>
      </c>
      <c r="N135" s="104" t="str">
        <f>IF(_epmOfflineCondition_,"Government",IF(_xll.EVDES(H135,$B$1)="#NODATA","",_xll.EVDES(H135,$B$1)))</f>
        <v>Government</v>
      </c>
      <c r="O135" s="333">
        <v>196.164383561644</v>
      </c>
      <c r="P135" s="334">
        <v>210.46666666666701</v>
      </c>
      <c r="Q135" s="334">
        <v>217.941176470588</v>
      </c>
      <c r="R135" s="334"/>
      <c r="S135" s="334"/>
      <c r="T135" s="334">
        <v>104.454545454545</v>
      </c>
      <c r="U135" s="334">
        <v>119</v>
      </c>
      <c r="V135" s="334"/>
      <c r="W135" s="334"/>
      <c r="X135" s="334">
        <v>127</v>
      </c>
      <c r="Y135" s="334">
        <v>127</v>
      </c>
      <c r="Z135" s="334">
        <v>192</v>
      </c>
      <c r="AA135" s="334">
        <f t="shared" si="14"/>
        <v>196.93602693602693</v>
      </c>
      <c r="AB135" s="335">
        <f>IF(_epmOfflineCondition_,0.00614754098360656,IF(_xll.EVGET($B$1,$B$3,$B$5,$B$6,$B$7,$B$9,AA$16,AA$17,AA$18,$G135)="#NODATA","",_xll.EVGET($B$1,$B$3,$B$5,$B$6,$B$7,$B$9,AA$16,AA$17,AA$18,$G135)))</f>
        <v>6.1475409836065599E-3</v>
      </c>
      <c r="AC135" s="140"/>
      <c r="AD135" s="333">
        <v>167.047429340511</v>
      </c>
      <c r="AE135" s="335">
        <f>IF(_epmOfflineCondition_,0.0153792018546117,IF(_xll.EVGET($B$1,$B$3,$B$5,$B$6,$B$7,$B$9,AD$16,AD$17,AD$18,$G135)="#NODATA","",_xll.EVGET($B$1,$B$3,$B$5,$B$6,$B$7,$B$9,AD$16,AD$17,AD$18,$G135)))</f>
        <v>1.5379201854611699E-2</v>
      </c>
      <c r="AF135" s="336">
        <f t="shared" si="15"/>
        <v>29.888597595515932</v>
      </c>
      <c r="AG135" s="333">
        <v>187.71964809384201</v>
      </c>
      <c r="AH135" s="335">
        <f>IF(_epmOfflineCondition_,0.00707762557077626,IF(_xll.EVGET($B$1,$B$3,$B$5,$B$6,$B$7,$B$9,AG$16,AG$17,AG$18,$G135)="#NODATA","",_xll.EVGET($B$1,$B$3,$B$5,$B$6,$B$7,$B$9,AG$16,AG$17,AG$18,$G135)))</f>
        <v>7.0776255707762602E-3</v>
      </c>
      <c r="AI135" s="337">
        <f t="shared" si="16"/>
        <v>9.2163788421849233</v>
      </c>
    </row>
    <row r="136" spans="1:35" x14ac:dyDescent="0.35">
      <c r="A136" s="11"/>
      <c r="B136" s="11"/>
      <c r="C136" s="11"/>
      <c r="D136" s="11"/>
      <c r="E136" s="11"/>
      <c r="F136" s="11"/>
      <c r="G136" s="265" t="str">
        <f t="shared" si="13"/>
        <v>OCC_WHOL</v>
      </c>
      <c r="H136" s="88" t="s">
        <v>207</v>
      </c>
      <c r="I136" s="89" t="str">
        <f>IF(_epmOfflineCondition_,"T3",_xll.EVPRO($B$1,$H136,"STYLE"))</f>
        <v>T3</v>
      </c>
      <c r="J136" s="89" t="str">
        <f>IF(_epmOfflineCondition_,"Y",_xll.EVPRO($B$1,$H136,"CALC"))</f>
        <v>Y</v>
      </c>
      <c r="K136" s="11"/>
      <c r="L136" s="106" t="str">
        <f>IF(_epmOfflineCondition_,"",_xll.EVPRO($B$1,H136,"JDEID"))</f>
        <v/>
      </c>
      <c r="M136" s="90" t="str">
        <f>IF(_epmOfflineCondition_,"",IF(AND(I136="N",J136="N"),_xll.EVPRO($B$1,H136,"PSFTID"),""))</f>
        <v/>
      </c>
      <c r="N136" s="106" t="str">
        <f>IF(_epmOfflineCondition_,"Wholesale",IF(_xll.EVDES(H136,$B$1)="#NODATA","",_xll.EVDES(H136,$B$1)))</f>
        <v>Wholesale</v>
      </c>
      <c r="O136" s="338">
        <v>197.91795833333299</v>
      </c>
      <c r="P136" s="339">
        <v>261.989739130435</v>
      </c>
      <c r="Q136" s="339">
        <v>110.881041666667</v>
      </c>
      <c r="R136" s="339"/>
      <c r="S136" s="339"/>
      <c r="T136" s="339">
        <v>97.903846153846203</v>
      </c>
      <c r="U136" s="339">
        <v>106.34228571428601</v>
      </c>
      <c r="V136" s="339">
        <v>101</v>
      </c>
      <c r="W136" s="339">
        <v>106.58928571428601</v>
      </c>
      <c r="X136" s="339">
        <v>117.913636363636</v>
      </c>
      <c r="Y136" s="339">
        <v>97.142857142857096</v>
      </c>
      <c r="Z136" s="339">
        <v>114.729565217391</v>
      </c>
      <c r="AA136" s="339">
        <f t="shared" si="14"/>
        <v>174.31898839137645</v>
      </c>
      <c r="AB136" s="340">
        <f>IF(_epmOfflineCondition_,0.0124813710879285,IF(_xll.EVGET($B$1,$B$3,$B$5,$B$6,$B$7,$B$9,AA$16,AA$17,AA$18,$G136)="#NODATA","",_xll.EVGET($B$1,$B$3,$B$5,$B$6,$B$7,$B$9,AA$16,AA$17,AA$18,$G136)))</f>
        <v>1.2481371087928499E-2</v>
      </c>
      <c r="AC136" s="140"/>
      <c r="AD136" s="338">
        <v>141.64501305483</v>
      </c>
      <c r="AE136" s="340">
        <f>IF(_epmOfflineCondition_,0.0951316443119722,IF(_xll.EVGET($B$1,$B$3,$B$5,$B$6,$B$7,$B$9,AD$16,AD$17,AD$18,$G136)="#NODATA","",_xll.EVGET($B$1,$B$3,$B$5,$B$6,$B$7,$B$9,AD$16,AD$17,AD$18,$G136)))</f>
        <v>9.5131644311972199E-2</v>
      </c>
      <c r="AF136" s="341">
        <f t="shared" si="15"/>
        <v>32.673975336546448</v>
      </c>
      <c r="AG136" s="338">
        <v>154.27906879414101</v>
      </c>
      <c r="AH136" s="340">
        <f>IF(_epmOfflineCondition_,0.0793482772934828,IF(_xll.EVGET($B$1,$B$3,$B$5,$B$6,$B$7,$B$9,AG$16,AG$17,AG$18,$G136)="#NODATA","",_xll.EVGET($B$1,$B$3,$B$5,$B$6,$B$7,$B$9,AG$16,AG$17,AG$18,$G136)))</f>
        <v>7.9348277293482802E-2</v>
      </c>
      <c r="AI136" s="342">
        <f t="shared" si="16"/>
        <v>20.039919597235439</v>
      </c>
    </row>
    <row r="137" spans="1:35" x14ac:dyDescent="0.35">
      <c r="A137" s="11"/>
      <c r="B137" s="11"/>
      <c r="C137" s="11"/>
      <c r="D137" s="11"/>
      <c r="E137" s="11"/>
      <c r="F137" s="11"/>
      <c r="G137" s="265" t="str">
        <f t="shared" si="13"/>
        <v>OCC_INDT</v>
      </c>
      <c r="H137" s="88" t="s">
        <v>177</v>
      </c>
      <c r="I137" s="89" t="str">
        <f>IF(_epmOfflineCondition_,"T2",_xll.EVPRO($B$1,$H137,"STYLE"))</f>
        <v>T2</v>
      </c>
      <c r="J137" s="89" t="str">
        <f>IF(_epmOfflineCondition_,"Y",_xll.EVPRO($B$1,$H137,"CALC"))</f>
        <v>Y</v>
      </c>
      <c r="K137" s="11"/>
      <c r="L137" s="106" t="str">
        <f>IF(_epmOfflineCondition_,"",_xll.EVPRO($B$1,H137,"JDEID"))</f>
        <v/>
      </c>
      <c r="M137" s="90" t="str">
        <f>IF(_epmOfflineCondition_,"",IF(AND(I137="N",J137="N"),_xll.EVPRO($B$1,H137,"PSFTID"),""))</f>
        <v/>
      </c>
      <c r="N137" s="106" t="str">
        <f>IF(_epmOfflineCondition_,"Total Transient ADR",IF(_xll.EVDES(H137,$B$1)="#NODATA","",_xll.EVDES(H137,$B$1)))</f>
        <v>Total Transient ADR</v>
      </c>
      <c r="O137" s="343">
        <v>276.32175949833999</v>
      </c>
      <c r="P137" s="344">
        <v>329.144241654572</v>
      </c>
      <c r="Q137" s="344">
        <v>220.79959234095099</v>
      </c>
      <c r="R137" s="344"/>
      <c r="S137" s="344"/>
      <c r="T137" s="344">
        <v>123.705682451253</v>
      </c>
      <c r="U137" s="344">
        <v>130.82565298507501</v>
      </c>
      <c r="V137" s="344">
        <v>106.413043062201</v>
      </c>
      <c r="W137" s="344">
        <v>109.071624068158</v>
      </c>
      <c r="X137" s="344">
        <v>114.77707085116501</v>
      </c>
      <c r="Y137" s="344">
        <v>121.699324055666</v>
      </c>
      <c r="Z137" s="344">
        <v>159.050297345133</v>
      </c>
      <c r="AA137" s="344">
        <f t="shared" si="14"/>
        <v>187.43692468274463</v>
      </c>
      <c r="AB137" s="345">
        <f>IF(_epmOfflineCondition_,0.376780096042391,IF(_xll.EVGET($B$1,$B$3,$B$5,$B$6,$B$7,$B$9,AA$16,AA$17,AA$18,$G137)="#NODATA","",_xll.EVGET($B$1,$B$3,$B$5,$B$6,$B$7,$B$9,AA$16,AA$17,AA$18,$G137)))</f>
        <v>0.37678009604239099</v>
      </c>
      <c r="AC137" s="140"/>
      <c r="AD137" s="343">
        <v>214.72914342211701</v>
      </c>
      <c r="AE137" s="345">
        <f>IF(_epmOfflineCondition_,0.690863553568472,IF(_xll.EVGET($B$1,$B$3,$B$5,$B$6,$B$7,$B$9,AD$16,AD$17,AD$18,$G137)="#NODATA","",_xll.EVGET($B$1,$B$3,$B$5,$B$6,$B$7,$B$9,AD$16,AD$17,AD$18,$G137)))</f>
        <v>0.69086355356847196</v>
      </c>
      <c r="AF137" s="346">
        <f t="shared" si="15"/>
        <v>-27.292218739372373</v>
      </c>
      <c r="AG137" s="343">
        <v>192.90988795327999</v>
      </c>
      <c r="AH137" s="345">
        <f>IF(_epmOfflineCondition_,0.61129099211291,IF(_xll.EVGET($B$1,$B$3,$B$5,$B$6,$B$7,$B$9,AG$16,AG$17,AG$18,$G137)="#NODATA","",_xll.EVGET($B$1,$B$3,$B$5,$B$6,$B$7,$B$9,AG$16,AG$17,AG$18,$G137)))</f>
        <v>0.61129099211291005</v>
      </c>
      <c r="AI137" s="347">
        <f t="shared" si="16"/>
        <v>-5.4729632705353595</v>
      </c>
    </row>
    <row r="138" spans="1:35" x14ac:dyDescent="0.35">
      <c r="A138" s="11"/>
      <c r="B138" s="11"/>
      <c r="C138" s="11"/>
      <c r="D138" s="11"/>
      <c r="E138" s="11"/>
      <c r="F138" s="11"/>
      <c r="G138" s="267" t="str">
        <f t="shared" si="13"/>
        <v>OCCNKROW</v>
      </c>
      <c r="H138" s="88" t="s">
        <v>175</v>
      </c>
      <c r="I138" s="104" t="str">
        <f>IF(_epmOfflineCondition_,"B1",_xll.EVPRO($B$1,$H138,"STYLE"))</f>
        <v>B1</v>
      </c>
      <c r="J138" s="104" t="str">
        <f>IF(_epmOfflineCondition_,"Y",_xll.EVPRO($B$1,$H138,"CALC"))</f>
        <v>Y</v>
      </c>
      <c r="K138" s="11"/>
      <c r="L138" s="104" t="str">
        <f>IF(_epmOfflineCondition_,"",_xll.EVPRO($B$1,H138,"JDEID"))</f>
        <v/>
      </c>
      <c r="M138" s="90" t="str">
        <f>IF(_epmOfflineCondition_,"",IF(AND(I138="N",J138="N"),_xll.EVPRO($B$1,H138,"PSFTID"),""))</f>
        <v/>
      </c>
      <c r="N138" s="104" t="str">
        <f>IF(_epmOfflineCondition_,"BLANKROW",IF(_xll.EVDES(H138,$B$1)="#NODATA","",_xll.EVDES(H138,$B$1)))</f>
        <v>BLANKROW</v>
      </c>
      <c r="O138" s="348"/>
      <c r="P138" s="349"/>
      <c r="Q138" s="349"/>
      <c r="R138" s="349"/>
      <c r="S138" s="349"/>
      <c r="T138" s="349"/>
      <c r="U138" s="349"/>
      <c r="V138" s="349"/>
      <c r="W138" s="349"/>
      <c r="X138" s="349"/>
      <c r="Y138" s="349"/>
      <c r="Z138" s="349"/>
      <c r="AA138" s="349">
        <f t="shared" si="14"/>
        <v>0</v>
      </c>
      <c r="AB138" s="350" t="str">
        <f>IF(_epmOfflineCondition_,"",IF(_xll.EVGET($B$1,$B$3,$B$5,$B$6,$B$7,$B$9,AA$16,AA$17,AA$18,$G138)="#NODATA","",_xll.EVGET($B$1,$B$3,$B$5,$B$6,$B$7,$B$9,AA$16,AA$17,AA$18,$G138)))</f>
        <v/>
      </c>
      <c r="AC138" s="140"/>
      <c r="AD138" s="348"/>
      <c r="AE138" s="350" t="str">
        <f>IF(_epmOfflineCondition_,"",IF(_xll.EVGET($B$1,$B$3,$B$5,$B$6,$B$7,$B$9,AD$16,AD$17,AD$18,$G138)="#NODATA","",_xll.EVGET($B$1,$B$3,$B$5,$B$6,$B$7,$B$9,AD$16,AD$17,AD$18,$G138)))</f>
        <v/>
      </c>
      <c r="AF138" s="351">
        <f t="shared" si="15"/>
        <v>0</v>
      </c>
      <c r="AG138" s="348"/>
      <c r="AH138" s="350" t="str">
        <f>IF(_epmOfflineCondition_,"",IF(_xll.EVGET($B$1,$B$3,$B$5,$B$6,$B$7,$B$9,AG$16,AG$17,AG$18,$G138)="#NODATA","",_xll.EVGET($B$1,$B$3,$B$5,$B$6,$B$7,$B$9,AG$16,AG$17,AG$18,$G138)))</f>
        <v/>
      </c>
      <c r="AI138" s="352">
        <f t="shared" si="16"/>
        <v>0</v>
      </c>
    </row>
    <row r="139" spans="1:35" x14ac:dyDescent="0.35">
      <c r="A139" s="11"/>
      <c r="B139" s="11"/>
      <c r="C139" s="11"/>
      <c r="D139" s="11"/>
      <c r="E139" s="11"/>
      <c r="F139" s="11"/>
      <c r="G139" s="265" t="str">
        <f t="shared" si="13"/>
        <v>OCC_CORPT</v>
      </c>
      <c r="H139" s="88" t="s">
        <v>179</v>
      </c>
      <c r="I139" s="89" t="str">
        <f>IF(_epmOfflineCondition_,"T3",_xll.EVPRO($B$1,$H139,"STYLE"))</f>
        <v>T3</v>
      </c>
      <c r="J139" s="89" t="str">
        <f>IF(_epmOfflineCondition_,"Y",_xll.EVPRO($B$1,$H139,"CALC"))</f>
        <v>Y</v>
      </c>
      <c r="K139" s="11"/>
      <c r="L139" s="106" t="str">
        <f>IF(_epmOfflineCondition_,"",_xll.EVPRO($B$1,H139,"JDEID"))</f>
        <v/>
      </c>
      <c r="M139" s="90" t="str">
        <f>IF(_epmOfflineCondition_,"",IF(AND(I139="N",J139="N"),_xll.EVPRO($B$1,H139,"PSFTID"),""))</f>
        <v/>
      </c>
      <c r="N139" s="106" t="str">
        <f>IF(_epmOfflineCondition_,"Corporate",IF(_xll.EVDES(H139,$B$1)="#NODATA","",_xll.EVDES(H139,$B$1)))</f>
        <v>Corporate</v>
      </c>
      <c r="O139" s="328">
        <v>284.76143790849699</v>
      </c>
      <c r="P139" s="329">
        <v>279.512304250559</v>
      </c>
      <c r="Q139" s="329">
        <v>259</v>
      </c>
      <c r="R139" s="329"/>
      <c r="S139" s="329"/>
      <c r="T139" s="329"/>
      <c r="U139" s="329"/>
      <c r="V139" s="329"/>
      <c r="W139" s="329"/>
      <c r="X139" s="329"/>
      <c r="Y139" s="329">
        <v>95</v>
      </c>
      <c r="Z139" s="329">
        <v>252.777777777778</v>
      </c>
      <c r="AA139" s="329">
        <f t="shared" si="14"/>
        <v>277.21464646464648</v>
      </c>
      <c r="AB139" s="330">
        <f>IF(_epmOfflineCondition_,0.0245901639344262,IF(_xll.EVGET($B$1,$B$3,$B$5,$B$6,$B$7,$B$9,AA$16,AA$17,AA$18,$G139)="#NODATA","",_xll.EVGET($B$1,$B$3,$B$5,$B$6,$B$7,$B$9,AA$16,AA$17,AA$18,$G139)))</f>
        <v>2.4590163934426201E-2</v>
      </c>
      <c r="AC139" s="140"/>
      <c r="AD139" s="328">
        <v>225.35525260029701</v>
      </c>
      <c r="AE139" s="330">
        <f>IF(_epmOfflineCondition_,0.0557211458850803,IF(_xll.EVGET($B$1,$B$3,$B$5,$B$6,$B$7,$B$9,AD$16,AD$17,AD$18,$G139)="#NODATA","",_xll.EVGET($B$1,$B$3,$B$5,$B$6,$B$7,$B$9,AD$16,AD$17,AD$18,$G139)))</f>
        <v>5.57211458850803E-2</v>
      </c>
      <c r="AF139" s="331">
        <f t="shared" si="15"/>
        <v>51.859393864349471</v>
      </c>
      <c r="AG139" s="328">
        <v>205.31568003913901</v>
      </c>
      <c r="AH139" s="330">
        <f>IF(_epmOfflineCondition_,0.0424242424242424,IF(_xll.EVGET($B$1,$B$3,$B$5,$B$6,$B$7,$B$9,AG$16,AG$17,AG$18,$G139)="#NODATA","",_xll.EVGET($B$1,$B$3,$B$5,$B$6,$B$7,$B$9,AG$16,AG$17,AG$18,$G139)))</f>
        <v>4.2424242424242399E-2</v>
      </c>
      <c r="AI139" s="332">
        <f t="shared" si="16"/>
        <v>71.898966425507467</v>
      </c>
    </row>
    <row r="140" spans="1:35" x14ac:dyDescent="0.35">
      <c r="A140" s="11"/>
      <c r="B140" s="11"/>
      <c r="C140" s="11"/>
      <c r="D140" s="11"/>
      <c r="E140" s="11"/>
      <c r="F140" s="11"/>
      <c r="G140" s="267" t="str">
        <f t="shared" si="13"/>
        <v>OCC_CORP</v>
      </c>
      <c r="H140" s="88" t="s">
        <v>180</v>
      </c>
      <c r="I140" s="104" t="str">
        <f>IF(_epmOfflineCondition_,"N",_xll.EVPRO($B$1,$H140,"STYLE"))</f>
        <v>N</v>
      </c>
      <c r="J140" s="104" t="str">
        <f>IF(_epmOfflineCondition_,"Y",_xll.EVPRO($B$1,$H140,"CALC"))</f>
        <v>Y</v>
      </c>
      <c r="K140" s="11"/>
      <c r="L140" s="104" t="str">
        <f>IF(_epmOfflineCondition_,"",_xll.EVPRO($B$1,H140,"JDEID"))</f>
        <v/>
      </c>
      <c r="M140" s="90" t="str">
        <f>IF(_epmOfflineCondition_,"",IF(AND(I140="N",J140="N"),_xll.EVPRO($B$1,H140,"PSFTID"),""))</f>
        <v/>
      </c>
      <c r="N140" s="104" t="str">
        <f>IF(_epmOfflineCondition_,"Corporate",IF(_xll.EVDES(H140,$B$1)="#NODATA","",_xll.EVDES(H140,$B$1)))</f>
        <v>Corporate</v>
      </c>
      <c r="O140" s="333">
        <v>308.7</v>
      </c>
      <c r="P140" s="334">
        <v>257.465986394558</v>
      </c>
      <c r="Q140" s="334">
        <v>259</v>
      </c>
      <c r="R140" s="334"/>
      <c r="S140" s="334"/>
      <c r="T140" s="334"/>
      <c r="U140" s="334"/>
      <c r="V140" s="334"/>
      <c r="W140" s="334"/>
      <c r="X140" s="334"/>
      <c r="Y140" s="334">
        <v>95</v>
      </c>
      <c r="Z140" s="334"/>
      <c r="AA140" s="334">
        <f t="shared" si="14"/>
        <v>272.33009708737865</v>
      </c>
      <c r="AB140" s="335">
        <f>IF(_epmOfflineCondition_,0.0106598774631562,IF(_xll.EVGET($B$1,$B$3,$B$5,$B$6,$B$7,$B$9,AA$16,AA$17,AA$18,$G140)="#NODATA","",_xll.EVGET($B$1,$B$3,$B$5,$B$6,$B$7,$B$9,AA$16,AA$17,AA$18,$G140)))</f>
        <v>1.0659877463156201E-2</v>
      </c>
      <c r="AC140" s="140"/>
      <c r="AD140" s="333">
        <v>214.215071350165</v>
      </c>
      <c r="AE140" s="335">
        <f>IF(_epmOfflineCondition_,0.0377131975492631,IF(_xll.EVGET($B$1,$B$3,$B$5,$B$6,$B$7,$B$9,AD$16,AD$17,AD$18,$G140)="#NODATA","",_xll.EVGET($B$1,$B$3,$B$5,$B$6,$B$7,$B$9,AD$16,AD$17,AD$18,$G140)))</f>
        <v>3.7713197549263097E-2</v>
      </c>
      <c r="AF140" s="336">
        <f t="shared" si="15"/>
        <v>58.115025737213642</v>
      </c>
      <c r="AG140" s="333">
        <v>205.67663257277701</v>
      </c>
      <c r="AH140" s="335">
        <f>IF(_epmOfflineCondition_,0.0263802407638024,IF(_xll.EVGET($B$1,$B$3,$B$5,$B$6,$B$7,$B$9,AG$16,AG$17,AG$18,$G140)="#NODATA","",_xll.EVGET($B$1,$B$3,$B$5,$B$6,$B$7,$B$9,AG$16,AG$17,AG$18,$G140)))</f>
        <v>2.6380240763802399E-2</v>
      </c>
      <c r="AI140" s="337">
        <f t="shared" si="16"/>
        <v>66.653464514601637</v>
      </c>
    </row>
    <row r="141" spans="1:35" x14ac:dyDescent="0.35">
      <c r="A141" s="11"/>
      <c r="B141" s="11"/>
      <c r="C141" s="11"/>
      <c r="D141" s="11"/>
      <c r="E141" s="11"/>
      <c r="F141" s="11"/>
      <c r="G141" s="267" t="str">
        <f t="shared" si="13"/>
        <v>OCC_ENTR</v>
      </c>
      <c r="H141" s="88" t="s">
        <v>181</v>
      </c>
      <c r="I141" s="104" t="str">
        <f>IF(_epmOfflineCondition_,"N",_xll.EVPRO($B$1,$H141,"STYLE"))</f>
        <v>N</v>
      </c>
      <c r="J141" s="104" t="str">
        <f>IF(_epmOfflineCondition_,"Y",_xll.EVPRO($B$1,$H141,"CALC"))</f>
        <v>Y</v>
      </c>
      <c r="K141" s="11"/>
      <c r="L141" s="104" t="str">
        <f>IF(_epmOfflineCondition_,"",_xll.EVPRO($B$1,H141,"JDEID"))</f>
        <v/>
      </c>
      <c r="M141" s="90" t="str">
        <f>IF(_epmOfflineCondition_,"",IF(AND(I141="N",J141="N"),_xll.EVPRO($B$1,H141,"PSFTID"),""))</f>
        <v/>
      </c>
      <c r="N141" s="104" t="str">
        <f>IF(_epmOfflineCondition_,"Entertainment/Sports",IF(_xll.EVDES(H141,$B$1)="#NODATA","",_xll.EVDES(H141,$B$1)))</f>
        <v>Entertainment/Sports</v>
      </c>
      <c r="O141" s="333">
        <v>273.140776699029</v>
      </c>
      <c r="P141" s="334">
        <v>321.87581699346401</v>
      </c>
      <c r="Q141" s="334"/>
      <c r="R141" s="334"/>
      <c r="S141" s="334"/>
      <c r="T141" s="334"/>
      <c r="U141" s="334"/>
      <c r="V141" s="334"/>
      <c r="W141" s="334"/>
      <c r="X141" s="334"/>
      <c r="Y141" s="334"/>
      <c r="Z141" s="334">
        <v>252.777777777778</v>
      </c>
      <c r="AA141" s="334">
        <f t="shared" si="14"/>
        <v>280.95245170876672</v>
      </c>
      <c r="AB141" s="335">
        <f>IF(_epmOfflineCondition_,0.0139302864712701,IF(_xll.EVGET($B$1,$B$3,$B$5,$B$6,$B$7,$B$9,AA$16,AA$17,AA$18,$G141)="#NODATA","",_xll.EVGET($B$1,$B$3,$B$5,$B$6,$B$7,$B$9,AA$16,AA$17,AA$18,$G141)))</f>
        <v>1.3930286471270099E-2</v>
      </c>
      <c r="AC141" s="140"/>
      <c r="AD141" s="333">
        <v>248.68560919540201</v>
      </c>
      <c r="AE141" s="335">
        <f>IF(_epmOfflineCondition_,0.0180079483358172,IF(_xll.EVGET($B$1,$B$3,$B$5,$B$6,$B$7,$B$9,AD$16,AD$17,AD$18,$G141)="#NODATA","",_xll.EVGET($B$1,$B$3,$B$5,$B$6,$B$7,$B$9,AD$16,AD$17,AD$18,$G141)))</f>
        <v>1.80079483358172E-2</v>
      </c>
      <c r="AF141" s="336">
        <f t="shared" si="15"/>
        <v>32.266842513364708</v>
      </c>
      <c r="AG141" s="333">
        <v>204.72218628719301</v>
      </c>
      <c r="AH141" s="335">
        <f>IF(_epmOfflineCondition_,0.01604400166044,IF(_xll.EVGET($B$1,$B$3,$B$5,$B$6,$B$7,$B$9,AG$16,AG$17,AG$18,$G141)="#NODATA","",_xll.EVGET($B$1,$B$3,$B$5,$B$6,$B$7,$B$9,AG$16,AG$17,AG$18,$G141)))</f>
        <v>1.604400166044E-2</v>
      </c>
      <c r="AI141" s="337">
        <f t="shared" si="16"/>
        <v>76.230265421573705</v>
      </c>
    </row>
    <row r="142" spans="1:35" x14ac:dyDescent="0.35">
      <c r="A142" s="11"/>
      <c r="B142" s="11"/>
      <c r="C142" s="11"/>
      <c r="D142" s="11"/>
      <c r="E142" s="11"/>
      <c r="F142" s="11"/>
      <c r="G142" s="265" t="str">
        <f t="shared" si="13"/>
        <v>OCC_ASSCN</v>
      </c>
      <c r="H142" s="88" t="s">
        <v>182</v>
      </c>
      <c r="I142" s="89" t="str">
        <f>IF(_epmOfflineCondition_,"T3",_xll.EVPRO($B$1,$H142,"STYLE"))</f>
        <v>T3</v>
      </c>
      <c r="J142" s="89" t="str">
        <f>IF(_epmOfflineCondition_,"Y",_xll.EVPRO($B$1,$H142,"CALC"))</f>
        <v>Y</v>
      </c>
      <c r="K142" s="11"/>
      <c r="L142" s="106" t="str">
        <f>IF(_epmOfflineCondition_,"",_xll.EVPRO($B$1,H142,"JDEID"))</f>
        <v/>
      </c>
      <c r="M142" s="90" t="str">
        <f>IF(_epmOfflineCondition_,"",IF(AND(I142="N",J142="N"),_xll.EVPRO($B$1,H142,"PSFTID"),""))</f>
        <v/>
      </c>
      <c r="N142" s="106" t="str">
        <f>IF(_epmOfflineCondition_,"Association/Convention",IF(_xll.EVDES(H142,$B$1)="#NODATA","",_xll.EVDES(H142,$B$1)))</f>
        <v>Association/Convention</v>
      </c>
      <c r="O142" s="328">
        <v>927.24242424242402</v>
      </c>
      <c r="P142" s="329">
        <v>1153.2809756097599</v>
      </c>
      <c r="Q142" s="329"/>
      <c r="R142" s="329"/>
      <c r="S142" s="329"/>
      <c r="T142" s="329"/>
      <c r="U142" s="329"/>
      <c r="V142" s="329"/>
      <c r="W142" s="329"/>
      <c r="X142" s="329"/>
      <c r="Y142" s="329"/>
      <c r="Z142" s="329"/>
      <c r="AA142" s="329">
        <f t="shared" si="14"/>
        <v>972.23067961165043</v>
      </c>
      <c r="AB142" s="330">
        <f>IF(_epmOfflineCondition_,0.00426395098526246,IF(_xll.EVGET($B$1,$B$3,$B$5,$B$6,$B$7,$B$9,AA$16,AA$17,AA$18,$G142)="#NODATA","",_xll.EVGET($B$1,$B$3,$B$5,$B$6,$B$7,$B$9,AA$16,AA$17,AA$18,$G142)))</f>
        <v>4.26395098526246E-3</v>
      </c>
      <c r="AC142" s="140"/>
      <c r="AD142" s="328">
        <v>544.73437403400305</v>
      </c>
      <c r="AE142" s="330">
        <f>IF(_epmOfflineCondition_,0.0133921179003146,IF(_xll.EVGET($B$1,$B$3,$B$5,$B$6,$B$7,$B$9,AD$16,AD$17,AD$18,$G142)="#NODATA","",_xll.EVGET($B$1,$B$3,$B$5,$B$6,$B$7,$B$9,AD$16,AD$17,AD$18,$G142)))</f>
        <v>1.3392117900314599E-2</v>
      </c>
      <c r="AF142" s="331">
        <f t="shared" si="15"/>
        <v>427.49630557764738</v>
      </c>
      <c r="AG142" s="328">
        <v>145.637628865979</v>
      </c>
      <c r="AH142" s="330">
        <f>IF(_epmOfflineCondition_,0.00805313408053134,IF(_xll.EVGET($B$1,$B$3,$B$5,$B$6,$B$7,$B$9,AG$16,AG$17,AG$18,$G142)="#NODATA","",_xll.EVGET($B$1,$B$3,$B$5,$B$6,$B$7,$B$9,AG$16,AG$17,AG$18,$G142)))</f>
        <v>8.0531340805313403E-3</v>
      </c>
      <c r="AI142" s="332">
        <f t="shared" si="16"/>
        <v>826.59305074567146</v>
      </c>
    </row>
    <row r="143" spans="1:35" x14ac:dyDescent="0.35">
      <c r="A143" s="11"/>
      <c r="B143" s="11"/>
      <c r="C143" s="11"/>
      <c r="D143" s="11"/>
      <c r="E143" s="11"/>
      <c r="F143" s="11"/>
      <c r="G143" s="267" t="str">
        <f t="shared" si="13"/>
        <v>OCC_ASSC</v>
      </c>
      <c r="H143" s="88" t="s">
        <v>183</v>
      </c>
      <c r="I143" s="104" t="str">
        <f>IF(_epmOfflineCondition_,"N",_xll.EVPRO($B$1,$H143,"STYLE"))</f>
        <v>N</v>
      </c>
      <c r="J143" s="104" t="str">
        <f>IF(_epmOfflineCondition_,"Y",_xll.EVPRO($B$1,$H143,"CALC"))</f>
        <v>Y</v>
      </c>
      <c r="K143" s="11"/>
      <c r="L143" s="104" t="str">
        <f>IF(_epmOfflineCondition_,"",_xll.EVPRO($B$1,H143,"JDEID"))</f>
        <v/>
      </c>
      <c r="M143" s="90" t="str">
        <f>IF(_epmOfflineCondition_,"",IF(AND(I143="N",J143="N"),_xll.EVPRO($B$1,H143,"PSFTID"),""))</f>
        <v/>
      </c>
      <c r="N143" s="104" t="str">
        <f>IF(_epmOfflineCondition_,"Association",IF(_xll.EVDES(H143,$B$1)="#NODATA","",_xll.EVDES(H143,$B$1)))</f>
        <v>Association</v>
      </c>
      <c r="O143" s="333">
        <v>227</v>
      </c>
      <c r="P143" s="334"/>
      <c r="Q143" s="334"/>
      <c r="R143" s="334"/>
      <c r="S143" s="334"/>
      <c r="T143" s="334"/>
      <c r="U143" s="334"/>
      <c r="V143" s="334"/>
      <c r="W143" s="334"/>
      <c r="X143" s="334"/>
      <c r="Y143" s="334"/>
      <c r="Z143" s="334"/>
      <c r="AA143" s="334">
        <f t="shared" si="14"/>
        <v>227</v>
      </c>
      <c r="AB143" s="335">
        <f>IF(_epmOfflineCondition_,0.000517469779764862,IF(_xll.EVGET($B$1,$B$3,$B$5,$B$6,$B$7,$B$9,AA$16,AA$17,AA$18,$G143)="#NODATA","",_xll.EVGET($B$1,$B$3,$B$5,$B$6,$B$7,$B$9,AA$16,AA$17,AA$18,$G143)))</f>
        <v>5.1746977976486195E-4</v>
      </c>
      <c r="AC143" s="140"/>
      <c r="AD143" s="333">
        <v>206.86516853932599</v>
      </c>
      <c r="AE143" s="335">
        <f>IF(_epmOfflineCondition_,0.00184219241596291,IF(_xll.EVGET($B$1,$B$3,$B$5,$B$6,$B$7,$B$9,AD$16,AD$17,AD$18,$G143)="#NODATA","",_xll.EVGET($B$1,$B$3,$B$5,$B$6,$B$7,$B$9,AD$16,AD$17,AD$18,$G143)))</f>
        <v>1.84219241596291E-3</v>
      </c>
      <c r="AF143" s="336">
        <f t="shared" si="15"/>
        <v>20.134831460674008</v>
      </c>
      <c r="AG143" s="333">
        <v>261</v>
      </c>
      <c r="AH143" s="335">
        <f>IF(_epmOfflineCondition_,0.00103777501037775,IF(_xll.EVGET($B$1,$B$3,$B$5,$B$6,$B$7,$B$9,AG$16,AG$17,AG$18,$G143)="#NODATA","",_xll.EVGET($B$1,$B$3,$B$5,$B$6,$B$7,$B$9,AG$16,AG$17,AG$18,$G143)))</f>
        <v>1.03777501037775E-3</v>
      </c>
      <c r="AI143" s="337">
        <f t="shared" si="16"/>
        <v>-34</v>
      </c>
    </row>
    <row r="144" spans="1:35" x14ac:dyDescent="0.35">
      <c r="A144" s="11"/>
      <c r="B144" s="11"/>
      <c r="C144" s="11"/>
      <c r="D144" s="11"/>
      <c r="E144" s="11"/>
      <c r="F144" s="11"/>
      <c r="G144" s="267" t="str">
        <f t="shared" si="13"/>
        <v>OCC_CONV</v>
      </c>
      <c r="H144" s="88" t="s">
        <v>184</v>
      </c>
      <c r="I144" s="104" t="str">
        <f>IF(_epmOfflineCondition_,"N",_xll.EVPRO($B$1,$H144,"STYLE"))</f>
        <v>N</v>
      </c>
      <c r="J144" s="104" t="str">
        <f>IF(_epmOfflineCondition_,"Y",_xll.EVPRO($B$1,$H144,"CALC"))</f>
        <v>Y</v>
      </c>
      <c r="K144" s="11"/>
      <c r="L144" s="104" t="str">
        <f>IF(_epmOfflineCondition_,"",_xll.EVPRO($B$1,H144,"JDEID"))</f>
        <v/>
      </c>
      <c r="M144" s="90" t="str">
        <f>IF(_epmOfflineCondition_,"",IF(AND(I144="N",J144="N"),_xll.EVPRO($B$1,H144,"PSFTID"),""))</f>
        <v/>
      </c>
      <c r="N144" s="104" t="str">
        <f>IF(_epmOfflineCondition_,"Convention",IF(_xll.EVDES(H144,$B$1)="#NODATA","",_xll.EVDES(H144,$B$1)))</f>
        <v>Convention</v>
      </c>
      <c r="O144" s="333">
        <v>1052.2857142857099</v>
      </c>
      <c r="P144" s="334">
        <v>1153.2809756097599</v>
      </c>
      <c r="Q144" s="334"/>
      <c r="R144" s="334"/>
      <c r="S144" s="334"/>
      <c r="T144" s="334"/>
      <c r="U144" s="334"/>
      <c r="V144" s="334"/>
      <c r="W144" s="334"/>
      <c r="X144" s="334"/>
      <c r="Y144" s="334"/>
      <c r="Z144" s="334"/>
      <c r="AA144" s="334">
        <f t="shared" si="14"/>
        <v>1075.1630939226518</v>
      </c>
      <c r="AB144" s="335">
        <f>IF(_epmOfflineCondition_,0.0037464812054976,IF(_xll.EVGET($B$1,$B$3,$B$5,$B$6,$B$7,$B$9,AA$16,AA$17,AA$18,$G144)="#NODATA","",_xll.EVGET($B$1,$B$3,$B$5,$B$6,$B$7,$B$9,AA$16,AA$17,AA$18,$G144)))</f>
        <v>3.7464812054976001E-3</v>
      </c>
      <c r="AC144" s="140"/>
      <c r="AD144" s="333">
        <v>598.62390681003603</v>
      </c>
      <c r="AE144" s="335">
        <f>IF(_epmOfflineCondition_,0.0115499254843517,IF(_xll.EVGET($B$1,$B$3,$B$5,$B$6,$B$7,$B$9,AD$16,AD$17,AD$18,$G144)="#NODATA","",_xll.EVGET($B$1,$B$3,$B$5,$B$6,$B$7,$B$9,AD$16,AD$17,AD$18,$G144)))</f>
        <v>1.15499254843517E-2</v>
      </c>
      <c r="AF144" s="336">
        <f t="shared" si="15"/>
        <v>476.53918711261576</v>
      </c>
      <c r="AG144" s="333">
        <v>128.57218934911199</v>
      </c>
      <c r="AH144" s="335">
        <f>IF(_epmOfflineCondition_,0.00701535907015359,IF(_xll.EVGET($B$1,$B$3,$B$5,$B$6,$B$7,$B$9,AG$16,AG$17,AG$18,$G144)="#NODATA","",_xll.EVGET($B$1,$B$3,$B$5,$B$6,$B$7,$B$9,AG$16,AG$17,AG$18,$G144)))</f>
        <v>7.0153590701535901E-3</v>
      </c>
      <c r="AI144" s="337">
        <f t="shared" si="16"/>
        <v>946.59090457353977</v>
      </c>
    </row>
    <row r="145" spans="1:35" x14ac:dyDescent="0.35">
      <c r="A145" s="11"/>
      <c r="B145" s="11"/>
      <c r="C145" s="11"/>
      <c r="D145" s="11"/>
      <c r="E145" s="11"/>
      <c r="F145" s="11"/>
      <c r="G145" s="265" t="str">
        <f t="shared" si="13"/>
        <v>OCC_GGOV</v>
      </c>
      <c r="H145" s="88" t="s">
        <v>185</v>
      </c>
      <c r="I145" s="89" t="str">
        <f>IF(_epmOfflineCondition_,"T3",_xll.EVPRO($B$1,$H145,"STYLE"))</f>
        <v>T3</v>
      </c>
      <c r="J145" s="89" t="str">
        <f>IF(_epmOfflineCondition_,"Y",_xll.EVPRO($B$1,$H145,"CALC"))</f>
        <v>Y</v>
      </c>
      <c r="K145" s="11"/>
      <c r="L145" s="106" t="str">
        <f>IF(_epmOfflineCondition_,"",_xll.EVPRO($B$1,H145,"JDEID"))</f>
        <v/>
      </c>
      <c r="M145" s="90" t="str">
        <f>IF(_epmOfflineCondition_,"",IF(AND(I145="N",J145="N"),_xll.EVPRO($B$1,H145,"PSFTID"),""))</f>
        <v/>
      </c>
      <c r="N145" s="106" t="str">
        <f>IF(_epmOfflineCondition_,"Government",IF(_xll.EVDES(H145,$B$1)="#NODATA","",_xll.EVDES(H145,$B$1)))</f>
        <v>Government</v>
      </c>
      <c r="O145" s="328">
        <v>190</v>
      </c>
      <c r="P145" s="329"/>
      <c r="Q145" s="329"/>
      <c r="R145" s="329"/>
      <c r="S145" s="329"/>
      <c r="T145" s="329"/>
      <c r="U145" s="329"/>
      <c r="V145" s="329"/>
      <c r="W145" s="329"/>
      <c r="X145" s="329"/>
      <c r="Y145" s="329"/>
      <c r="Z145" s="329"/>
      <c r="AA145" s="329">
        <f t="shared" si="14"/>
        <v>190</v>
      </c>
      <c r="AB145" s="330">
        <f>IF(_epmOfflineCondition_,0.000848650438814373,IF(_xll.EVGET($B$1,$B$3,$B$5,$B$6,$B$7,$B$9,AA$16,AA$17,AA$18,$G145)="#NODATA","",_xll.EVGET($B$1,$B$3,$B$5,$B$6,$B$7,$B$9,AA$16,AA$17,AA$18,$G145)))</f>
        <v>8.4865043881437302E-4</v>
      </c>
      <c r="AC145" s="140"/>
      <c r="AD145" s="328">
        <v>190</v>
      </c>
      <c r="AE145" s="330">
        <f>IF(_epmOfflineCondition_,0.000848650438814373,IF(_xll.EVGET($B$1,$B$3,$B$5,$B$6,$B$7,$B$9,AD$16,AD$17,AD$18,$G145)="#NODATA","",_xll.EVGET($B$1,$B$3,$B$5,$B$6,$B$7,$B$9,AD$16,AD$17,AD$18,$G145)))</f>
        <v>8.4865043881437302E-4</v>
      </c>
      <c r="AF145" s="331">
        <f t="shared" si="15"/>
        <v>0</v>
      </c>
      <c r="AG145" s="328"/>
      <c r="AH145" s="330">
        <f>IF(_epmOfflineCondition_,0,IF(_xll.EVGET($B$1,$B$3,$B$5,$B$6,$B$7,$B$9,AG$16,AG$17,AG$18,$G145)="#NODATA","",_xll.EVGET($B$1,$B$3,$B$5,$B$6,$B$7,$B$9,AG$16,AG$17,AG$18,$G145)))</f>
        <v>0</v>
      </c>
      <c r="AI145" s="332">
        <f t="shared" si="16"/>
        <v>190</v>
      </c>
    </row>
    <row r="146" spans="1:35" x14ac:dyDescent="0.35">
      <c r="A146" s="11"/>
      <c r="B146" s="11"/>
      <c r="C146" s="11"/>
      <c r="D146" s="11"/>
      <c r="E146" s="11"/>
      <c r="F146" s="11"/>
      <c r="G146" s="265" t="str">
        <f t="shared" si="13"/>
        <v>OCC_TOURW</v>
      </c>
      <c r="H146" s="88" t="s">
        <v>186</v>
      </c>
      <c r="I146" s="89" t="str">
        <f>IF(_epmOfflineCondition_,"T3",_xll.EVPRO($B$1,$H146,"STYLE"))</f>
        <v>T3</v>
      </c>
      <c r="J146" s="89" t="str">
        <f>IF(_epmOfflineCondition_,"Y",_xll.EVPRO($B$1,$H146,"CALC"))</f>
        <v>Y</v>
      </c>
      <c r="K146" s="11"/>
      <c r="L146" s="106" t="str">
        <f>IF(_epmOfflineCondition_,"",_xll.EVPRO($B$1,H146,"JDEID"))</f>
        <v/>
      </c>
      <c r="M146" s="90" t="str">
        <f>IF(_epmOfflineCondition_,"",IF(AND(I146="N",J146="N"),_xll.EVPRO($B$1,H146,"PSFTID"),""))</f>
        <v/>
      </c>
      <c r="N146" s="106" t="str">
        <f>IF(_epmOfflineCondition_,"Tour/Wholesalers",IF(_xll.EVDES(H146,$B$1)="#NODATA","",_xll.EVDES(H146,$B$1)))</f>
        <v>Tour/Wholesalers</v>
      </c>
      <c r="O146" s="328"/>
      <c r="P146" s="329">
        <v>349</v>
      </c>
      <c r="Q146" s="329"/>
      <c r="R146" s="329"/>
      <c r="S146" s="329"/>
      <c r="T146" s="329"/>
      <c r="U146" s="329"/>
      <c r="V146" s="329"/>
      <c r="W146" s="329"/>
      <c r="X146" s="329">
        <v>122</v>
      </c>
      <c r="Y146" s="329">
        <v>122</v>
      </c>
      <c r="Z146" s="329"/>
      <c r="AA146" s="329">
        <f t="shared" si="14"/>
        <v>272.24530973451328</v>
      </c>
      <c r="AB146" s="330">
        <f>IF(_epmOfflineCondition_,0.00233896340453717,IF(_xll.EVGET($B$1,$B$3,$B$5,$B$6,$B$7,$B$9,AA$16,AA$17,AA$18,$G146)="#NODATA","",_xll.EVGET($B$1,$B$3,$B$5,$B$6,$B$7,$B$9,AA$16,AA$17,AA$18,$G146)))</f>
        <v>2.3389634045371701E-3</v>
      </c>
      <c r="AC146" s="140"/>
      <c r="AD146" s="328">
        <v>228.20110465116301</v>
      </c>
      <c r="AE146" s="330">
        <f>IF(_epmOfflineCondition_,0.014240768339129,IF(_xll.EVGET($B$1,$B$3,$B$5,$B$6,$B$7,$B$9,AD$16,AD$17,AD$18,$G146)="#NODATA","",_xll.EVGET($B$1,$B$3,$B$5,$B$6,$B$7,$B$9,AD$16,AD$17,AD$18,$G146)))</f>
        <v>1.4240768339129E-2</v>
      </c>
      <c r="AF146" s="331">
        <f t="shared" si="15"/>
        <v>44.044205083350278</v>
      </c>
      <c r="AG146" s="328">
        <v>251.96066252588</v>
      </c>
      <c r="AH146" s="330">
        <f>IF(_epmOfflineCondition_,0.0100249066002491,IF(_xll.EVGET($B$1,$B$3,$B$5,$B$6,$B$7,$B$9,AG$16,AG$17,AG$18,$G146)="#NODATA","",_xll.EVGET($B$1,$B$3,$B$5,$B$6,$B$7,$B$9,AG$16,AG$17,AG$18,$G146)))</f>
        <v>1.0024906600249101E-2</v>
      </c>
      <c r="AI146" s="332">
        <f t="shared" si="16"/>
        <v>20.284647208633288</v>
      </c>
    </row>
    <row r="147" spans="1:35" x14ac:dyDescent="0.35">
      <c r="A147" s="11"/>
      <c r="B147" s="11"/>
      <c r="C147" s="11"/>
      <c r="D147" s="11"/>
      <c r="E147" s="11"/>
      <c r="F147" s="11"/>
      <c r="G147" s="267" t="str">
        <f t="shared" si="13"/>
        <v>OCC_WHTT</v>
      </c>
      <c r="H147" s="88" t="s">
        <v>187</v>
      </c>
      <c r="I147" s="104" t="str">
        <f>IF(_epmOfflineCondition_,"N",_xll.EVPRO($B$1,$H147,"STYLE"))</f>
        <v>N</v>
      </c>
      <c r="J147" s="104" t="str">
        <f>IF(_epmOfflineCondition_,"Y",_xll.EVPRO($B$1,$H147,"CALC"))</f>
        <v>Y</v>
      </c>
      <c r="K147" s="11"/>
      <c r="L147" s="104" t="str">
        <f>IF(_epmOfflineCondition_,"",_xll.EVPRO($B$1,H147,"JDEID"))</f>
        <v/>
      </c>
      <c r="M147" s="90" t="str">
        <f>IF(_epmOfflineCondition_,"",IF(AND(I147="N",J147="N"),_xll.EVPRO($B$1,H147,"PSFTID"),""))</f>
        <v/>
      </c>
      <c r="N147" s="104" t="str">
        <f>IF(_epmOfflineCondition_,"Tour/Wholesale",IF(_xll.EVDES(H147,$B$1)="#NODATA","",_xll.EVDES(H147,$B$1)))</f>
        <v>Tour/Wholesale</v>
      </c>
      <c r="O147" s="333"/>
      <c r="P147" s="334"/>
      <c r="Q147" s="334"/>
      <c r="R147" s="334"/>
      <c r="S147" s="334"/>
      <c r="T147" s="334"/>
      <c r="U147" s="334"/>
      <c r="V147" s="334"/>
      <c r="W147" s="334"/>
      <c r="X147" s="334">
        <v>122</v>
      </c>
      <c r="Y147" s="334">
        <v>122</v>
      </c>
      <c r="Z147" s="334"/>
      <c r="AA147" s="334">
        <f t="shared" si="14"/>
        <v>122</v>
      </c>
      <c r="AB147" s="335">
        <f>IF(_epmOfflineCondition_,0.000827951647623779,IF(_xll.EVGET($B$1,$B$3,$B$5,$B$6,$B$7,$B$9,AA$16,AA$17,AA$18,$G147)="#NODATA","",_xll.EVGET($B$1,$B$3,$B$5,$B$6,$B$7,$B$9,AA$16,AA$17,AA$18,$G147)))</f>
        <v>8.2795164762377899E-4</v>
      </c>
      <c r="AC147" s="140"/>
      <c r="AD147" s="333">
        <v>336.5</v>
      </c>
      <c r="AE147" s="335">
        <f>IF(_epmOfflineCondition_,0.000993541977148535,IF(_xll.EVGET($B$1,$B$3,$B$5,$B$6,$B$7,$B$9,AD$16,AD$17,AD$18,$G147)="#NODATA","",_xll.EVGET($B$1,$B$3,$B$5,$B$6,$B$7,$B$9,AD$16,AD$17,AD$18,$G147)))</f>
        <v>9.9354197714853496E-4</v>
      </c>
      <c r="AF147" s="336">
        <f t="shared" si="15"/>
        <v>-214.5</v>
      </c>
      <c r="AG147" s="333"/>
      <c r="AH147" s="335">
        <f>IF(_epmOfflineCondition_,0,IF(_xll.EVGET($B$1,$B$3,$B$5,$B$6,$B$7,$B$9,AG$16,AG$17,AG$18,$G147)="#NODATA","",_xll.EVGET($B$1,$B$3,$B$5,$B$6,$B$7,$B$9,AG$16,AG$17,AG$18,$G147)))</f>
        <v>0</v>
      </c>
      <c r="AI147" s="337">
        <f t="shared" si="16"/>
        <v>122</v>
      </c>
    </row>
    <row r="148" spans="1:35" x14ac:dyDescent="0.35">
      <c r="A148" s="11"/>
      <c r="B148" s="11"/>
      <c r="C148" s="11"/>
      <c r="D148" s="11"/>
      <c r="E148" s="11"/>
      <c r="F148" s="11"/>
      <c r="G148" s="267" t="str">
        <f t="shared" si="13"/>
        <v>OCC_MICE</v>
      </c>
      <c r="H148" s="88" t="s">
        <v>188</v>
      </c>
      <c r="I148" s="104" t="str">
        <f>IF(_epmOfflineCondition_,"N",_xll.EVPRO($B$1,$H148,"STYLE"))</f>
        <v>N</v>
      </c>
      <c r="J148" s="104" t="str">
        <f>IF(_epmOfflineCondition_,"Y",_xll.EVPRO($B$1,$H148,"CALC"))</f>
        <v>Y</v>
      </c>
      <c r="K148" s="11"/>
      <c r="L148" s="104" t="str">
        <f>IF(_epmOfflineCondition_,"",_xll.EVPRO($B$1,H148,"JDEID"))</f>
        <v/>
      </c>
      <c r="M148" s="90" t="str">
        <f>IF(_epmOfflineCondition_,"",IF(AND(I148="N",J148="N"),_xll.EVPRO($B$1,H148,"PSFTID"),""))</f>
        <v/>
      </c>
      <c r="N148" s="104" t="str">
        <f>IF(_epmOfflineCondition_,"MICE",IF(_xll.EVDES(H148,$B$1)="#NODATA","",_xll.EVDES(H148,$B$1)))</f>
        <v>MICE</v>
      </c>
      <c r="O148" s="333"/>
      <c r="P148" s="334">
        <v>349</v>
      </c>
      <c r="Q148" s="334"/>
      <c r="R148" s="334"/>
      <c r="S148" s="334"/>
      <c r="T148" s="334"/>
      <c r="U148" s="334"/>
      <c r="V148" s="334"/>
      <c r="W148" s="334"/>
      <c r="X148" s="334"/>
      <c r="Y148" s="334"/>
      <c r="Z148" s="334"/>
      <c r="AA148" s="334">
        <f t="shared" si="14"/>
        <v>354.57150684931509</v>
      </c>
      <c r="AB148" s="335">
        <f>IF(_epmOfflineCondition_,0.0015110117569134,IF(_xll.EVGET($B$1,$B$3,$B$5,$B$6,$B$7,$B$9,AA$16,AA$17,AA$18,$G148)="#NODATA","",_xll.EVGET($B$1,$B$3,$B$5,$B$6,$B$7,$B$9,AA$16,AA$17,AA$18,$G148)))</f>
        <v>1.5110117569134001E-3</v>
      </c>
      <c r="AC148" s="140"/>
      <c r="AD148" s="333">
        <v>220.0786875</v>
      </c>
      <c r="AE148" s="335">
        <f>IF(_epmOfflineCondition_,0.0132472263619805,IF(_xll.EVGET($B$1,$B$3,$B$5,$B$6,$B$7,$B$9,AD$16,AD$17,AD$18,$G148)="#NODATA","",_xll.EVGET($B$1,$B$3,$B$5,$B$6,$B$7,$B$9,AD$16,AD$17,AD$18,$G148)))</f>
        <v>1.32472263619805E-2</v>
      </c>
      <c r="AF148" s="336">
        <f t="shared" si="15"/>
        <v>134.49281934931508</v>
      </c>
      <c r="AG148" s="333">
        <v>251.96066252588</v>
      </c>
      <c r="AH148" s="335">
        <f>IF(_epmOfflineCondition_,0.0100249066002491,IF(_xll.EVGET($B$1,$B$3,$B$5,$B$6,$B$7,$B$9,AG$16,AG$17,AG$18,$G148)="#NODATA","",_xll.EVGET($B$1,$B$3,$B$5,$B$6,$B$7,$B$9,AG$16,AG$17,AG$18,$G148)))</f>
        <v>1.0024906600249101E-2</v>
      </c>
      <c r="AI148" s="337">
        <f t="shared" si="16"/>
        <v>102.61084432343509</v>
      </c>
    </row>
    <row r="149" spans="1:35" x14ac:dyDescent="0.35">
      <c r="A149" s="11"/>
      <c r="B149" s="11"/>
      <c r="C149" s="11"/>
      <c r="D149" s="11"/>
      <c r="E149" s="11"/>
      <c r="F149" s="11"/>
      <c r="G149" s="265" t="str">
        <f t="shared" si="13"/>
        <v>OCC_SMERF</v>
      </c>
      <c r="H149" s="88" t="s">
        <v>189</v>
      </c>
      <c r="I149" s="89" t="str">
        <f>IF(_epmOfflineCondition_,"T3",_xll.EVPRO($B$1,$H149,"STYLE"))</f>
        <v>T3</v>
      </c>
      <c r="J149" s="89" t="str">
        <f>IF(_epmOfflineCondition_,"Y",_xll.EVPRO($B$1,$H149,"CALC"))</f>
        <v>Y</v>
      </c>
      <c r="K149" s="11"/>
      <c r="L149" s="106" t="str">
        <f>IF(_epmOfflineCondition_,"",_xll.EVPRO($B$1,H149,"JDEID"))</f>
        <v/>
      </c>
      <c r="M149" s="90" t="str">
        <f>IF(_epmOfflineCondition_,"",IF(AND(I149="N",J149="N"),_xll.EVPRO($B$1,H149,"PSFTID"),""))</f>
        <v/>
      </c>
      <c r="N149" s="106" t="str">
        <f>IF(_epmOfflineCondition_,"SMERF",IF(_xll.EVDES(H149,$B$1)="#NODATA","",_xll.EVDES(H149,$B$1)))</f>
        <v>SMERF</v>
      </c>
      <c r="O149" s="338">
        <v>242.75</v>
      </c>
      <c r="P149" s="339">
        <v>375.969696969697</v>
      </c>
      <c r="Q149" s="339"/>
      <c r="R149" s="339"/>
      <c r="S149" s="339"/>
      <c r="T149" s="339"/>
      <c r="U149" s="339"/>
      <c r="V149" s="339"/>
      <c r="W149" s="339"/>
      <c r="X149" s="339">
        <v>123.936170212766</v>
      </c>
      <c r="Y149" s="339"/>
      <c r="Z149" s="339"/>
      <c r="AA149" s="339">
        <f t="shared" si="14"/>
        <v>232.14285714285714</v>
      </c>
      <c r="AB149" s="340">
        <f>IF(_epmOfflineCondition_,0.00231826461334658,IF(_xll.EVGET($B$1,$B$3,$B$5,$B$6,$B$7,$B$9,AA$16,AA$17,AA$18,$G149)="#NODATA","",_xll.EVGET($B$1,$B$3,$B$5,$B$6,$B$7,$B$9,AA$16,AA$17,AA$18,$G149)))</f>
        <v>2.3182646133465801E-3</v>
      </c>
      <c r="AC149" s="140"/>
      <c r="AD149" s="338">
        <v>205.35543396226399</v>
      </c>
      <c r="AE149" s="340">
        <f>IF(_epmOfflineCondition_,0.00548517966550753,IF(_xll.EVGET($B$1,$B$3,$B$5,$B$6,$B$7,$B$9,AD$16,AD$17,AD$18,$G149)="#NODATA","",_xll.EVGET($B$1,$B$3,$B$5,$B$6,$B$7,$B$9,AD$16,AD$17,AD$18,$G149)))</f>
        <v>5.4851796655075299E-3</v>
      </c>
      <c r="AF149" s="341">
        <f t="shared" si="15"/>
        <v>26.787423180593152</v>
      </c>
      <c r="AG149" s="338">
        <v>237.28568527918799</v>
      </c>
      <c r="AH149" s="340">
        <f>IF(_epmOfflineCondition_,0.00408883354088834,IF(_xll.EVGET($B$1,$B$3,$B$5,$B$6,$B$7,$B$9,AG$16,AG$17,AG$18,$G149)="#NODATA","",_xll.EVGET($B$1,$B$3,$B$5,$B$6,$B$7,$B$9,AG$16,AG$17,AG$18,$G149)))</f>
        <v>4.0888335408883402E-3</v>
      </c>
      <c r="AI149" s="342">
        <f t="shared" si="16"/>
        <v>-5.1428281363308486</v>
      </c>
    </row>
    <row r="150" spans="1:35" x14ac:dyDescent="0.35">
      <c r="A150" s="11"/>
      <c r="B150" s="11"/>
      <c r="C150" s="11"/>
      <c r="D150" s="11"/>
      <c r="E150" s="11"/>
      <c r="F150" s="11"/>
      <c r="G150" s="265" t="str">
        <f t="shared" si="13"/>
        <v>OCC_GROP</v>
      </c>
      <c r="H150" s="88" t="s">
        <v>178</v>
      </c>
      <c r="I150" s="89" t="str">
        <f>IF(_epmOfflineCondition_,"T2",_xll.EVPRO($B$1,$H150,"STYLE"))</f>
        <v>T2</v>
      </c>
      <c r="J150" s="89" t="str">
        <f>IF(_epmOfflineCondition_,"Y",_xll.EVPRO($B$1,$H150,"CALC"))</f>
        <v>Y</v>
      </c>
      <c r="K150" s="11"/>
      <c r="L150" s="106" t="str">
        <f>IF(_epmOfflineCondition_,"",_xll.EVPRO($B$1,H150,"JDEID"))</f>
        <v/>
      </c>
      <c r="M150" s="90" t="str">
        <f>IF(_epmOfflineCondition_,"",IF(AND(I150="N",J150="N"),_xll.EVPRO($B$1,H150,"PSFTID"),""))</f>
        <v/>
      </c>
      <c r="N150" s="106" t="str">
        <f>IF(_epmOfflineCondition_,"Total Group ADR",IF(_xll.EVDES(H150,$B$1)="#NODATA","",_xll.EVDES(H150,$B$1)))</f>
        <v>Total Group ADR</v>
      </c>
      <c r="O150" s="343">
        <v>403.32588235294099</v>
      </c>
      <c r="P150" s="344">
        <v>353.72141414141402</v>
      </c>
      <c r="Q150" s="344">
        <v>340.34399999999999</v>
      </c>
      <c r="R150" s="344"/>
      <c r="S150" s="344"/>
      <c r="T150" s="344"/>
      <c r="U150" s="344"/>
      <c r="V150" s="344"/>
      <c r="W150" s="344"/>
      <c r="X150" s="344">
        <v>123.467741935484</v>
      </c>
      <c r="Y150" s="344">
        <v>111.46341463414601</v>
      </c>
      <c r="Z150" s="344">
        <v>252.777777777778</v>
      </c>
      <c r="AA150" s="344">
        <f t="shared" si="14"/>
        <v>357.93026506024097</v>
      </c>
      <c r="AB150" s="345">
        <f>IF(_epmOfflineCondition_,0.0343599933763868,IF(_xll.EVGET($B$1,$B$3,$B$5,$B$6,$B$7,$B$9,AA$16,AA$17,AA$18,$G150)="#NODATA","",_xll.EVGET($B$1,$B$3,$B$5,$B$6,$B$7,$B$9,AA$16,AA$17,AA$18,$G150)))</f>
        <v>3.4359993376386802E-2</v>
      </c>
      <c r="AC150" s="140"/>
      <c r="AD150" s="343">
        <v>271.93884837295201</v>
      </c>
      <c r="AE150" s="345">
        <f>IF(_epmOfflineCondition_,0.0896878622288458,IF(_xll.EVGET($B$1,$B$3,$B$5,$B$6,$B$7,$B$9,AD$16,AD$17,AD$18,$G150)="#NODATA","",_xll.EVGET($B$1,$B$3,$B$5,$B$6,$B$7,$B$9,AD$16,AD$17,AD$18,$G150)))</f>
        <v>8.9687862228845797E-2</v>
      </c>
      <c r="AF150" s="346">
        <f t="shared" si="15"/>
        <v>85.991416687288961</v>
      </c>
      <c r="AG150" s="343">
        <v>207.138473650386</v>
      </c>
      <c r="AH150" s="345">
        <f>IF(_epmOfflineCondition_,0.0645911166459112,IF(_xll.EVGET($B$1,$B$3,$B$5,$B$6,$B$7,$B$9,AG$16,AG$17,AG$18,$G150)="#NODATA","",_xll.EVGET($B$1,$B$3,$B$5,$B$6,$B$7,$B$9,AG$16,AG$17,AG$18,$G150)))</f>
        <v>6.4591116645911203E-2</v>
      </c>
      <c r="AI150" s="347">
        <f t="shared" si="16"/>
        <v>150.79179140985497</v>
      </c>
    </row>
    <row r="151" spans="1:35" x14ac:dyDescent="0.35">
      <c r="A151" s="11"/>
      <c r="B151" s="11"/>
      <c r="C151" s="11"/>
      <c r="D151" s="11"/>
      <c r="E151" s="11"/>
      <c r="F151" s="11"/>
      <c r="G151" s="267" t="str">
        <f t="shared" si="13"/>
        <v>OCC_CONT</v>
      </c>
      <c r="H151" s="88" t="s">
        <v>210</v>
      </c>
      <c r="I151" s="104" t="str">
        <f>IF(_epmOfflineCondition_,"N",_xll.EVPRO($B$1,$H151,"STYLE"))</f>
        <v>N</v>
      </c>
      <c r="J151" s="104" t="str">
        <f>IF(_epmOfflineCondition_,"Y",_xll.EVPRO($B$1,$H151,"CALC"))</f>
        <v>Y</v>
      </c>
      <c r="K151" s="11"/>
      <c r="L151" s="104" t="str">
        <f>IF(_epmOfflineCondition_,"",_xll.EVPRO($B$1,H151,"JDEID"))</f>
        <v/>
      </c>
      <c r="M151" s="90" t="str">
        <f>IF(_epmOfflineCondition_,"",IF(AND(I151="N",J151="N"),_xll.EVPRO($B$1,H151,"PSFTID"),""))</f>
        <v/>
      </c>
      <c r="N151" s="104" t="str">
        <f>IF(_epmOfflineCondition_,"Contract",IF(_xll.EVDES(H151,$B$1)="#NODATA","",_xll.EVDES(H151,$B$1)))</f>
        <v>Contract</v>
      </c>
      <c r="O151" s="353"/>
      <c r="P151" s="354"/>
      <c r="Q151" s="354"/>
      <c r="R151" s="354"/>
      <c r="S151" s="354"/>
      <c r="T151" s="354"/>
      <c r="U151" s="354"/>
      <c r="V151" s="354"/>
      <c r="W151" s="354"/>
      <c r="X151" s="354"/>
      <c r="Y151" s="354"/>
      <c r="Z151" s="354"/>
      <c r="AA151" s="354"/>
      <c r="AB151" s="355">
        <f>IF(_epmOfflineCondition_,0,IF(_xll.EVGET($B$1,$B$3,$B$5,$B$6,$B$7,$B$9,AA$16,AA$17,AA$18,$G151)="#NODATA","",_xll.EVGET($B$1,$B$3,$B$5,$B$6,$B$7,$B$9,AA$16,AA$17,AA$18,$G151)))</f>
        <v>0</v>
      </c>
      <c r="AC151" s="140"/>
      <c r="AD151" s="353"/>
      <c r="AE151" s="355">
        <f>IF(_epmOfflineCondition_,0,IF(_xll.EVGET($B$1,$B$3,$B$5,$B$6,$B$7,$B$9,AD$16,AD$17,AD$18,$G151)="#NODATA","",_xll.EVGET($B$1,$B$3,$B$5,$B$6,$B$7,$B$9,AD$16,AD$17,AD$18,$G151)))</f>
        <v>0</v>
      </c>
      <c r="AF151" s="356" t="str">
        <f t="shared" si="15"/>
        <v/>
      </c>
      <c r="AG151" s="353"/>
      <c r="AH151" s="355">
        <f>IF(_epmOfflineCondition_,0,IF(_xll.EVGET($B$1,$B$3,$B$5,$B$6,$B$7,$B$9,AG$16,AG$17,AG$18,$G151)="#NODATA","",_xll.EVGET($B$1,$B$3,$B$5,$B$6,$B$7,$B$9,AG$16,AG$17,AG$18,$G151)))</f>
        <v>0</v>
      </c>
      <c r="AI151" s="357" t="str">
        <f t="shared" si="16"/>
        <v/>
      </c>
    </row>
    <row r="152" spans="1:35" x14ac:dyDescent="0.35">
      <c r="A152" s="11"/>
      <c r="B152" s="11"/>
      <c r="C152" s="11"/>
      <c r="D152" s="11"/>
      <c r="E152" s="11"/>
      <c r="F152" s="11"/>
      <c r="G152" s="265" t="s">
        <v>495</v>
      </c>
      <c r="H152" s="88" t="s">
        <v>208</v>
      </c>
      <c r="I152" s="89" t="str">
        <f>IF(_epmOfflineCondition_,"T2",_xll.EVPRO($B$1,$H152,"STYLE"))</f>
        <v>T2</v>
      </c>
      <c r="J152" s="89" t="str">
        <f>IF(_epmOfflineCondition_,"Y",_xll.EVPRO($B$1,$H152,"CALC"))</f>
        <v>Y</v>
      </c>
      <c r="K152" s="11"/>
      <c r="L152" s="106" t="str">
        <f>IF(_epmOfflineCondition_,"",_xll.EVPRO($B$1,H152,"JDEID"))</f>
        <v/>
      </c>
      <c r="M152" s="90" t="str">
        <f>IF(_epmOfflineCondition_,"",IF(AND(I152="N",J152="N"),_xll.EVPRO($B$1,H152,"PSFTID"),""))</f>
        <v/>
      </c>
      <c r="N152" s="106" t="s">
        <v>496</v>
      </c>
      <c r="O152" s="358">
        <f>IF(_epmOfflineCondition_,311.196703173266,IF(_xll.EVGET($B$1,$B$3,$B$5,$B$6,$B$7,$B$9,O$16,O$17,O$18,$H152)="#NODATA","",_xll.EVGET($B$1,$B$3,$B$5,$B$6,$B$7,$B$9,O$16,O$17,O$18,$H152)))</f>
        <v>311.19670317326597</v>
      </c>
      <c r="P152" s="358">
        <f>IF(_epmOfflineCondition_,334.917859701492,IF(_xll.EVGET($B$1,$B$3,$B$5,$B$6,$B$7,$B$9,P$16,P$17,P$18,$H152)="#NODATA","",_xll.EVGET($B$1,$B$3,$B$5,$B$6,$B$7,$B$9,P$16,P$17,P$18,$H152)))</f>
        <v>334.91785970149198</v>
      </c>
      <c r="Q152" s="358">
        <f>IF(_epmOfflineCondition_,223.309334975369,IF(_xll.EVGET($B$1,$B$3,$B$5,$B$6,$B$7,$B$9,Q$16,Q$17,Q$18,$H152)="#NODATA","",_xll.EVGET($B$1,$B$3,$B$5,$B$6,$B$7,$B$9,Q$16,Q$17,Q$18,$H152)))</f>
        <v>223.30933497536901</v>
      </c>
      <c r="R152" s="358">
        <f>IF(_epmOfflineCondition_,0,IF(_xll.EVGET($B$1,$B$3,$B$5,$B$6,$B$7,$B$9,R$16,R$17,R$18,$H152)="#NODATA","",_xll.EVGET($B$1,$B$3,$B$5,$B$6,$B$7,$B$9,R$16,R$17,R$18,$H152)))</f>
        <v>0</v>
      </c>
      <c r="S152" s="358">
        <f>IF(_epmOfflineCondition_,0,IF(_xll.EVGET($B$1,$B$3,$B$5,$B$6,$B$7,$B$9,S$16,S$17,S$18,$H152)="#NODATA","",_xll.EVGET($B$1,$B$3,$B$5,$B$6,$B$7,$B$9,S$16,S$17,S$18,$H152)))</f>
        <v>0</v>
      </c>
      <c r="T152" s="358">
        <f>IF(_epmOfflineCondition_,125.160710306407,IF(_xll.EVGET($B$1,$B$3,$B$5,$B$6,$B$7,$B$9,T$16,T$17,T$18,$H152)="#NODATA","",_xll.EVGET($B$1,$B$3,$B$5,$B$6,$B$7,$B$9,T$16,T$17,T$18,$H152)))</f>
        <v>125.160710306407</v>
      </c>
      <c r="U152" s="358">
        <f>IF(_epmOfflineCondition_,137.339906716418,IF(_xll.EVGET($B$1,$B$3,$B$5,$B$6,$B$7,$B$9,U$16,U$17,U$18,$H152)="#NODATA","",_xll.EVGET($B$1,$B$3,$B$5,$B$6,$B$7,$B$9,U$16,U$17,U$18,$H152)))</f>
        <v>137.339906716418</v>
      </c>
      <c r="V152" s="358">
        <f>IF(_epmOfflineCondition_,110.253244019139,IF(_xll.EVGET($B$1,$B$3,$B$5,$B$6,$B$7,$B$9,V$16,V$17,V$18,$H152)="#NODATA","",_xll.EVGET($B$1,$B$3,$B$5,$B$6,$B$7,$B$9,V$16,V$17,V$18,$H152)))</f>
        <v>110.253244019139</v>
      </c>
      <c r="W152" s="358">
        <f>IF(_epmOfflineCondition_,112.309137380192,IF(_xll.EVGET($B$1,$B$3,$B$5,$B$6,$B$7,$B$9,W$16,W$17,W$18,$H152)="#NODATA","",_xll.EVGET($B$1,$B$3,$B$5,$B$6,$B$7,$B$9,W$16,W$17,W$18,$H152)))</f>
        <v>112.309137380192</v>
      </c>
      <c r="X152" s="358">
        <f>IF(_epmOfflineCondition_,119.252868360277,IF(_xll.EVGET($B$1,$B$3,$B$5,$B$6,$B$7,$B$9,X$16,X$17,X$18,$H152)="#NODATA","",_xll.EVGET($B$1,$B$3,$B$5,$B$6,$B$7,$B$9,X$16,X$17,X$18,$H152)))</f>
        <v>119.25286836027701</v>
      </c>
      <c r="Y152" s="358">
        <f>IF(_epmOfflineCondition_,126.342040915733,IF(_xll.EVGET($B$1,$B$3,$B$5,$B$6,$B$7,$B$9,Y$16,Y$17,Y$18,$H152)="#NODATA","",_xll.EVGET($B$1,$B$3,$B$5,$B$6,$B$7,$B$9,Y$16,Y$17,Y$18,$H152)))</f>
        <v>126.34204091573299</v>
      </c>
      <c r="Z152" s="358">
        <f>IF(_epmOfflineCondition_,165.208929423798,IF(_xll.EVGET($B$1,$B$3,$B$5,$B$6,$B$7,$B$9,Z$16,Z$17,Z$18,$H152)="#NODATA","",_xll.EVGET($B$1,$B$3,$B$5,$B$6,$B$7,$B$9,Z$16,Z$17,Z$18,$H152)))</f>
        <v>165.208929423798</v>
      </c>
      <c r="AA152" s="358">
        <f>IF(_epmOfflineCondition_,204.824991693098,IF(_xll.EVGET($B$1,$B$3,$B$5,$B$6,$B$7,$B$9,AA$16,AA$17,AA$18,$H152)="#NODATA","",_xll.EVGET($B$1,$B$3,$B$5,$B$6,$B$7,$B$9,AA$16,AA$17,AA$18,$H152)))</f>
        <v>204.82499169309801</v>
      </c>
      <c r="AB152" s="359">
        <f>IF(_epmOfflineCondition_,0.411140089418778,IF(_xll.EVGET($B$1,$B$3,$B$5,$B$6,$B$7,$B$9,AA$16,AA$17,AA$18,$G152)="#NODATA","",_xll.EVGET($B$1,$B$3,$B$5,$B$6,$B$7,$B$9,AA$16,AA$17,AA$18,$G152)))</f>
        <v>0.411140089418778</v>
      </c>
      <c r="AC152" s="140"/>
      <c r="AD152" s="358">
        <f>IF(_epmOfflineCondition_,223.464266242376,IF(_xll.EVGET($B$1,$B$3,$B$5,$B$6,$B$7,$B$9,AD$16,AD$17,AD$18,$H152)="#NODATA","",_xll.EVGET($B$1,$B$3,$B$5,$B$6,$B$7,$B$9,AD$16,AD$17,AD$18,$H152)))</f>
        <v>223.464266242376</v>
      </c>
      <c r="AE152" s="359">
        <f>IF(_epmOfflineCondition_,0.780551415797317,IF(_xll.EVGET($B$1,$B$3,$B$5,$B$6,$B$7,$B$9,AD$16,AD$17,AD$18,$G152)="#NODATA","",_xll.EVGET($B$1,$B$3,$B$5,$B$6,$B$7,$B$9,AD$16,AD$17,AD$18,$G152)))</f>
        <v>0.78055141579731702</v>
      </c>
      <c r="AF152" s="360">
        <f t="shared" si="15"/>
        <v>-18.639274549277985</v>
      </c>
      <c r="AG152" s="358">
        <f>IF(_epmOfflineCondition_,194.691823486058,IF(_xll.EVGET($B$1,$B$3,$B$5,$B$6,$B$7,$B$9,AG$16,AG$17,AG$18,$H152)="#NODATA","",_xll.EVGET($B$1,$B$3,$B$5,$B$6,$B$7,$B$9,AG$16,AG$17,AG$18,$H152)))</f>
        <v>194.69182348605801</v>
      </c>
      <c r="AH152" s="359">
        <f>IF(_epmOfflineCondition_,0.675882108758821,IF(_xll.EVGET($B$1,$B$3,$B$5,$B$6,$B$7,$B$9,AG$16,AG$17,AG$18,$G152)="#NODATA","",_xll.EVGET($B$1,$B$3,$B$5,$B$6,$B$7,$B$9,AG$16,AG$17,AG$18,$G152)))</f>
        <v>0.67588210875882104</v>
      </c>
      <c r="AI152" s="360">
        <f t="shared" si="16"/>
        <v>10.133168207040001</v>
      </c>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11"/>
      <c r="J154" s="11"/>
      <c r="K154" s="11"/>
      <c r="L154" s="11"/>
      <c r="M154" s="11"/>
      <c r="N154" s="104" t="str">
        <f>N152&amp;" - Check"</f>
        <v>Total ADR/ OCC% - Check</v>
      </c>
      <c r="O154" s="102">
        <f t="shared" ref="O154:AA154" si="17">IFERROR(O69/O105,0)</f>
        <v>311.19670317326592</v>
      </c>
      <c r="P154" s="102">
        <f t="shared" si="17"/>
        <v>334.91785970149255</v>
      </c>
      <c r="Q154" s="102">
        <f t="shared" si="17"/>
        <v>223.30933497536944</v>
      </c>
      <c r="R154" s="102">
        <f t="shared" si="17"/>
        <v>0</v>
      </c>
      <c r="S154" s="102">
        <f t="shared" si="17"/>
        <v>0</v>
      </c>
      <c r="T154" s="102">
        <f t="shared" si="17"/>
        <v>125.16071030640668</v>
      </c>
      <c r="U154" s="102">
        <f t="shared" si="17"/>
        <v>137.33990671641791</v>
      </c>
      <c r="V154" s="102">
        <f t="shared" si="17"/>
        <v>110.25324401913876</v>
      </c>
      <c r="W154" s="102">
        <f t="shared" si="17"/>
        <v>112.30913738019169</v>
      </c>
      <c r="X154" s="102">
        <f t="shared" si="17"/>
        <v>119.25286836027713</v>
      </c>
      <c r="Y154" s="102">
        <f t="shared" si="17"/>
        <v>126.34204091573307</v>
      </c>
      <c r="Z154" s="102">
        <f t="shared" si="17"/>
        <v>165.20892942379814</v>
      </c>
      <c r="AA154" s="102">
        <f t="shared" si="17"/>
        <v>204.82499169309773</v>
      </c>
      <c r="AB154" s="268">
        <f>IFERROR(AA105/AA109,0)</f>
        <v>0.41114008941877794</v>
      </c>
      <c r="AC154" s="11"/>
      <c r="AD154" s="102">
        <f>IFERROR(AD69/AD105,0)</f>
        <v>223.46426624237628</v>
      </c>
      <c r="AE154" s="268">
        <f>IFERROR(AD105/AD109,0)</f>
        <v>0.78055141579731746</v>
      </c>
      <c r="AF154" s="91"/>
      <c r="AG154" s="102">
        <f>IFERROR(AG69/AG105,0)</f>
        <v>194.69182348605821</v>
      </c>
      <c r="AH154" s="268">
        <f>IFERROR(AG105/AG109,0)</f>
        <v>0.67588210875882104</v>
      </c>
      <c r="AI154" s="91"/>
    </row>
  </sheetData>
  <sheetProtection algorithmName="SHA-512" hashValue="cPTYgUNoIQtTWyn+NuuJT+cD8DeMHz57vf30swnMenr5mt5WUXr4U8Cq8DPRAyW5FStNFQcqVPrnD3/P71tAKw==" saltValue="zwNYRa1QQN+VQ6mLqMsPUA==" spinCount="100000" sheet="1" scenarios="1"/>
  <mergeCells count="2">
    <mergeCell ref="AD31:AE31"/>
    <mergeCell ref="AG31:AH31"/>
  </mergeCells>
  <conditionalFormatting sqref="AF34:AF69 AI34:AI69 AF72:AF116 AI72:AI116">
    <cfRule type="expression" dxfId="179" priority="12">
      <formula>AF$32="Variance"</formula>
    </cfRule>
  </conditionalFormatting>
  <conditionalFormatting sqref="AF119:AF152">
    <cfRule type="expression" dxfId="178" priority="4">
      <formula>AF$32="Variance"</formula>
    </cfRule>
  </conditionalFormatting>
  <conditionalFormatting sqref="AI119:AI152">
    <cfRule type="expression" dxfId="177" priority="3">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61122"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61122" r:id="rId7"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41.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0" t="str">
        <f>IF(_epmOfflineCondition_,"FCST",_xll.EVPRO($B$1,$B$4,"GROUP"))</f>
        <v>FCST</v>
      </c>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237</v>
      </c>
      <c r="C6" s="11" t="str">
        <f>IF(_epmOfflineCondition_,"Reservations",_xll.EVDES(B6,$B$1))</f>
        <v>Reservations</v>
      </c>
      <c r="D6" s="11"/>
      <c r="E6" s="58" t="str">
        <f>IF(_epmOfflineCondition_,"D1122",_xll.EVPRO($B$1,$B$6,$F$6))</f>
        <v>D1122</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IF(_epmOfflineCondition_,"'Resv'!$B$2:$B$10",_xll.EVRNG($B$2:$B$10))</f>
        <v>'Resv'!$B$2:$B$10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IF(_epmOfflineCondition_,"'Resv'!$O$16:$AN$18",_xll.EVRNG($O$16:$AN$18))</f>
        <v>'Resv'!$O$16:$AN$18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IF(_epmOfflineCondition_,"'Resv'!$H$34:$H$45",_xll.EVRNG(H34:H45))</f>
        <v>'Resv'!$H$34:$H$45</v>
      </c>
      <c r="C19" s="11"/>
      <c r="D19" s="11"/>
      <c r="E19" s="11"/>
      <c r="F19" s="11"/>
      <c r="G19" s="67" t="str">
        <f>$B$6</f>
        <v>D_RESV_CON</v>
      </c>
      <c r="H19" s="67">
        <v>700000</v>
      </c>
      <c r="I19" s="68"/>
      <c r="J19" s="68"/>
      <c r="K19" s="67"/>
      <c r="L19" s="67"/>
      <c r="M19" s="67"/>
      <c r="N19" s="67" t="str">
        <f>IF(_epmOfflineCondition_,"Total Operations Expense",_xll.EVDES(H19))</f>
        <v>Total Operations Expense</v>
      </c>
      <c r="O19" s="69">
        <f>IF(_epmOfflineCondition_,11958.79,_xll.EVGTS($B$1,1,$B$3,$B$5,$B$7,$B$9,O$16,O$17,O$18,$G$19,$H$19))</f>
        <v>11958.79</v>
      </c>
      <c r="P19" s="69">
        <f>IF(_epmOfflineCondition_,11782.52,_xll.EVGTS($B$1,1,$B$3,$B$5,$B$7,$B$9,P$16,P$17,P$18,$G$19,$H$19))</f>
        <v>11782.52</v>
      </c>
      <c r="Q19" s="69">
        <f>IF(_epmOfflineCondition_,4265.4,_xll.EVGTS($B$1,1,$B$3,$B$5,$B$7,$B$9,Q$16,Q$17,Q$18,$G$19,$H$19))</f>
        <v>4265.3999999999996</v>
      </c>
      <c r="R19" s="69">
        <f>IF(_epmOfflineCondition_,97.43,_xll.EVGTS($B$1,1,$B$3,$B$5,$B$7,$B$9,R$16,R$17,R$18,$G$19,$H$19))</f>
        <v>97.43</v>
      </c>
      <c r="S19" s="69">
        <f>IF(_epmOfflineCondition_,-114.03,_xll.EVGTS($B$1,1,$B$3,$B$5,$B$7,$B$9,S$16,S$17,S$18,$G$19,$H$19))</f>
        <v>-114.03</v>
      </c>
      <c r="T19" s="69">
        <f>IF(_epmOfflineCondition_,911.45,_xll.EVGTS($B$1,1,$B$3,$B$5,$B$7,$B$9,T$16,T$17,T$18,$G$19,$H$19))</f>
        <v>911.45</v>
      </c>
      <c r="U19" s="69">
        <f>IF(_epmOfflineCondition_,901.74,_xll.EVGTS($B$1,1,$B$3,$B$5,$B$7,$B$9,U$16,U$17,U$18,$G$19,$H$19))</f>
        <v>901.74</v>
      </c>
      <c r="V19" s="69">
        <f>IF(_epmOfflineCondition_,1285.75,_xll.EVGTS($B$1,1,$B$3,$B$5,$B$7,$B$9,V$16,V$17,V$18,$G$19,$H$19))</f>
        <v>1285.75</v>
      </c>
      <c r="W19" s="69">
        <f>IF(_epmOfflineCondition_,2135.56,_xll.EVGTS($B$1,1,$B$3,$B$5,$B$7,$B$9,W$16,W$17,W$18,$G$19,$H$19))</f>
        <v>2135.56</v>
      </c>
      <c r="X19" s="69">
        <f>IF(_epmOfflineCondition_,2606.94,_xll.EVGTS($B$1,1,$B$3,$B$5,$B$7,$B$9,X$16,X$17,X$18,$G$19,$H$19))</f>
        <v>2606.94</v>
      </c>
      <c r="Y19" s="69">
        <f>IF(_epmOfflineCondition_,2602.29,_xll.EVGTS($B$1,1,$B$3,$B$5,$B$7,$B$9,Y$16,Y$17,Y$18,$G$19,$H$19))</f>
        <v>2602.29</v>
      </c>
      <c r="Z19" s="69">
        <f>IF(_epmOfflineCondition_,4911.66,_xll.EVGTS($B$1,1,$B$3,$B$5,$B$7,$B$9,Z$16,Z$17,Z$18,$G$19,$H$19))</f>
        <v>4911.66</v>
      </c>
      <c r="AA19" s="69">
        <f>SUM(O19:Z19)</f>
        <v>43345.5</v>
      </c>
      <c r="AB19" s="67"/>
      <c r="AC19" s="67"/>
      <c r="AD19" s="69">
        <f>IF(_epmOfflineCondition_,93579.1256000004,_xll.EVGTS($B$1,1,$B$3,$B$5,$B$7,$B$9,AD$16,AD$17,AD$18,$G$19,$H$19))</f>
        <v>93579.125600000407</v>
      </c>
      <c r="AE19" s="67"/>
      <c r="AF19" s="67"/>
      <c r="AG19" s="69">
        <f>IF(_epmOfflineCondition_,69422.86,_xll.EVGTS($B$1,1,$B$3,$B$5,$B$7,$B$9,AG$16,AG$17,AG$18,$G$19,$H$19))</f>
        <v>69422.86</v>
      </c>
      <c r="AH19" s="67"/>
      <c r="AI19" s="67"/>
      <c r="AJ19" s="11"/>
      <c r="AK19" s="11"/>
      <c r="AL19" s="11"/>
      <c r="AM19" s="11"/>
      <c r="AN19" s="11"/>
      <c r="AO19" s="11"/>
    </row>
    <row r="20" spans="1:41" hidden="1" outlineLevel="1" x14ac:dyDescent="0.35">
      <c r="A20" s="65" t="s">
        <v>5</v>
      </c>
      <c r="B20" s="66"/>
      <c r="C20" s="11"/>
      <c r="D20" s="11"/>
      <c r="E20" s="11"/>
      <c r="F20" s="11"/>
      <c r="G20" s="67" t="str">
        <f>$B$6</f>
        <v>D_RESV_CON</v>
      </c>
      <c r="H20" s="67" t="s">
        <v>236</v>
      </c>
      <c r="I20" s="68"/>
      <c r="J20" s="68"/>
      <c r="K20" s="67"/>
      <c r="L20" s="67"/>
      <c r="M20" s="67"/>
      <c r="N20" s="67" t="str">
        <f>IF(_epmOfflineCondition_,"Total # of Net Reservation Taken",_xll.EVDES(H20))</f>
        <v>Total # of Net Reservation Taken</v>
      </c>
      <c r="O20" s="69">
        <f>IF(_epmOfflineCondition_,123,_xll.EVGTS($B$1,1,$B$3,$B$5,$B$7,$B$9,O$16,O$17,O$18,$G$20,$H$20))</f>
        <v>123</v>
      </c>
      <c r="P20" s="69">
        <f>IF(_epmOfflineCondition_,78,_xll.EVGTS($B$1,1,$B$3,$B$5,$B$7,$B$9,P$16,P$17,P$18,$G$20,$H$20))</f>
        <v>78</v>
      </c>
      <c r="Q20" s="69">
        <f>IF(_epmOfflineCondition_,81,_xll.EVGTS($B$1,1,$B$3,$B$5,$B$7,$B$9,Q$16,Q$17,Q$18,$G$20,$H$20))</f>
        <v>81</v>
      </c>
      <c r="R20" s="69">
        <f>IF(_epmOfflineCondition_,25,_xll.EVGTS($B$1,1,$B$3,$B$5,$B$7,$B$9,R$16,R$17,R$18,$G$20,$H$20))</f>
        <v>25</v>
      </c>
      <c r="S20" s="69">
        <f>IF(_epmOfflineCondition_,0,_xll.EVGTS($B$1,1,$B$3,$B$5,$B$7,$B$9,S$16,S$17,S$18,$G$20,$H$20))</f>
        <v>0</v>
      </c>
      <c r="T20" s="69">
        <f>IF(_epmOfflineCondition_,2,_xll.EVGTS($B$1,1,$B$3,$B$5,$B$7,$B$9,T$16,T$17,T$18,$G$20,$H$20))</f>
        <v>2</v>
      </c>
      <c r="U20" s="69">
        <f>IF(_epmOfflineCondition_,102,_xll.EVGTS($B$1,1,$B$3,$B$5,$B$7,$B$9,U$16,U$17,U$18,$G$20,$H$20))</f>
        <v>102</v>
      </c>
      <c r="V20" s="69">
        <f>IF(_epmOfflineCondition_,281,_xll.EVGTS($B$1,1,$B$3,$B$5,$B$7,$B$9,V$16,V$17,V$18,$G$20,$H$20))</f>
        <v>281</v>
      </c>
      <c r="W20" s="69">
        <f>IF(_epmOfflineCondition_,573,_xll.EVGTS($B$1,1,$B$3,$B$5,$B$7,$B$9,W$16,W$17,W$18,$G$20,$H$20))</f>
        <v>573</v>
      </c>
      <c r="X20" s="69">
        <f>IF(_epmOfflineCondition_,10,_xll.EVGTS($B$1,1,$B$3,$B$5,$B$7,$B$9,X$16,X$17,X$18,$G$20,$H$20))</f>
        <v>10</v>
      </c>
      <c r="Y20" s="69">
        <f>IF(_epmOfflineCondition_,8,_xll.EVGTS($B$1,1,$B$3,$B$5,$B$7,$B$9,Y$16,Y$17,Y$18,$G$20,$H$20))</f>
        <v>8</v>
      </c>
      <c r="Z20" s="69">
        <f>IF(_epmOfflineCondition_,11,_xll.EVGTS($B$1,1,$B$3,$B$5,$B$7,$B$9,Z$16,Z$17,Z$18,$G$20,$H$20))</f>
        <v>11</v>
      </c>
      <c r="AA20" s="69">
        <f>SUM(O20:Z20)</f>
        <v>1294</v>
      </c>
      <c r="AB20" s="67"/>
      <c r="AC20" s="67"/>
      <c r="AD20" s="69">
        <f>IF(_epmOfflineCondition_,712.538,_xll.EVGTS($B$1,1,$B$3,$B$5,$B$7,$B$9,AD$16,AD$17,AD$18,$G$20,$H$20))</f>
        <v>712.53800000000001</v>
      </c>
      <c r="AE20" s="67"/>
      <c r="AF20" s="67"/>
      <c r="AG20" s="69">
        <f>IF(_epmOfflineCondition_,846,_xll.EVGTS($B$1,1,$B$3,$B$5,$B$7,$B$9,AG$16,AG$17,AG$18,$G$20,$H$20))</f>
        <v>846</v>
      </c>
      <c r="AH20" s="67"/>
      <c r="AI20" s="67"/>
      <c r="AJ20" s="11"/>
      <c r="AK20" s="11"/>
      <c r="AL20" s="11"/>
      <c r="AM20" s="11"/>
      <c r="AN20" s="11"/>
      <c r="AO20" s="11"/>
    </row>
    <row r="21" spans="1:41" hidden="1" outlineLevel="1" x14ac:dyDescent="0.35">
      <c r="A21" s="65" t="s">
        <v>6</v>
      </c>
      <c r="B21" s="66"/>
      <c r="C21" s="11"/>
      <c r="D21" s="11"/>
      <c r="E21" s="11"/>
      <c r="F21" s="11"/>
      <c r="G21" s="67" t="s">
        <v>254</v>
      </c>
      <c r="H21" s="67">
        <v>990100</v>
      </c>
      <c r="I21" s="361" t="str">
        <f>IF($G$4="ACTUAL","CURRENT",$B$4)</f>
        <v>CURRENT</v>
      </c>
      <c r="J21" s="68"/>
      <c r="K21" s="67"/>
      <c r="L21" s="67"/>
      <c r="M21" s="67"/>
      <c r="N21" s="67" t="str">
        <f>IF(_epmOfflineCondition_,"Number of Rooms on Property",_xll.EVDES(H21))</f>
        <v>Number of Rooms on Property</v>
      </c>
      <c r="O21" s="69">
        <f>IF(_epmOfflineCondition_,132,_xll.EVGTS($B$1,1,$B$3,$B$5,$B$7,$B$9,O$16,$I$21,O$18,$G$21,$H$21))</f>
        <v>132</v>
      </c>
      <c r="P21" s="69">
        <f>IF(_epmOfflineCondition_,132,_xll.EVGTS($B$1,1,$B$3,$B$5,$B$7,$B$9,P$16,$I$21,P$18,$G$21,$H$21))</f>
        <v>132</v>
      </c>
      <c r="Q21" s="69">
        <f>IF(_epmOfflineCondition_,132,_xll.EVGTS($B$1,1,$B$3,$B$5,$B$7,$B$9,Q$16,$I$21,Q$18,$G$21,$H$21))</f>
        <v>132</v>
      </c>
      <c r="R21" s="69">
        <f>IF(_epmOfflineCondition_,132,_xll.EVGTS($B$1,1,$B$3,$B$5,$B$7,$B$9,R$16,$I$21,R$18,$G$21,$H$21))</f>
        <v>132</v>
      </c>
      <c r="S21" s="69">
        <f>IF(_epmOfflineCondition_,132,_xll.EVGTS($B$1,1,$B$3,$B$5,$B$7,$B$9,S$16,$I$21,S$18,$G$21,$H$21))</f>
        <v>132</v>
      </c>
      <c r="T21" s="69">
        <f>IF(_epmOfflineCondition_,132,_xll.EVGTS($B$1,1,$B$3,$B$5,$B$7,$B$9,T$16,$I$21,T$18,$G$21,$H$21))</f>
        <v>132</v>
      </c>
      <c r="U21" s="69">
        <f>IF(_epmOfflineCondition_,132,_xll.EVGTS($B$1,1,$B$3,$B$5,$B$7,$B$9,U$16,$I$21,U$18,$G$21,$H$21))</f>
        <v>132</v>
      </c>
      <c r="V21" s="69">
        <f>IF(_epmOfflineCondition_,132,_xll.EVGTS($B$1,1,$B$3,$B$5,$B$7,$B$9,V$16,$I$21,V$18,$G$21,$H$21))</f>
        <v>132</v>
      </c>
      <c r="W21" s="69">
        <f>IF(_epmOfflineCondition_,132,_xll.EVGTS($B$1,1,$B$3,$B$5,$B$7,$B$9,W$16,$I$21,W$18,$G$21,$H$21))</f>
        <v>132</v>
      </c>
      <c r="X21" s="69">
        <f>IF(_epmOfflineCondition_,132,_xll.EVGTS($B$1,1,$B$3,$B$5,$B$7,$B$9,X$16,$I$21,X$18,$G$21,$H$21))</f>
        <v>132</v>
      </c>
      <c r="Y21" s="69">
        <f>IF(_epmOfflineCondition_,132,_xll.EVGTS($B$1,1,$B$3,$B$5,$B$7,$B$9,Y$16,$I$21,Y$18,$G$21,$H$21))</f>
        <v>132</v>
      </c>
      <c r="Z21" s="69">
        <f>IF(_epmOfflineCondition_,132,_xll.EVGTS($B$1,1,$B$3,$B$5,$B$7,$B$9,Z$16,$I$21,Z$18,$G$21,$H$21))</f>
        <v>132</v>
      </c>
      <c r="AA21" s="69">
        <f>SUM(O21:Z21)</f>
        <v>1584</v>
      </c>
      <c r="AB21" s="67"/>
      <c r="AC21" s="67"/>
      <c r="AD21" s="362">
        <f>IF(_epmOfflineCondition_,1584,_xll.EVGTS($B$1,1,$B$3,$B$5,$B$7,$B$9,AD$16,$AE$21,"PERIODIC",$G$21,$H$21))</f>
        <v>1584</v>
      </c>
      <c r="AE21" s="67" t="s">
        <v>255</v>
      </c>
      <c r="AF21" s="67"/>
      <c r="AG21" s="362">
        <f>IF(_epmOfflineCondition_,1584,_xll.EVGTS($B$1,1,$B$3,$B$5,$B$7,$B$9,AG$16,$AH$21,"PERIODIC",$G$21,$H$21))</f>
        <v>1584</v>
      </c>
      <c r="AH21" s="67" t="s">
        <v>255</v>
      </c>
      <c r="AI21" s="67"/>
      <c r="AJ21" s="11"/>
      <c r="AK21" s="11"/>
      <c r="AL21" s="11"/>
      <c r="AM21" s="11"/>
      <c r="AN21" s="11"/>
      <c r="AO21" s="11"/>
    </row>
    <row r="22" spans="1:41" hidden="1" outlineLevel="1" x14ac:dyDescent="0.35">
      <c r="A22" s="65" t="s">
        <v>7</v>
      </c>
      <c r="B22" s="66" t="str">
        <f>IF(_epmOfflineCondition_,"'Resv'!$A$36:$F$41",_xll.EVRNG(A36:F41))</f>
        <v>'Resv'!$A$36:$F$41</v>
      </c>
      <c r="C22" s="11"/>
      <c r="D22" s="11"/>
      <c r="E22" s="11"/>
      <c r="F22" s="11"/>
      <c r="G22" s="67" t="s">
        <v>749</v>
      </c>
      <c r="H22" s="67">
        <v>900200</v>
      </c>
      <c r="I22" s="68"/>
      <c r="J22" s="68"/>
      <c r="K22" s="67"/>
      <c r="L22" s="68"/>
      <c r="M22" s="68"/>
      <c r="N22" s="67" t="str">
        <f>IF(_epmOfflineCondition_,"Total Rooms Occupied",_xll.EVDES(H22))</f>
        <v>Total Rooms Occupied</v>
      </c>
      <c r="O22" s="69">
        <f>IF(_epmOfflineCondition_,3596,_xll.EVGTS($B$1,1,$B$3,$B$5,$B$7,$B$9,O$16,O$17,O$18,$G$22,$H$22))</f>
        <v>3596</v>
      </c>
      <c r="P22" s="69">
        <f>IF(_epmOfflineCondition_,3382,_xll.EVGTS($B$1,1,$B$3,$B$5,$B$7,$B$9,P$16,P$17,P$18,$G$22,$H$22))</f>
        <v>3382</v>
      </c>
      <c r="Q22" s="69">
        <f>IF(_epmOfflineCondition_,1661,_xll.EVGTS($B$1,1,$B$3,$B$5,$B$7,$B$9,Q$16,Q$17,Q$18,$G$22,$H$22))</f>
        <v>1661</v>
      </c>
      <c r="R22" s="69">
        <f>IF(_epmOfflineCondition_,0,_xll.EVGTS($B$1,1,$B$3,$B$5,$B$7,$B$9,R$16,R$17,R$18,$G$22,$H$22))</f>
        <v>0</v>
      </c>
      <c r="S22" s="69">
        <f>IF(_epmOfflineCondition_,0,_xll.EVGTS($B$1,1,$B$3,$B$5,$B$7,$B$9,S$16,S$17,S$18,$G$22,$H$22))</f>
        <v>0</v>
      </c>
      <c r="T22" s="69">
        <f>IF(_epmOfflineCondition_,721,_xll.EVGTS($B$1,1,$B$3,$B$5,$B$7,$B$9,T$16,T$17,T$18,$G$22,$H$22))</f>
        <v>721</v>
      </c>
      <c r="U22" s="69">
        <f>IF(_epmOfflineCondition_,549,_xll.EVGTS($B$1,1,$B$3,$B$5,$B$7,$B$9,U$16,U$17,U$18,$G$22,$H$22))</f>
        <v>549</v>
      </c>
      <c r="V22" s="69">
        <f>IF(_epmOfflineCondition_,1066,_xll.EVGTS($B$1,1,$B$3,$B$5,$B$7,$B$9,V$16,V$17,V$18,$G$22,$H$22))</f>
        <v>1066</v>
      </c>
      <c r="W22" s="69">
        <f>IF(_epmOfflineCondition_,1892,_xll.EVGTS($B$1,1,$B$3,$B$5,$B$7,$B$9,W$16,W$17,W$18,$G$22,$H$22))</f>
        <v>1892</v>
      </c>
      <c r="X22" s="69">
        <f>IF(_epmOfflineCondition_,2174,_xll.EVGTS($B$1,1,$B$3,$B$5,$B$7,$B$9,X$16,X$17,X$18,$G$22,$H$22))</f>
        <v>2174</v>
      </c>
      <c r="Y22" s="69">
        <f>IF(_epmOfflineCondition_,2060,_xll.EVGTS($B$1,1,$B$3,$B$5,$B$7,$B$9,Y$16,Y$17,Y$18,$G$22,$H$22))</f>
        <v>2060</v>
      </c>
      <c r="Z22" s="69">
        <f>IF(_epmOfflineCondition_,2949,_xll.EVGTS($B$1,1,$B$3,$B$5,$B$7,$B$9,Z$16,Z$17,Z$18,$G$22,$H$22))</f>
        <v>2949</v>
      </c>
      <c r="AA22" s="69">
        <f>SUM(O22:Z22)</f>
        <v>20050</v>
      </c>
      <c r="AB22" s="67"/>
      <c r="AC22" s="67"/>
      <c r="AD22" s="69">
        <f>IF(_epmOfflineCondition_,37795,_xll.EVGTS($B$1,1,$B$3,$B$5,$B$7,$B$9,AD$16,AD$17,AD$18,$G$22,$H$22))</f>
        <v>37795</v>
      </c>
      <c r="AE22" s="67"/>
      <c r="AF22" s="67"/>
      <c r="AG22" s="69">
        <f>IF(_epmOfflineCondition_,32882,_xll.EVGTS($B$1,1,$B$3,$B$5,$B$7,$B$9,AG$16,AG$17,AG$18,$G$22,$H$22))</f>
        <v>32882</v>
      </c>
      <c r="AH22" s="67"/>
      <c r="AI22" s="67"/>
      <c r="AJ22" s="11"/>
      <c r="AK22" s="11"/>
      <c r="AL22" s="11"/>
      <c r="AM22" s="11"/>
      <c r="AN22" s="11"/>
      <c r="AO22" s="11"/>
    </row>
    <row r="23" spans="1:41" hidden="1" outlineLevel="1" x14ac:dyDescent="0.35">
      <c r="A23" s="65" t="s">
        <v>47</v>
      </c>
      <c r="B23" s="66" t="str">
        <f>IF(_epmOfflineCondition_,"'Resv'!$A$87:$B$108",_xll.EVRNG($A$87:$B$108))</f>
        <v>'Resv'!$A$87:$B$108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IF(_epmOfflineCondition_,"Reservations Department",IF(_xll.EVDES(B6,$B$1)="#NODATA","",_xll.EVDES(B6,$B$1)&amp;" Department"))</f>
        <v>Reservations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256</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4"/>
      <c r="AM30" s="75"/>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77"/>
      <c r="AM31" s="80" t="str">
        <f>IF(_epmOfflineCondition_,"2019",_xll.EVPRO($B$1,AG$16,"YEAR"))</f>
        <v>2019</v>
      </c>
      <c r="AN31" s="77"/>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
        <v>747</v>
      </c>
      <c r="AM32" s="87" t="str">
        <f>AG32</f>
        <v>Actual</v>
      </c>
      <c r="AN32" s="87" t="s">
        <v>747</v>
      </c>
      <c r="AO32" s="83"/>
    </row>
    <row r="33" spans="1:41" x14ac:dyDescent="0.35">
      <c r="A33" s="65" t="s">
        <v>17</v>
      </c>
      <c r="B33" s="66"/>
      <c r="C33" s="11"/>
      <c r="D33" s="11"/>
      <c r="E33" s="11"/>
      <c r="F33" s="11"/>
      <c r="G33" s="76"/>
      <c r="H33" s="11" t="s">
        <v>239</v>
      </c>
      <c r="I33" s="59" t="str">
        <f>IF(_epmOfflineCondition_,"B1",_xll.EVPRO($B$1,$H33,"STYLE"))</f>
        <v>B1</v>
      </c>
      <c r="J33" s="59" t="str">
        <f>IF(_epmOfflineCondition_,"Y",_xll.EVPRO($B$1,$H33,"CALC"))</f>
        <v>Y</v>
      </c>
      <c r="K33" s="11"/>
      <c r="L33" s="133" t="s">
        <v>364</v>
      </c>
      <c r="M33" s="133" t="s">
        <v>782</v>
      </c>
      <c r="N33" s="105" t="str">
        <f>IF(_epmOfflineCondition_,"Reservations Expenses",IF(_xll.EVDES(H33,$B$1)="#NODATA","",_xll.EVDES(H33,$B$1)))</f>
        <v>Reservations Expenses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76"/>
      <c r="H34" s="88" t="s">
        <v>220</v>
      </c>
      <c r="I34" s="122" t="str">
        <f>IF(_epmOfflineCondition_,"N",_xll.EVPRO($B$1,$H34,"STYLE"))</f>
        <v>N</v>
      </c>
      <c r="J34" s="122" t="str">
        <f>IF(_epmOfflineCondition_,"N",_xll.EVPRO($B$1,$H34,"CALC"))</f>
        <v>N</v>
      </c>
      <c r="K34" s="179" t="str">
        <f t="shared" ref="K34:K45" si="0">IF(AND(I34&gt;="T5"),"&gt;","")</f>
        <v/>
      </c>
      <c r="L34" s="90" t="str">
        <f>IF(_epmOfflineCondition_,"710150",_xll.EVPRO($B$1,H34,"JDEID"))</f>
        <v>710150</v>
      </c>
      <c r="M34" s="90" t="str">
        <f>IF(_epmOfflineCondition_,"590165",IF(AND(I34="N",J34="N"),_xll.EVPRO($B$1,H34,"PSFTID"),""))</f>
        <v>590165</v>
      </c>
      <c r="N34" s="90" t="str">
        <f>IF(_epmOfflineCondition_,"CRS Call Fee",IF(_xll.EVDES(H34,$B$1)="#NODATA","",_xll.EVDES(H34,$B$1)))</f>
        <v>CRS Call Fee</v>
      </c>
      <c r="O34" s="143"/>
      <c r="P34" s="143"/>
      <c r="Q34" s="143"/>
      <c r="R34" s="143"/>
      <c r="S34" s="143"/>
      <c r="T34" s="143"/>
      <c r="U34" s="143"/>
      <c r="V34" s="143"/>
      <c r="W34" s="143"/>
      <c r="X34" s="143"/>
      <c r="Y34" s="143"/>
      <c r="Z34" s="143"/>
      <c r="AA34" s="250">
        <f t="shared" ref="AA34:AA45" si="1">IF($I34="B1","",SUM(O34:Z34))</f>
        <v>0</v>
      </c>
      <c r="AB34" s="144" t="str">
        <f t="shared" ref="AB34:AB45" si="2">IF(AA34=0,"",IFERROR(AA34/AA$19,""))</f>
        <v/>
      </c>
      <c r="AC34" s="140"/>
      <c r="AD34" s="143"/>
      <c r="AE34" s="144" t="str">
        <f t="shared" ref="AE34:AE45" si="3">IF(AD34=0,"",IFERROR(AD34/AD$19,""))</f>
        <v/>
      </c>
      <c r="AF34" s="145">
        <f t="shared" ref="AF34:AF45" si="4">IF(AND($AA34="",AD34=""),"",$AA34-AD34)</f>
        <v>0</v>
      </c>
      <c r="AG34" s="143"/>
      <c r="AH34" s="144" t="str">
        <f t="shared" ref="AH34:AH45" si="5">IF(AG34=0,"",IFERROR(AG34/AG$19,""))</f>
        <v/>
      </c>
      <c r="AI34" s="145">
        <f t="shared" ref="AI34:AI45" si="6">IF(AND($AA34="",AG34=""),"",$AA34-AG34)</f>
        <v>0</v>
      </c>
      <c r="AJ34" s="212">
        <f t="shared" ref="AJ34:AJ45" si="7">IFERROR(AA34/AA$22,0)</f>
        <v>0</v>
      </c>
      <c r="AK34" s="213">
        <f t="shared" ref="AK34:AK45" si="8">IFERROR(AD34/AD$22,0)</f>
        <v>0</v>
      </c>
      <c r="AL34" s="214">
        <f t="shared" ref="AL34:AL45" si="9">AJ34-AK34</f>
        <v>0</v>
      </c>
      <c r="AM34" s="215">
        <f t="shared" ref="AM34:AM45" si="10">IFERROR(AG34/AG$22,0)</f>
        <v>0</v>
      </c>
      <c r="AN34" s="214">
        <f t="shared" ref="AN34:AN45" si="11">AJ34-AM34</f>
        <v>0</v>
      </c>
      <c r="AO34" s="11"/>
    </row>
    <row r="35" spans="1:41" x14ac:dyDescent="0.35">
      <c r="A35" s="97" t="s">
        <v>92</v>
      </c>
      <c r="B35" s="98" t="s">
        <v>93</v>
      </c>
      <c r="C35" s="98" t="s">
        <v>94</v>
      </c>
      <c r="D35" s="98" t="s">
        <v>95</v>
      </c>
      <c r="E35" s="98" t="s">
        <v>96</v>
      </c>
      <c r="F35" s="99" t="s">
        <v>97</v>
      </c>
      <c r="G35" s="76"/>
      <c r="H35" s="88" t="s">
        <v>221</v>
      </c>
      <c r="I35" s="122" t="str">
        <f>IF(_epmOfflineCondition_,"N",_xll.EVPRO($B$1,$H35,"STYLE"))</f>
        <v>N</v>
      </c>
      <c r="J35" s="122" t="str">
        <f>IF(_epmOfflineCondition_,"N",_xll.EVPRO($B$1,$H35,"CALC"))</f>
        <v>N</v>
      </c>
      <c r="K35" s="179" t="str">
        <f t="shared" si="0"/>
        <v/>
      </c>
      <c r="L35" s="90" t="str">
        <f>IF(_epmOfflineCondition_,"710140",_xll.EVPRO($B$1,H35,"JDEID"))</f>
        <v>710140</v>
      </c>
      <c r="M35" s="90" t="str">
        <f>IF(_epmOfflineCondition_,"590171",IF(AND(I35="N",J35="N"),_xll.EVPRO($B$1,H35,"PSFTID"),""))</f>
        <v>590171</v>
      </c>
      <c r="N35" s="90" t="str">
        <f>IF(_epmOfflineCondition_,"Net Booking Fee",IF(_xll.EVDES(H35,$B$1)="#NODATA","",_xll.EVDES(H35,$B$1)))</f>
        <v>Net Booking Fee</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212">
        <f t="shared" si="7"/>
        <v>0</v>
      </c>
      <c r="AK35" s="213">
        <f t="shared" si="8"/>
        <v>0</v>
      </c>
      <c r="AL35" s="214">
        <f t="shared" si="9"/>
        <v>0</v>
      </c>
      <c r="AM35" s="215">
        <f t="shared" si="10"/>
        <v>0</v>
      </c>
      <c r="AN35" s="214">
        <f t="shared" si="11"/>
        <v>0</v>
      </c>
      <c r="AO35" s="11"/>
    </row>
    <row r="36" spans="1:41" x14ac:dyDescent="0.35">
      <c r="A36" s="11"/>
      <c r="B36" s="11"/>
      <c r="C36" s="11"/>
      <c r="D36" s="11"/>
      <c r="E36" s="11"/>
      <c r="F36" s="11"/>
      <c r="G36" s="76"/>
      <c r="H36" s="88" t="s">
        <v>222</v>
      </c>
      <c r="I36" s="122" t="str">
        <f>IF(_epmOfflineCondition_,"N",_xll.EVPRO($B$1,$H36,"STYLE"))</f>
        <v>N</v>
      </c>
      <c r="J36" s="122" t="str">
        <f>IF(_epmOfflineCondition_,"N",_xll.EVPRO($B$1,$H36,"CALC"))</f>
        <v>N</v>
      </c>
      <c r="K36" s="179" t="str">
        <f t="shared" si="0"/>
        <v/>
      </c>
      <c r="L36" s="90" t="str">
        <f>IF(_epmOfflineCondition_,"710145",_xll.EVPRO($B$1,H36,"JDEID"))</f>
        <v>710145</v>
      </c>
      <c r="M36" s="90" t="str">
        <f>IF(_epmOfflineCondition_,"590520",IF(AND(I36="N",J36="N"),_xll.EVPRO($B$1,H36,"PSFTID"),""))</f>
        <v>590520</v>
      </c>
      <c r="N36" s="90" t="str">
        <f>IF(_epmOfflineCondition_,"Net Booking Fee - Rooming List",IF(_xll.EVDES(H36,$B$1)="#NODATA","",_xll.EVDES(H36,$B$1)))</f>
        <v>Net Booking Fee - Rooming List</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212">
        <f t="shared" si="7"/>
        <v>0</v>
      </c>
      <c r="AK36" s="213">
        <f t="shared" si="8"/>
        <v>0</v>
      </c>
      <c r="AL36" s="214">
        <f t="shared" si="9"/>
        <v>0</v>
      </c>
      <c r="AM36" s="215">
        <f t="shared" si="10"/>
        <v>0</v>
      </c>
      <c r="AN36" s="214">
        <f t="shared" si="11"/>
        <v>0</v>
      </c>
      <c r="AO36" s="11"/>
    </row>
    <row r="37" spans="1:41" x14ac:dyDescent="0.35">
      <c r="A37" s="11" t="s">
        <v>105</v>
      </c>
      <c r="B37" s="11"/>
      <c r="C37" s="104" t="s">
        <v>101</v>
      </c>
      <c r="D37" s="11" t="s">
        <v>106</v>
      </c>
      <c r="E37" s="11"/>
      <c r="F37" s="11" t="s">
        <v>98</v>
      </c>
      <c r="G37" s="76"/>
      <c r="H37" s="88" t="s">
        <v>223</v>
      </c>
      <c r="I37" s="122" t="str">
        <f>IF(_epmOfflineCondition_,"N",_xll.EVPRO($B$1,$H37,"STYLE"))</f>
        <v>N</v>
      </c>
      <c r="J37" s="122" t="str">
        <f>IF(_epmOfflineCondition_,"N",_xll.EVPRO($B$1,$H37,"CALC"))</f>
        <v>N</v>
      </c>
      <c r="K37" s="179" t="str">
        <f t="shared" si="0"/>
        <v/>
      </c>
      <c r="L37" s="90" t="str">
        <f>IF(_epmOfflineCondition_,"710160",_xll.EVPRO($B$1,H37,"JDEID"))</f>
        <v>710160</v>
      </c>
      <c r="M37" s="90" t="str">
        <f>IF(_epmOfflineCondition_,"590525",IF(AND(I37="N",J37="N"),_xll.EVPRO($B$1,H37,"PSFTID"),""))</f>
        <v>590525</v>
      </c>
      <c r="N37" s="90" t="str">
        <f>IF(_epmOfflineCondition_,"Res Cost - Kimpton Fees",IF(_xll.EVDES(H37,$B$1)="#NODATA","",_xll.EVDES(H37,$B$1)))</f>
        <v>Res Cost - Kimpton Fees</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212">
        <f t="shared" si="7"/>
        <v>0</v>
      </c>
      <c r="AK37" s="213">
        <f t="shared" si="8"/>
        <v>0</v>
      </c>
      <c r="AL37" s="214">
        <f t="shared" si="9"/>
        <v>0</v>
      </c>
      <c r="AM37" s="215">
        <f t="shared" si="10"/>
        <v>0</v>
      </c>
      <c r="AN37" s="214">
        <f t="shared" si="11"/>
        <v>0</v>
      </c>
      <c r="AO37" s="11"/>
    </row>
    <row r="38" spans="1:41" x14ac:dyDescent="0.35">
      <c r="A38" s="11" t="s">
        <v>104</v>
      </c>
      <c r="B38" s="11"/>
      <c r="C38" s="104" t="s">
        <v>101</v>
      </c>
      <c r="D38" s="11" t="s">
        <v>106</v>
      </c>
      <c r="E38" s="11"/>
      <c r="F38" s="11" t="s">
        <v>98</v>
      </c>
      <c r="G38" s="76"/>
      <c r="H38" s="88" t="s">
        <v>224</v>
      </c>
      <c r="I38" s="122" t="str">
        <f>IF(_epmOfflineCondition_,"N",_xll.EVPRO($B$1,$H38,"STYLE"))</f>
        <v>N</v>
      </c>
      <c r="J38" s="122" t="str">
        <f>IF(_epmOfflineCondition_,"N",_xll.EVPRO($B$1,$H38,"CALC"))</f>
        <v>N</v>
      </c>
      <c r="K38" s="179" t="str">
        <f t="shared" si="0"/>
        <v/>
      </c>
      <c r="L38" s="90" t="str">
        <f>IF(_epmOfflineCondition_,"710170",_xll.EVPRO($B$1,H38,"JDEID"))</f>
        <v>710170</v>
      </c>
      <c r="M38" s="90" t="str">
        <f>IF(_epmOfflineCondition_,"590530",IF(AND(I38="N",J38="N"),_xll.EVPRO($B$1,H38,"PSFTID"),""))</f>
        <v>590530</v>
      </c>
      <c r="N38" s="90" t="str">
        <f>IF(_epmOfflineCondition_,"Res Cost - GDS Fees",IF(_xll.EVDES(H38,$B$1)="#NODATA","",_xll.EVDES(H38,$B$1)))</f>
        <v>Res Cost - GDS Fees</v>
      </c>
      <c r="O38" s="143">
        <v>776</v>
      </c>
      <c r="P38" s="143">
        <v>509</v>
      </c>
      <c r="Q38" s="143">
        <v>523.4</v>
      </c>
      <c r="R38" s="143">
        <v>160</v>
      </c>
      <c r="S38" s="143"/>
      <c r="T38" s="143">
        <v>12.8</v>
      </c>
      <c r="U38" s="143">
        <v>75.599999999999994</v>
      </c>
      <c r="V38" s="143">
        <v>43.6</v>
      </c>
      <c r="W38" s="143">
        <v>26.4</v>
      </c>
      <c r="X38" s="143">
        <v>-17.600000000000001</v>
      </c>
      <c r="Y38" s="143">
        <v>51.2</v>
      </c>
      <c r="Z38" s="143">
        <v>57.6</v>
      </c>
      <c r="AA38" s="250">
        <f t="shared" si="1"/>
        <v>2218</v>
      </c>
      <c r="AB38" s="144">
        <f t="shared" si="2"/>
        <v>5.1170248353346943E-2</v>
      </c>
      <c r="AC38" s="140"/>
      <c r="AD38" s="143">
        <v>4702.7507999999998</v>
      </c>
      <c r="AE38" s="144">
        <f t="shared" si="3"/>
        <v>5.0254271664192378E-2</v>
      </c>
      <c r="AF38" s="145">
        <f t="shared" si="4"/>
        <v>-2484.7507999999998</v>
      </c>
      <c r="AG38" s="143">
        <v>4213.6000000000004</v>
      </c>
      <c r="AH38" s="144">
        <f t="shared" si="5"/>
        <v>6.0694704885393663E-2</v>
      </c>
      <c r="AI38" s="145">
        <f t="shared" si="6"/>
        <v>-1995.6000000000004</v>
      </c>
      <c r="AJ38" s="212">
        <f t="shared" si="7"/>
        <v>0.11062344139650873</v>
      </c>
      <c r="AK38" s="213">
        <f t="shared" si="8"/>
        <v>0.12442785553644661</v>
      </c>
      <c r="AL38" s="214">
        <f t="shared" si="9"/>
        <v>-1.3804414139937882E-2</v>
      </c>
      <c r="AM38" s="215">
        <f t="shared" si="10"/>
        <v>0.1281430569916672</v>
      </c>
      <c r="AN38" s="214">
        <f t="shared" si="11"/>
        <v>-1.7519615595158466E-2</v>
      </c>
      <c r="AO38" s="11"/>
    </row>
    <row r="39" spans="1:41" x14ac:dyDescent="0.35">
      <c r="A39" s="11" t="s">
        <v>102</v>
      </c>
      <c r="B39" s="11"/>
      <c r="C39" s="106" t="s">
        <v>101</v>
      </c>
      <c r="D39" s="11" t="s">
        <v>106</v>
      </c>
      <c r="E39" s="11"/>
      <c r="F39" s="11" t="s">
        <v>98</v>
      </c>
      <c r="G39" s="76"/>
      <c r="H39" s="88" t="s">
        <v>225</v>
      </c>
      <c r="I39" s="122" t="str">
        <f>IF(_epmOfflineCondition_,"N",_xll.EVPRO($B$1,$H39,"STYLE"))</f>
        <v>N</v>
      </c>
      <c r="J39" s="122" t="str">
        <f>IF(_epmOfflineCondition_,"N",_xll.EVPRO($B$1,$H39,"CALC"))</f>
        <v>N</v>
      </c>
      <c r="K39" s="179" t="str">
        <f t="shared" si="0"/>
        <v/>
      </c>
      <c r="L39" s="90" t="str">
        <f>IF(_epmOfflineCondition_,"710180",_xll.EVPRO($B$1,H39,"JDEID"))</f>
        <v>710180</v>
      </c>
      <c r="M39" s="90" t="str">
        <f>IF(_epmOfflineCondition_,"590535",IF(AND(I39="N",J39="N"),_xll.EVPRO($B$1,H39,"PSFTID"),""))</f>
        <v>590535</v>
      </c>
      <c r="N39" s="90" t="str">
        <f>IF(_epmOfflineCondition_,"Res Cost - Hotel Website",IF(_xll.EVDES(H39,$B$1)="#NODATA","",_xll.EVDES(H39,$B$1)))</f>
        <v>Res Cost - Hotel Website</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212">
        <f t="shared" si="7"/>
        <v>0</v>
      </c>
      <c r="AK39" s="213">
        <f t="shared" si="8"/>
        <v>0</v>
      </c>
      <c r="AL39" s="214">
        <f t="shared" si="9"/>
        <v>0</v>
      </c>
      <c r="AM39" s="215">
        <f t="shared" si="10"/>
        <v>0</v>
      </c>
      <c r="AN39" s="214">
        <f t="shared" si="11"/>
        <v>0</v>
      </c>
      <c r="AO39" s="11"/>
    </row>
    <row r="40" spans="1:41" x14ac:dyDescent="0.35">
      <c r="A40" s="11" t="s">
        <v>102</v>
      </c>
      <c r="B40" s="11"/>
      <c r="C40" s="109" t="s">
        <v>101</v>
      </c>
      <c r="D40" s="11" t="s">
        <v>107</v>
      </c>
      <c r="E40" s="11"/>
      <c r="F40" s="11" t="s">
        <v>99</v>
      </c>
      <c r="G40" s="76"/>
      <c r="H40" s="88" t="s">
        <v>226</v>
      </c>
      <c r="I40" s="122" t="str">
        <f>IF(_epmOfflineCondition_,"T5",_xll.EVPRO($B$1,$H40,"STYLE"))</f>
        <v>T5</v>
      </c>
      <c r="J40" s="122" t="str">
        <f>IF(_epmOfflineCondition_,"Y",_xll.EVPRO($B$1,$H40,"CALC"))</f>
        <v>Y</v>
      </c>
      <c r="K40" s="179" t="str">
        <f t="shared" si="0"/>
        <v>&gt;</v>
      </c>
      <c r="L40" s="90" t="str">
        <f>IF(_epmOfflineCondition_,"710190",_xll.EVPRO($B$1,H40,"JDEID"))</f>
        <v>710190</v>
      </c>
      <c r="M40" s="90" t="str">
        <f>IF(_epmOfflineCondition_,"",IF(AND(I40="N",J40="N"),_xll.EVPRO($B$1,H40,"PSFTID"),""))</f>
        <v/>
      </c>
      <c r="N40" s="90" t="str">
        <f>IF(_epmOfflineCondition_,"E-Channel Fees",IF(_xll.EVDES(H40,$B$1)="#NODATA","",_xll.EVDES(H40,$B$1)))</f>
        <v>E-Channel Fees</v>
      </c>
      <c r="O40" s="217"/>
      <c r="P40" s="217"/>
      <c r="Q40" s="217"/>
      <c r="R40" s="217"/>
      <c r="S40" s="217"/>
      <c r="T40" s="217"/>
      <c r="U40" s="217"/>
      <c r="V40" s="217"/>
      <c r="W40" s="217"/>
      <c r="X40" s="217"/>
      <c r="Y40" s="217"/>
      <c r="Z40" s="217"/>
      <c r="AA40" s="251">
        <f t="shared" si="1"/>
        <v>0</v>
      </c>
      <c r="AB40" s="219" t="str">
        <f t="shared" si="2"/>
        <v/>
      </c>
      <c r="AC40" s="140"/>
      <c r="AD40" s="217"/>
      <c r="AE40" s="219" t="str">
        <f t="shared" si="3"/>
        <v/>
      </c>
      <c r="AF40" s="220">
        <f t="shared" si="4"/>
        <v>0</v>
      </c>
      <c r="AG40" s="217"/>
      <c r="AH40" s="219" t="str">
        <f t="shared" si="5"/>
        <v/>
      </c>
      <c r="AI40" s="220">
        <f t="shared" si="6"/>
        <v>0</v>
      </c>
      <c r="AJ40" s="221">
        <f t="shared" si="7"/>
        <v>0</v>
      </c>
      <c r="AK40" s="222">
        <f t="shared" si="8"/>
        <v>0</v>
      </c>
      <c r="AL40" s="223">
        <f t="shared" si="9"/>
        <v>0</v>
      </c>
      <c r="AM40" s="224">
        <f t="shared" si="10"/>
        <v>0</v>
      </c>
      <c r="AN40" s="223">
        <f t="shared" si="11"/>
        <v>0</v>
      </c>
      <c r="AO40" s="11"/>
    </row>
    <row r="41" spans="1:41" x14ac:dyDescent="0.35">
      <c r="A41" s="11" t="s">
        <v>244</v>
      </c>
      <c r="B41" s="11"/>
      <c r="C41" s="109" t="s">
        <v>101</v>
      </c>
      <c r="D41" s="11" t="s">
        <v>107</v>
      </c>
      <c r="E41" s="11"/>
      <c r="F41" s="11" t="s">
        <v>99</v>
      </c>
      <c r="G41" s="76"/>
      <c r="H41" s="88" t="s">
        <v>227</v>
      </c>
      <c r="I41" s="188" t="str">
        <f>IF(_epmOfflineCondition_,"T4",_xll.EVPRO($B$1,$H41,"STYLE"))</f>
        <v>T4</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IF(_epmOfflineCondition_,"Total Reservations Fees",IF(_xll.EVDES(H41,$B$1)="#NODATA","",_xll.EVDES(H41,$B$1)))</f>
        <v>Total Reservations Fees</v>
      </c>
      <c r="O41" s="225">
        <v>776</v>
      </c>
      <c r="P41" s="225">
        <v>509</v>
      </c>
      <c r="Q41" s="225">
        <v>523.4</v>
      </c>
      <c r="R41" s="225">
        <v>160</v>
      </c>
      <c r="S41" s="225"/>
      <c r="T41" s="225">
        <v>12.8</v>
      </c>
      <c r="U41" s="225">
        <v>75.599999999999994</v>
      </c>
      <c r="V41" s="225">
        <v>43.6</v>
      </c>
      <c r="W41" s="225">
        <v>26.4</v>
      </c>
      <c r="X41" s="225">
        <v>-17.600000000000001</v>
      </c>
      <c r="Y41" s="225">
        <v>51.2</v>
      </c>
      <c r="Z41" s="225">
        <v>57.6</v>
      </c>
      <c r="AA41" s="225">
        <f t="shared" si="1"/>
        <v>2218</v>
      </c>
      <c r="AB41" s="226">
        <f t="shared" si="2"/>
        <v>5.1170248353346943E-2</v>
      </c>
      <c r="AC41" s="227"/>
      <c r="AD41" s="225">
        <v>4702.7507999999998</v>
      </c>
      <c r="AE41" s="226">
        <f t="shared" si="3"/>
        <v>5.0254271664192378E-2</v>
      </c>
      <c r="AF41" s="228">
        <f t="shared" si="4"/>
        <v>-2484.7507999999998</v>
      </c>
      <c r="AG41" s="225">
        <v>4213.6000000000004</v>
      </c>
      <c r="AH41" s="226">
        <f t="shared" si="5"/>
        <v>6.0694704885393663E-2</v>
      </c>
      <c r="AI41" s="228">
        <f t="shared" si="6"/>
        <v>-1995.6000000000004</v>
      </c>
      <c r="AJ41" s="229">
        <f t="shared" si="7"/>
        <v>0.11062344139650873</v>
      </c>
      <c r="AK41" s="230">
        <f t="shared" si="8"/>
        <v>0.12442785553644661</v>
      </c>
      <c r="AL41" s="231">
        <f t="shared" si="9"/>
        <v>-1.3804414139937882E-2</v>
      </c>
      <c r="AM41" s="232">
        <f t="shared" si="10"/>
        <v>0.1281430569916672</v>
      </c>
      <c r="AN41" s="231">
        <f t="shared" si="11"/>
        <v>-1.7519615595158466E-2</v>
      </c>
      <c r="AO41" s="11"/>
    </row>
    <row r="42" spans="1:41" x14ac:dyDescent="0.35">
      <c r="A42" s="11"/>
      <c r="B42" s="11"/>
      <c r="C42" s="11"/>
      <c r="D42" s="11"/>
      <c r="E42" s="11"/>
      <c r="F42" s="11"/>
      <c r="G42" s="76"/>
      <c r="H42" s="185" t="s">
        <v>228</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IF(_epmOfflineCondition_,"Total Telephone Cost    ",IF(_xll.EVDES(H42,$B$1)="#NODATA","",_xll.EVDES(H42,$B$1)))</f>
        <v xml:space="preserve">Total Telephone Cost    </v>
      </c>
      <c r="O42" s="210"/>
      <c r="P42" s="210"/>
      <c r="Q42" s="210"/>
      <c r="R42" s="210"/>
      <c r="S42" s="210"/>
      <c r="T42" s="210"/>
      <c r="U42" s="210"/>
      <c r="V42" s="210"/>
      <c r="W42" s="210"/>
      <c r="X42" s="210"/>
      <c r="Y42" s="210"/>
      <c r="Z42" s="210"/>
      <c r="AA42" s="252">
        <f t="shared" si="1"/>
        <v>0</v>
      </c>
      <c r="AB42" s="211" t="str">
        <f t="shared" si="2"/>
        <v/>
      </c>
      <c r="AC42" s="140"/>
      <c r="AD42" s="210"/>
      <c r="AE42" s="211" t="str">
        <f t="shared" si="3"/>
        <v/>
      </c>
      <c r="AF42" s="253">
        <f t="shared" si="4"/>
        <v>0</v>
      </c>
      <c r="AG42" s="210"/>
      <c r="AH42" s="211" t="str">
        <f t="shared" si="5"/>
        <v/>
      </c>
      <c r="AI42" s="253">
        <f t="shared" si="6"/>
        <v>0</v>
      </c>
      <c r="AJ42" s="234">
        <f t="shared" si="7"/>
        <v>0</v>
      </c>
      <c r="AK42" s="235">
        <f t="shared" si="8"/>
        <v>0</v>
      </c>
      <c r="AL42" s="236">
        <f t="shared" si="9"/>
        <v>0</v>
      </c>
      <c r="AM42" s="237">
        <f t="shared" si="10"/>
        <v>0</v>
      </c>
      <c r="AN42" s="236">
        <f t="shared" si="11"/>
        <v>0</v>
      </c>
      <c r="AO42" s="11"/>
    </row>
    <row r="43" spans="1:41" x14ac:dyDescent="0.35">
      <c r="A43" s="11"/>
      <c r="B43" s="11"/>
      <c r="C43" s="11"/>
      <c r="D43" s="11"/>
      <c r="E43" s="11"/>
      <c r="F43" s="11"/>
      <c r="G43" s="76"/>
      <c r="H43" s="185" t="s">
        <v>241</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IF(_epmOfflineCondition_,"Other Reservations Expenses",IF(_xll.EVDES(H43,$B$1)="#NODATA","",_xll.EVDES(H43,$B$1)))</f>
        <v>Other Reservations Expenses</v>
      </c>
      <c r="O43" s="217"/>
      <c r="P43" s="217"/>
      <c r="Q43" s="217"/>
      <c r="R43" s="217"/>
      <c r="S43" s="217"/>
      <c r="T43" s="217"/>
      <c r="U43" s="217">
        <v>90</v>
      </c>
      <c r="V43" s="217">
        <v>90</v>
      </c>
      <c r="W43" s="217"/>
      <c r="X43" s="217"/>
      <c r="Y43" s="217"/>
      <c r="Z43" s="217"/>
      <c r="AA43" s="251">
        <f t="shared" si="1"/>
        <v>180</v>
      </c>
      <c r="AB43" s="219">
        <f t="shared" si="2"/>
        <v>4.1526802090182374E-3</v>
      </c>
      <c r="AC43" s="140"/>
      <c r="AD43" s="217"/>
      <c r="AE43" s="219" t="str">
        <f t="shared" si="3"/>
        <v/>
      </c>
      <c r="AF43" s="220">
        <f t="shared" si="4"/>
        <v>180</v>
      </c>
      <c r="AG43" s="217">
        <v>0</v>
      </c>
      <c r="AH43" s="219" t="str">
        <f t="shared" si="5"/>
        <v/>
      </c>
      <c r="AI43" s="220">
        <f t="shared" si="6"/>
        <v>180</v>
      </c>
      <c r="AJ43" s="221">
        <f t="shared" si="7"/>
        <v>8.9775561097256863E-3</v>
      </c>
      <c r="AK43" s="222">
        <f t="shared" si="8"/>
        <v>0</v>
      </c>
      <c r="AL43" s="223">
        <f t="shared" si="9"/>
        <v>8.9775561097256863E-3</v>
      </c>
      <c r="AM43" s="224">
        <f t="shared" si="10"/>
        <v>0</v>
      </c>
      <c r="AN43" s="223">
        <f t="shared" si="11"/>
        <v>8.9775561097256863E-3</v>
      </c>
      <c r="AO43" s="11"/>
    </row>
    <row r="44" spans="1:41" x14ac:dyDescent="0.35">
      <c r="A44" s="61" t="str">
        <f>IF(_epmOfflineCondition_,"Evdre:Ok",_xll.EVDRE($B$1,A47:B54))</f>
        <v>Evdre:Ok</v>
      </c>
      <c r="B44" s="11"/>
      <c r="C44" s="11"/>
      <c r="D44" s="11"/>
      <c r="E44" s="11"/>
      <c r="F44" s="11"/>
      <c r="G44" s="76"/>
      <c r="H44" s="185" t="s">
        <v>229</v>
      </c>
      <c r="I44" s="188" t="str">
        <f>IF(_epmOfflineCondition_,"T4",_xll.EVPRO($B$1,$H44,"STYLE"))</f>
        <v>T4</v>
      </c>
      <c r="J44" s="188" t="str">
        <f>IF(_epmOfflineCondition_,"Y",_xll.EVPRO($B$1,$H44,"CALC"))</f>
        <v>Y</v>
      </c>
      <c r="K44" s="189" t="str">
        <f t="shared" si="0"/>
        <v/>
      </c>
      <c r="L44" s="190" t="str">
        <f>IF(_epmOfflineCondition_,"",_xll.EVPRO($B$1,H44,"JDEID"))</f>
        <v/>
      </c>
      <c r="M44" s="190" t="str">
        <f>IF(_epmOfflineCondition_,"",IF(AND(I44="N",J44="N"),_xll.EVPRO($B$1,H44,"PSFTID"),""))</f>
        <v/>
      </c>
      <c r="N44" s="190" t="str">
        <f>IF(_epmOfflineCondition_,"Total Other Reservation Expenses",IF(_xll.EVDES(H44,$B$1)="#NODATA","",_xll.EVDES(H44,$B$1)))</f>
        <v>Total Other Reservation Expenses</v>
      </c>
      <c r="O44" s="238"/>
      <c r="P44" s="238"/>
      <c r="Q44" s="238"/>
      <c r="R44" s="238"/>
      <c r="S44" s="238"/>
      <c r="T44" s="238"/>
      <c r="U44" s="238">
        <v>90</v>
      </c>
      <c r="V44" s="238">
        <v>90</v>
      </c>
      <c r="W44" s="238"/>
      <c r="X44" s="238"/>
      <c r="Y44" s="238"/>
      <c r="Z44" s="238"/>
      <c r="AA44" s="238">
        <f t="shared" si="1"/>
        <v>180</v>
      </c>
      <c r="AB44" s="239">
        <f t="shared" si="2"/>
        <v>4.1526802090182374E-3</v>
      </c>
      <c r="AC44" s="240"/>
      <c r="AD44" s="238"/>
      <c r="AE44" s="239" t="str">
        <f t="shared" si="3"/>
        <v/>
      </c>
      <c r="AF44" s="241">
        <f t="shared" si="4"/>
        <v>180</v>
      </c>
      <c r="AG44" s="238">
        <v>0</v>
      </c>
      <c r="AH44" s="239" t="str">
        <f t="shared" si="5"/>
        <v/>
      </c>
      <c r="AI44" s="241">
        <f t="shared" si="6"/>
        <v>180</v>
      </c>
      <c r="AJ44" s="242">
        <f t="shared" si="7"/>
        <v>8.9775561097256863E-3</v>
      </c>
      <c r="AK44" s="243">
        <f t="shared" si="8"/>
        <v>0</v>
      </c>
      <c r="AL44" s="244">
        <f t="shared" si="9"/>
        <v>8.9775561097256863E-3</v>
      </c>
      <c r="AM44" s="245">
        <f t="shared" si="10"/>
        <v>0</v>
      </c>
      <c r="AN44" s="244">
        <f t="shared" si="11"/>
        <v>8.9775561097256863E-3</v>
      </c>
      <c r="AO44" s="11"/>
    </row>
    <row r="45" spans="1:41" x14ac:dyDescent="0.35">
      <c r="A45" s="11"/>
      <c r="B45" s="11"/>
      <c r="C45" s="11"/>
      <c r="D45" s="11"/>
      <c r="E45" s="11"/>
      <c r="F45" s="11"/>
      <c r="G45" s="76"/>
      <c r="H45" s="185" t="s">
        <v>77</v>
      </c>
      <c r="I45" s="188" t="str">
        <f>IF(_epmOfflineCondition_,"T4",_xll.EVPRO($B$1,$H45,"STYLE"))</f>
        <v>T4</v>
      </c>
      <c r="J45" s="188" t="str">
        <f>IF(_epmOfflineCondition_,"Y",_xll.EVPRO($B$1,$H45,"CALC"))</f>
        <v>Y</v>
      </c>
      <c r="K45" s="189" t="str">
        <f t="shared" si="0"/>
        <v/>
      </c>
      <c r="L45" s="190" t="str">
        <f>IF(_epmOfflineCondition_,"710000",_xll.EVPRO($B$1,H45,"JDEID"))</f>
        <v>710000</v>
      </c>
      <c r="M45" s="190" t="str">
        <f>IF(_epmOfflineCondition_,"",IF(AND(I45="N",J45="N"),_xll.EVPRO($B$1,H45,"PSFTID"),""))</f>
        <v/>
      </c>
      <c r="N45" s="190" t="str">
        <f>IF(_epmOfflineCondition_,"Total Reservations Fees &amp; Other Exp",IF(_xll.EVDES(H45,$B$1)="#NODATA","",_xll.EVDES(H45,$B$1)))</f>
        <v>Total Reservations Fees &amp; Other Exp</v>
      </c>
      <c r="O45" s="225">
        <v>776</v>
      </c>
      <c r="P45" s="225">
        <v>509</v>
      </c>
      <c r="Q45" s="225">
        <v>523.4</v>
      </c>
      <c r="R45" s="225">
        <v>160</v>
      </c>
      <c r="S45" s="225"/>
      <c r="T45" s="225">
        <v>12.8</v>
      </c>
      <c r="U45" s="225">
        <v>165.6</v>
      </c>
      <c r="V45" s="225">
        <v>133.6</v>
      </c>
      <c r="W45" s="225">
        <v>26.4</v>
      </c>
      <c r="X45" s="225">
        <v>-17.600000000000001</v>
      </c>
      <c r="Y45" s="225">
        <v>51.2</v>
      </c>
      <c r="Z45" s="225">
        <v>57.6</v>
      </c>
      <c r="AA45" s="225">
        <f t="shared" si="1"/>
        <v>2398</v>
      </c>
      <c r="AB45" s="226">
        <f t="shared" si="2"/>
        <v>5.5322928562365183E-2</v>
      </c>
      <c r="AC45" s="227"/>
      <c r="AD45" s="225">
        <v>4702.7507999999998</v>
      </c>
      <c r="AE45" s="226">
        <f t="shared" si="3"/>
        <v>5.0254271664192378E-2</v>
      </c>
      <c r="AF45" s="228">
        <f t="shared" si="4"/>
        <v>-2304.7507999999998</v>
      </c>
      <c r="AG45" s="225">
        <v>4213.6000000000004</v>
      </c>
      <c r="AH45" s="226">
        <f t="shared" si="5"/>
        <v>6.0694704885393663E-2</v>
      </c>
      <c r="AI45" s="228">
        <f t="shared" si="6"/>
        <v>-1815.6000000000004</v>
      </c>
      <c r="AJ45" s="229">
        <f t="shared" si="7"/>
        <v>0.11960099750623442</v>
      </c>
      <c r="AK45" s="230">
        <f t="shared" si="8"/>
        <v>0.12442785553644661</v>
      </c>
      <c r="AL45" s="231">
        <f t="shared" si="9"/>
        <v>-4.8268580302121972E-3</v>
      </c>
      <c r="AM45" s="232">
        <f t="shared" si="10"/>
        <v>0.1281430569916672</v>
      </c>
      <c r="AN45" s="231">
        <f t="shared" si="11"/>
        <v>-8.5420594854327819E-3</v>
      </c>
      <c r="AO45" s="11"/>
    </row>
    <row r="46" spans="1:41" x14ac:dyDescent="0.35">
      <c r="A46" s="62" t="s">
        <v>0</v>
      </c>
      <c r="B46" s="63" t="s">
        <v>1</v>
      </c>
      <c r="C46" s="11"/>
      <c r="D46" s="11"/>
      <c r="E46" s="11"/>
      <c r="F46" s="11"/>
      <c r="G46" s="76"/>
      <c r="H46" s="88"/>
      <c r="I46" s="89"/>
      <c r="J46" s="89"/>
      <c r="K46" s="265"/>
      <c r="L46" s="265"/>
      <c r="M46" s="265"/>
      <c r="N46" s="106"/>
      <c r="O46" s="364"/>
      <c r="P46" s="364"/>
      <c r="Q46" s="364"/>
      <c r="R46" s="364"/>
      <c r="S46" s="364"/>
      <c r="T46" s="364"/>
      <c r="U46" s="364"/>
      <c r="V46" s="364"/>
      <c r="W46" s="364"/>
      <c r="X46" s="364"/>
      <c r="Y46" s="364"/>
      <c r="Z46" s="364"/>
      <c r="AA46" s="364"/>
      <c r="AB46" s="365"/>
      <c r="AC46" s="11"/>
      <c r="AD46" s="364"/>
      <c r="AE46" s="365"/>
      <c r="AF46" s="366"/>
      <c r="AG46" s="364"/>
      <c r="AH46" s="365"/>
      <c r="AI46" s="366"/>
      <c r="AJ46" s="11"/>
      <c r="AK46" s="11"/>
      <c r="AL46" s="11"/>
      <c r="AM46" s="11"/>
      <c r="AN46" s="11"/>
      <c r="AO46" s="11"/>
    </row>
    <row r="47" spans="1:41" x14ac:dyDescent="0.35">
      <c r="A47" s="65" t="s">
        <v>2</v>
      </c>
      <c r="B47" s="66" t="str">
        <f>IF(_epmOfflineCondition_,"'Resv'!$B$2:$B$10",_xll.EVRNG($B$2:$B$10))</f>
        <v>'Resv'!$B$2:$B$10</v>
      </c>
      <c r="C47" s="11"/>
      <c r="D47" s="11"/>
      <c r="E47" s="11"/>
      <c r="F47" s="11"/>
      <c r="G47" s="76"/>
      <c r="H47" s="88"/>
      <c r="I47" s="136"/>
      <c r="J47" s="136"/>
      <c r="K47" s="11"/>
      <c r="L47" s="11"/>
      <c r="M47" s="11"/>
      <c r="N47" s="104" t="s">
        <v>242</v>
      </c>
      <c r="O47" s="217">
        <f t="shared" ref="O47:Z47" si="12">SUMIF($H$34:$H$48,"700000",O34:O48)-SUMIF($H$34:$H$48,"710000",O34:O48)</f>
        <v>11182.79</v>
      </c>
      <c r="P47" s="217">
        <f t="shared" si="12"/>
        <v>11273.52</v>
      </c>
      <c r="Q47" s="217">
        <f t="shared" si="12"/>
        <v>3741.9999999999995</v>
      </c>
      <c r="R47" s="217">
        <f t="shared" si="12"/>
        <v>-62.569999999999993</v>
      </c>
      <c r="S47" s="217">
        <f t="shared" si="12"/>
        <v>-114.03</v>
      </c>
      <c r="T47" s="217">
        <f t="shared" si="12"/>
        <v>898.65000000000009</v>
      </c>
      <c r="U47" s="217">
        <f t="shared" si="12"/>
        <v>736.14</v>
      </c>
      <c r="V47" s="217">
        <f t="shared" si="12"/>
        <v>1152.1500000000001</v>
      </c>
      <c r="W47" s="217">
        <f t="shared" si="12"/>
        <v>2109.16</v>
      </c>
      <c r="X47" s="217">
        <f t="shared" si="12"/>
        <v>2624.54</v>
      </c>
      <c r="Y47" s="217">
        <f t="shared" si="12"/>
        <v>2551.09</v>
      </c>
      <c r="Z47" s="217">
        <f t="shared" si="12"/>
        <v>4854.0599999999995</v>
      </c>
      <c r="AA47" s="217">
        <f>IF($I47="B1","",SUM(O47:Z47))</f>
        <v>40947.5</v>
      </c>
      <c r="AB47" s="219">
        <f>IF(AA47=0,"",IFERROR(AA47/AA$19,""))</f>
        <v>0.9446770714376348</v>
      </c>
      <c r="AC47" s="140"/>
      <c r="AD47" s="217">
        <f>SUMIF($H$34:$H$48,"700000",AD34:AD48)-SUMIF($H$34:$H$48,"710000",AD34:AD48)</f>
        <v>88876.374800000413</v>
      </c>
      <c r="AE47" s="219">
        <f>IF(AD47=0,"",IFERROR(AD47/AD$19,""))</f>
        <v>0.94974572833580773</v>
      </c>
      <c r="AF47" s="220">
        <f>IF(AND($AA47="",AD47=""),"",$AA47-AD47)</f>
        <v>-47928.874800000413</v>
      </c>
      <c r="AG47" s="217">
        <f>SUMIF($H$34:$H$48,"700000",AG34:AG48)-SUMIF($H$34:$H$48,"710000",AG34:AG48)</f>
        <v>65209.26</v>
      </c>
      <c r="AH47" s="219">
        <f>IF(AG47=0,"",IFERROR(AG47/AG$19,""))</f>
        <v>0.93930529511460636</v>
      </c>
      <c r="AI47" s="220">
        <f>IF(AND($AA47="",AG47=""),"",$AA47-AG47)</f>
        <v>-24261.760000000002</v>
      </c>
      <c r="AJ47" s="373">
        <f>IFERROR(AA47/AA$22,0)</f>
        <v>2.0422693266832916</v>
      </c>
      <c r="AK47" s="374">
        <f>IFERROR(AD47/AD$22,0)</f>
        <v>2.3515378965471734</v>
      </c>
      <c r="AL47" s="375">
        <f>AJ47-AK47</f>
        <v>-0.30926856986388174</v>
      </c>
      <c r="AM47" s="376">
        <f>IFERROR(AG47/AG$22,0)</f>
        <v>1.9831293716927194</v>
      </c>
      <c r="AN47" s="375">
        <f>AJ47-AM47</f>
        <v>5.913995499057223E-2</v>
      </c>
      <c r="AO47" s="11"/>
    </row>
    <row r="48" spans="1:41" x14ac:dyDescent="0.35">
      <c r="A48" s="65" t="s">
        <v>3</v>
      </c>
      <c r="B48" s="66" t="str">
        <f>IF(_epmOfflineCondition_,"'Resv'!$O$16:$AN$18",_xll.EVRNG($O$16:$AN$18))</f>
        <v>'Resv'!$O$16:$AN$18</v>
      </c>
      <c r="C48" s="11"/>
      <c r="D48" s="11"/>
      <c r="E48" s="11"/>
      <c r="F48" s="11"/>
      <c r="G48" s="367"/>
      <c r="H48" s="88" t="s">
        <v>79</v>
      </c>
      <c r="I48" s="136" t="str">
        <f>IF(_epmOfflineCondition_,"T3",_xll.EVPRO($B$1,$H48,"STYLE"))</f>
        <v>T3</v>
      </c>
      <c r="J48" s="136" t="str">
        <f>IF(_epmOfflineCondition_,"Y",_xll.EVPRO($B$1,$H48,"CALC"))</f>
        <v>Y</v>
      </c>
      <c r="K48" s="11"/>
      <c r="L48" s="11"/>
      <c r="M48" s="11"/>
      <c r="N48" s="107" t="s">
        <v>243</v>
      </c>
      <c r="O48" s="377">
        <v>11958.79</v>
      </c>
      <c r="P48" s="377">
        <v>11782.52</v>
      </c>
      <c r="Q48" s="377">
        <v>4265.3999999999996</v>
      </c>
      <c r="R48" s="377">
        <v>97.43</v>
      </c>
      <c r="S48" s="377">
        <v>-114.03</v>
      </c>
      <c r="T48" s="377">
        <v>911.45</v>
      </c>
      <c r="U48" s="377">
        <v>901.74</v>
      </c>
      <c r="V48" s="377">
        <v>1285.75</v>
      </c>
      <c r="W48" s="377">
        <v>2135.56</v>
      </c>
      <c r="X48" s="377">
        <v>2606.94</v>
      </c>
      <c r="Y48" s="377">
        <v>2602.29</v>
      </c>
      <c r="Z48" s="377">
        <v>4911.66</v>
      </c>
      <c r="AA48" s="377">
        <f>IF($I48="B1","",SUM(O48:Z48))</f>
        <v>43345.5</v>
      </c>
      <c r="AB48" s="378">
        <f>IF(AA48=0,"",IFERROR(AA48/AA$19,""))</f>
        <v>1</v>
      </c>
      <c r="AC48" s="140"/>
      <c r="AD48" s="377">
        <v>93579.125600000407</v>
      </c>
      <c r="AE48" s="378">
        <f>IF(AD48=0,"",IFERROR(AD48/AD$19,""))</f>
        <v>1</v>
      </c>
      <c r="AF48" s="379">
        <f>IF(AND($AA48="",AD48=""),"",$AA48-AD48)</f>
        <v>-50233.625600000407</v>
      </c>
      <c r="AG48" s="377">
        <v>69422.86</v>
      </c>
      <c r="AH48" s="378">
        <f>IF(AG48=0,"",IFERROR(AG48/AG$19,""))</f>
        <v>1</v>
      </c>
      <c r="AI48" s="379">
        <f>IF(AND($AA48="",AG48=""),"",$AA48-AG48)</f>
        <v>-26077.360000000001</v>
      </c>
      <c r="AJ48" s="234">
        <f>IFERROR(AA48/AA$22,0)</f>
        <v>2.1618703241895263</v>
      </c>
      <c r="AK48" s="235">
        <f>IFERROR(AD48/AD$22,0)</f>
        <v>2.4759657520836198</v>
      </c>
      <c r="AL48" s="236">
        <f>AJ48-AK48</f>
        <v>-0.3140954278940935</v>
      </c>
      <c r="AM48" s="237">
        <f>IFERROR(AG48/AG$22,0)</f>
        <v>2.1112724286843867</v>
      </c>
      <c r="AN48" s="236">
        <f>AJ48-AM48</f>
        <v>5.0597895505139601E-2</v>
      </c>
      <c r="AO48" s="11"/>
    </row>
    <row r="49" spans="1:41" x14ac:dyDescent="0.35">
      <c r="A49" s="65" t="s">
        <v>4</v>
      </c>
      <c r="B49" s="66" t="str">
        <f>IF(_epmOfflineCondition_,"'Resv'!$H$47:$H$51",_xll.EVRNG(H47:H51))</f>
        <v>'Resv'!$H$47:$H$51</v>
      </c>
      <c r="C49" s="11"/>
      <c r="D49" s="11"/>
      <c r="E49" s="11"/>
      <c r="F49" s="11"/>
      <c r="G49" s="76"/>
      <c r="H49" s="88"/>
      <c r="I49" s="136"/>
      <c r="J49" s="136"/>
      <c r="K49" s="11"/>
      <c r="L49" s="11"/>
      <c r="M49" s="11"/>
      <c r="N49" s="368"/>
      <c r="O49" s="143"/>
      <c r="P49" s="143"/>
      <c r="Q49" s="143"/>
      <c r="R49" s="143"/>
      <c r="S49" s="143"/>
      <c r="T49" s="143"/>
      <c r="U49" s="143"/>
      <c r="V49" s="143"/>
      <c r="W49" s="143"/>
      <c r="X49" s="143"/>
      <c r="Y49" s="143"/>
      <c r="Z49" s="143"/>
      <c r="AA49" s="143"/>
      <c r="AB49" s="144"/>
      <c r="AC49" s="140"/>
      <c r="AD49" s="143"/>
      <c r="AE49" s="144"/>
      <c r="AF49" s="145"/>
      <c r="AG49" s="143"/>
      <c r="AH49" s="144"/>
      <c r="AI49" s="145"/>
      <c r="AJ49" s="140"/>
      <c r="AK49" s="140"/>
      <c r="AL49" s="140"/>
      <c r="AM49" s="140"/>
      <c r="AN49" s="140"/>
      <c r="AO49" s="11"/>
    </row>
    <row r="50" spans="1:41" x14ac:dyDescent="0.35">
      <c r="A50" s="65" t="s">
        <v>5</v>
      </c>
      <c r="B50" s="66"/>
      <c r="C50" s="11"/>
      <c r="D50" s="11"/>
      <c r="E50" s="11"/>
      <c r="F50" s="11"/>
      <c r="G50" s="76"/>
      <c r="H50" s="88" t="s">
        <v>76</v>
      </c>
      <c r="I50" s="136" t="str">
        <f>IF(_epmOfflineCondition_,"T1",_xll.EVPRO($B$1,$H50,"STYLE"))</f>
        <v>T1</v>
      </c>
      <c r="J50" s="136" t="str">
        <f>IF(_epmOfflineCondition_,"Y",_xll.EVPRO($B$1,$H50,"CALC"))</f>
        <v>Y</v>
      </c>
      <c r="K50" s="11"/>
      <c r="L50" s="11"/>
      <c r="M50" s="11"/>
      <c r="N50" s="368" t="str">
        <f>IF(_epmOfflineCondition_,"Total Labor &amp; Related Exp",IF(_xll.EVDES(H50,$B$1)="#NODATA","",_xll.EVDES(H50,$B$1)))</f>
        <v>Total Labor &amp; Related Exp</v>
      </c>
      <c r="O50" s="217">
        <v>3317.88</v>
      </c>
      <c r="P50" s="217">
        <v>2485.29</v>
      </c>
      <c r="Q50" s="217">
        <v>1506.37</v>
      </c>
      <c r="R50" s="217">
        <v>5.01</v>
      </c>
      <c r="S50" s="217">
        <v>605.01</v>
      </c>
      <c r="T50" s="217">
        <v>1285.01</v>
      </c>
      <c r="U50" s="217"/>
      <c r="V50" s="217">
        <v>900</v>
      </c>
      <c r="W50" s="217">
        <v>900</v>
      </c>
      <c r="X50" s="217"/>
      <c r="Y50" s="217"/>
      <c r="Z50" s="217"/>
      <c r="AA50" s="217">
        <f>IF($I50="B1","",SUM(O50:Z50))</f>
        <v>11004.57</v>
      </c>
      <c r="AB50" s="219"/>
      <c r="AC50" s="140"/>
      <c r="AD50" s="217">
        <v>26865.689216349001</v>
      </c>
      <c r="AE50" s="219"/>
      <c r="AF50" s="220">
        <f>IF(AND($AA50="",AD50=""),"",$AA50-AD50)</f>
        <v>-15861.119216349001</v>
      </c>
      <c r="AG50" s="217">
        <v>27380.84</v>
      </c>
      <c r="AH50" s="219"/>
      <c r="AI50" s="220">
        <f>IF(AND($AA50="",AG50=""),"",$AA50-AG50)</f>
        <v>-16376.27</v>
      </c>
      <c r="AJ50" s="221">
        <f>IFERROR(AA50/AA$22,0)</f>
        <v>0.5488563591022444</v>
      </c>
      <c r="AK50" s="222">
        <f>IFERROR(AD50/AD$22,0)</f>
        <v>0.71082654362611464</v>
      </c>
      <c r="AL50" s="223">
        <f>AJ50-AK50</f>
        <v>-0.16197018452387024</v>
      </c>
      <c r="AM50" s="224">
        <f>IFERROR(AG50/AG$22,0)</f>
        <v>0.83269995742351444</v>
      </c>
      <c r="AN50" s="223">
        <f>AJ50-AM50</f>
        <v>-0.28384359832127004</v>
      </c>
      <c r="AO50" s="11"/>
    </row>
    <row r="51" spans="1:41" ht="15" thickBot="1" x14ac:dyDescent="0.4">
      <c r="A51" s="65" t="s">
        <v>6</v>
      </c>
      <c r="B51" s="66"/>
      <c r="C51" s="11"/>
      <c r="D51" s="11"/>
      <c r="E51" s="11"/>
      <c r="F51" s="11"/>
      <c r="G51" s="76"/>
      <c r="H51" s="88" t="s">
        <v>80</v>
      </c>
      <c r="I51" s="136" t="str">
        <f>IF(_epmOfflineCondition_,"T3",_xll.EVPRO($B$1,$H51,"STYLE"))</f>
        <v>T3</v>
      </c>
      <c r="J51" s="136" t="str">
        <f>IF(_epmOfflineCondition_,"Y",_xll.EVPRO($B$1,$H51,"CALC"))</f>
        <v>Y</v>
      </c>
      <c r="K51" s="11"/>
      <c r="L51" s="11"/>
      <c r="M51" s="11"/>
      <c r="N51" s="107" t="str">
        <f>IF(_epmOfflineCondition_,"Total Expenses",IF(_xll.EVDES(H51,$B$1)="#NODATA","",_xll.EVDES(H51,$B$1)))</f>
        <v>Total Expenses</v>
      </c>
      <c r="O51" s="169">
        <v>15276.67</v>
      </c>
      <c r="P51" s="169">
        <v>14267.81</v>
      </c>
      <c r="Q51" s="169">
        <v>5771.77</v>
      </c>
      <c r="R51" s="169">
        <v>102.44</v>
      </c>
      <c r="S51" s="169">
        <v>490.98</v>
      </c>
      <c r="T51" s="169">
        <v>2196.46</v>
      </c>
      <c r="U51" s="169">
        <v>901.74</v>
      </c>
      <c r="V51" s="169">
        <v>2185.75</v>
      </c>
      <c r="W51" s="169">
        <v>3035.56</v>
      </c>
      <c r="X51" s="169">
        <v>2606.94</v>
      </c>
      <c r="Y51" s="169">
        <v>2602.29</v>
      </c>
      <c r="Z51" s="169">
        <v>4911.66</v>
      </c>
      <c r="AA51" s="169">
        <f>IF($I51="B1","",SUM(O51:Z51))</f>
        <v>54350.070000000007</v>
      </c>
      <c r="AB51" s="170"/>
      <c r="AC51" s="140"/>
      <c r="AD51" s="169">
        <v>120444.814816349</v>
      </c>
      <c r="AE51" s="170"/>
      <c r="AF51" s="171">
        <f>IF(AND($AA51="",AD51=""),"",$AA51-AD51)</f>
        <v>-66094.74481634899</v>
      </c>
      <c r="AG51" s="169">
        <v>96803.7</v>
      </c>
      <c r="AH51" s="170"/>
      <c r="AI51" s="171">
        <f>IF(AND($AA51="",AG51=""),"",$AA51-AG51)</f>
        <v>-42453.62999999999</v>
      </c>
      <c r="AJ51" s="380">
        <f>IFERROR(AA51/AA$22,0)</f>
        <v>2.7107266832917709</v>
      </c>
      <c r="AK51" s="381">
        <f>IFERROR(AD51/AD$22,0)</f>
        <v>3.1867922957097234</v>
      </c>
      <c r="AL51" s="382">
        <f>AJ51-AK51</f>
        <v>-0.47606561241795253</v>
      </c>
      <c r="AM51" s="383">
        <f>IFERROR(AG51/AG$22,0)</f>
        <v>2.9439723861079008</v>
      </c>
      <c r="AN51" s="382">
        <f>AJ51-AM51</f>
        <v>-0.23324570281612989</v>
      </c>
      <c r="AO51" s="11"/>
    </row>
    <row r="52" spans="1:41" ht="15" thickTop="1" x14ac:dyDescent="0.35">
      <c r="A52" s="65" t="s">
        <v>7</v>
      </c>
      <c r="B52" s="66"/>
      <c r="C52" s="11"/>
      <c r="D52" s="11"/>
      <c r="E52" s="11"/>
      <c r="F52" s="11"/>
      <c r="G52" s="76"/>
      <c r="H52" s="76"/>
      <c r="I52" s="76"/>
      <c r="J52" s="76"/>
      <c r="K52" s="11"/>
      <c r="L52" s="11"/>
      <c r="M52" s="11"/>
      <c r="N52" s="104"/>
      <c r="O52" s="203"/>
      <c r="P52" s="204"/>
      <c r="Q52" s="204"/>
      <c r="R52" s="204"/>
      <c r="S52" s="204"/>
      <c r="T52" s="204"/>
      <c r="U52" s="204"/>
      <c r="V52" s="204"/>
      <c r="W52" s="204"/>
      <c r="X52" s="204"/>
      <c r="Y52" s="204"/>
      <c r="Z52" s="204"/>
      <c r="AA52" s="204"/>
      <c r="AB52" s="118"/>
      <c r="AC52" s="11"/>
      <c r="AD52" s="203"/>
      <c r="AE52" s="204"/>
      <c r="AF52" s="118"/>
      <c r="AG52" s="203"/>
      <c r="AH52" s="204"/>
      <c r="AI52" s="118"/>
      <c r="AJ52" s="11"/>
      <c r="AK52" s="11"/>
      <c r="AL52" s="11"/>
      <c r="AM52" s="11"/>
      <c r="AN52" s="11"/>
      <c r="AO52" s="11"/>
    </row>
    <row r="53" spans="1:41" x14ac:dyDescent="0.35">
      <c r="A53" s="65" t="s">
        <v>47</v>
      </c>
      <c r="B53" s="66" t="str">
        <f>IF(_epmOfflineCondition_,"'Resv'!$A$87:$B$108",_xll.EVRNG($A$87:$B$108))</f>
        <v>'Resv'!$A$87:$B$108</v>
      </c>
      <c r="C53" s="11"/>
      <c r="D53" s="11"/>
      <c r="E53" s="11"/>
      <c r="F53" s="11"/>
      <c r="G53" s="76"/>
      <c r="H53" s="11" t="s">
        <v>240</v>
      </c>
      <c r="I53" s="59" t="str">
        <f>IF(_epmOfflineCondition_,"B1",_xll.EVPRO($B$1,$H53,"STYLE"))</f>
        <v>B1</v>
      </c>
      <c r="J53" s="59" t="str">
        <f>IF(_epmOfflineCondition_,"Y",_xll.EVPRO($B$1,$H53,"CALC"))</f>
        <v>Y</v>
      </c>
      <c r="K53" s="11"/>
      <c r="L53" s="11"/>
      <c r="M53" s="11"/>
      <c r="N53" s="105" t="str">
        <f>IF(_epmOfflineCondition_,"Reservations Statistics",IF(_xll.EVDES(H53,$B$1)="#NODATA","",_xll.EVDES(H53,$B$1)))</f>
        <v>Reservations Statistics</v>
      </c>
      <c r="O53" s="203"/>
      <c r="P53" s="204"/>
      <c r="Q53" s="204"/>
      <c r="R53" s="204"/>
      <c r="S53" s="204"/>
      <c r="T53" s="204"/>
      <c r="U53" s="204"/>
      <c r="V53" s="204"/>
      <c r="W53" s="204"/>
      <c r="X53" s="204"/>
      <c r="Y53" s="204"/>
      <c r="Z53" s="204"/>
      <c r="AA53" s="204"/>
      <c r="AB53" s="118"/>
      <c r="AC53" s="11"/>
      <c r="AD53" s="203"/>
      <c r="AE53" s="204"/>
      <c r="AF53" s="118"/>
      <c r="AG53" s="203"/>
      <c r="AH53" s="204"/>
      <c r="AI53" s="118"/>
      <c r="AJ53" s="11"/>
      <c r="AK53" s="11"/>
      <c r="AL53" s="11"/>
      <c r="AM53" s="11"/>
      <c r="AN53" s="11"/>
      <c r="AO53" s="11"/>
    </row>
    <row r="54" spans="1:41" x14ac:dyDescent="0.35">
      <c r="A54" s="65" t="s">
        <v>8</v>
      </c>
      <c r="B54" s="66"/>
      <c r="C54" s="11"/>
      <c r="D54" s="11"/>
      <c r="E54" s="11"/>
      <c r="F54" s="11"/>
      <c r="G54" s="76"/>
      <c r="H54" s="88" t="s">
        <v>230</v>
      </c>
      <c r="I54" s="136" t="str">
        <f>IF(_epmOfflineCondition_,"N",_xll.EVPRO($B$1,$H54,"STYLE"))</f>
        <v>N</v>
      </c>
      <c r="J54" s="136" t="str">
        <f>IF(_epmOfflineCondition_,"N",_xll.EVPRO($B$1,$H54,"CALC"))</f>
        <v>N</v>
      </c>
      <c r="K54" s="179" t="str">
        <f t="shared" ref="K54:K61" si="13">IF(AND(I54&gt;="T3"),"&gt;","")</f>
        <v/>
      </c>
      <c r="L54" s="369" t="str">
        <f>IF(_epmOfflineCondition_,"910200",_xll.EVPRO($B$1,H54,"JDEID"))</f>
        <v>910200</v>
      </c>
      <c r="M54" s="90" t="str">
        <f>IF(_epmOfflineCondition_,"994300",IF(AND(I54="N",J54="N"),_xll.EVPRO($B$1,H54,"PSFTID"),""))</f>
        <v>994300</v>
      </c>
      <c r="N54" s="104" t="str">
        <f>IF(_epmOfflineCondition_,"# of CRS Calls Answered",IF(_xll.EVDES(H54,$B$1)="#NODATA","",_xll.EVDES(H54,$B$1)))</f>
        <v># of CRS Calls Answered</v>
      </c>
      <c r="O54" s="143"/>
      <c r="P54" s="143"/>
      <c r="Q54" s="143"/>
      <c r="R54" s="143"/>
      <c r="S54" s="143"/>
      <c r="T54" s="143"/>
      <c r="U54" s="143"/>
      <c r="V54" s="143"/>
      <c r="W54" s="143"/>
      <c r="X54" s="143"/>
      <c r="Y54" s="143"/>
      <c r="Z54" s="143"/>
      <c r="AA54" s="143">
        <f t="shared" ref="AA54:AA61" si="14">IF($I54="B1","",SUM(O54:Z54))</f>
        <v>0</v>
      </c>
      <c r="AB54" s="144" t="str">
        <f t="shared" ref="AB54:AB61" si="15">IF(AA54=0,"",IFERROR(AA54/AA$20,""))</f>
        <v/>
      </c>
      <c r="AC54" s="140"/>
      <c r="AD54" s="143"/>
      <c r="AE54" s="144" t="str">
        <f t="shared" ref="AE54:AE61" si="16">IF(AD54=0,"",IFERROR(AD54/AD$20,""))</f>
        <v/>
      </c>
      <c r="AF54" s="145">
        <f t="shared" ref="AF54:AF61" si="17">IF(AND($AA54="",AD54=""),"",$AA54-AD54)</f>
        <v>0</v>
      </c>
      <c r="AG54" s="143"/>
      <c r="AH54" s="144" t="str">
        <f t="shared" ref="AH54:AH61" si="18">IF(AG54=0,"",IFERROR(AG54/AG$20,""))</f>
        <v/>
      </c>
      <c r="AI54" s="145">
        <f t="shared" ref="AI54:AI61" si="19">IF(AND($AA54="",AG54=""),"",$AA54-AG54)</f>
        <v>0</v>
      </c>
      <c r="AJ54" s="11"/>
      <c r="AK54" s="11"/>
      <c r="AL54" s="11"/>
      <c r="AM54" s="11"/>
      <c r="AN54" s="11"/>
      <c r="AO54" s="11"/>
    </row>
    <row r="55" spans="1:41" x14ac:dyDescent="0.35">
      <c r="A55" s="11"/>
      <c r="B55" s="11"/>
      <c r="C55" s="11"/>
      <c r="D55" s="11"/>
      <c r="E55" s="11"/>
      <c r="F55" s="11"/>
      <c r="G55" s="76"/>
      <c r="H55" s="88" t="s">
        <v>175</v>
      </c>
      <c r="I55" s="188" t="str">
        <f>IF(_epmOfflineCondition_,"B1",_xll.EVPRO($B$1,$H55,"STYLE"))</f>
        <v>B1</v>
      </c>
      <c r="J55" s="188" t="str">
        <f>IF(_epmOfflineCondition_,"Y",_xll.EVPRO($B$1,$H55,"CALC"))</f>
        <v>Y</v>
      </c>
      <c r="K55" s="189" t="str">
        <f t="shared" si="13"/>
        <v/>
      </c>
      <c r="L55" s="106" t="str">
        <f>IF(_epmOfflineCondition_,"",_xll.EVPRO($B$1,H55,"JDEID"))</f>
        <v/>
      </c>
      <c r="M55" s="190" t="str">
        <f>IF(_epmOfflineCondition_,"",IF(AND(I55="N",J55="N"),_xll.EVPRO($B$1,H55,"PSFTID"),""))</f>
        <v/>
      </c>
      <c r="N55" s="190" t="str">
        <f>IF(_epmOfflineCondition_,"BLANKROW",IF(_xll.EVDES(H55,$B$1)="#NODATA","",_xll.EVDES(H55,$B$1)))</f>
        <v>BLANKROW</v>
      </c>
      <c r="O55" s="143"/>
      <c r="P55" s="143"/>
      <c r="Q55" s="143"/>
      <c r="R55" s="143"/>
      <c r="S55" s="143"/>
      <c r="T55" s="143"/>
      <c r="U55" s="143"/>
      <c r="V55" s="143"/>
      <c r="W55" s="143"/>
      <c r="X55" s="143"/>
      <c r="Y55" s="143"/>
      <c r="Z55" s="143"/>
      <c r="AA55" s="143" t="str">
        <f t="shared" si="14"/>
        <v/>
      </c>
      <c r="AB55" s="144" t="str">
        <f t="shared" si="15"/>
        <v/>
      </c>
      <c r="AC55" s="140"/>
      <c r="AD55" s="143"/>
      <c r="AE55" s="144" t="str">
        <f t="shared" si="16"/>
        <v/>
      </c>
      <c r="AF55" s="145" t="str">
        <f t="shared" si="17"/>
        <v/>
      </c>
      <c r="AG55" s="143"/>
      <c r="AH55" s="144" t="str">
        <f t="shared" si="18"/>
        <v/>
      </c>
      <c r="AI55" s="145" t="str">
        <f t="shared" si="19"/>
        <v/>
      </c>
      <c r="AJ55" s="11"/>
      <c r="AK55" s="11"/>
      <c r="AL55" s="11"/>
      <c r="AM55" s="11"/>
      <c r="AN55" s="11"/>
      <c r="AO55" s="11"/>
    </row>
    <row r="56" spans="1:41" x14ac:dyDescent="0.35">
      <c r="A56" s="11"/>
      <c r="B56" s="11"/>
      <c r="C56" s="11"/>
      <c r="D56" s="11"/>
      <c r="E56" s="11"/>
      <c r="F56" s="11"/>
      <c r="G56" s="76"/>
      <c r="H56" s="88" t="s">
        <v>231</v>
      </c>
      <c r="I56" s="122" t="str">
        <f>IF(_epmOfflineCondition_,"T3",_xll.EVPRO($B$1,$H56,"STYLE"))</f>
        <v>T3</v>
      </c>
      <c r="J56" s="122" t="str">
        <f>IF(_epmOfflineCondition_,"Y",_xll.EVPRO($B$1,$H56,"CALC"))</f>
        <v>Y</v>
      </c>
      <c r="K56" s="179" t="str">
        <f t="shared" si="13"/>
        <v>&gt;</v>
      </c>
      <c r="L56" s="369" t="str">
        <f>IF(_epmOfflineCondition_,"",_xll.EVPRO($B$1,H56,"JDEID"))</f>
        <v/>
      </c>
      <c r="M56" s="90" t="str">
        <f>IF(_epmOfflineCondition_,"",IF(AND(I56="N",J56="N"),_xll.EVPRO($B$1,H56,"PSFTID"),""))</f>
        <v/>
      </c>
      <c r="N56" s="90" t="str">
        <f>IF(_epmOfflineCondition_,"Total # of Resv. Taken at Hotel",IF(_xll.EVDES(H56,$B$1)="#NODATA","",_xll.EVDES(H56,$B$1)))</f>
        <v>Total # of Resv. Taken at Hotel</v>
      </c>
      <c r="O56" s="143"/>
      <c r="P56" s="143"/>
      <c r="Q56" s="143"/>
      <c r="R56" s="143"/>
      <c r="S56" s="143"/>
      <c r="T56" s="143"/>
      <c r="U56" s="143"/>
      <c r="V56" s="143"/>
      <c r="W56" s="143"/>
      <c r="X56" s="143"/>
      <c r="Y56" s="143"/>
      <c r="Z56" s="143"/>
      <c r="AA56" s="143">
        <f t="shared" si="14"/>
        <v>0</v>
      </c>
      <c r="AB56" s="144" t="str">
        <f t="shared" si="15"/>
        <v/>
      </c>
      <c r="AC56" s="140"/>
      <c r="AD56" s="143"/>
      <c r="AE56" s="144" t="str">
        <f t="shared" si="16"/>
        <v/>
      </c>
      <c r="AF56" s="145">
        <f t="shared" si="17"/>
        <v>0</v>
      </c>
      <c r="AG56" s="143"/>
      <c r="AH56" s="144" t="str">
        <f t="shared" si="18"/>
        <v/>
      </c>
      <c r="AI56" s="145">
        <f t="shared" si="19"/>
        <v>0</v>
      </c>
      <c r="AJ56" s="11"/>
      <c r="AK56" s="11"/>
      <c r="AL56" s="11"/>
      <c r="AM56" s="11"/>
      <c r="AN56" s="11"/>
      <c r="AO56" s="11"/>
    </row>
    <row r="57" spans="1:41" x14ac:dyDescent="0.35">
      <c r="A57" s="61" t="str">
        <f>IF(_epmOfflineCondition_,"Evdre:Ok",_xll.EVDRE($B$1,A60:B67,A70:B76))</f>
        <v>Evdre:Ok</v>
      </c>
      <c r="B57" s="11"/>
      <c r="C57" s="11"/>
      <c r="D57" s="11"/>
      <c r="E57" s="11"/>
      <c r="F57" s="11"/>
      <c r="G57" s="76"/>
      <c r="H57" s="185" t="s">
        <v>232</v>
      </c>
      <c r="I57" s="136" t="str">
        <f>IF(_epmOfflineCondition_,"N",_xll.EVPRO($B$1,$H57,"STYLE"))</f>
        <v>N</v>
      </c>
      <c r="J57" s="136" t="str">
        <f>IF(_epmOfflineCondition_,"N",_xll.EVPRO($B$1,$H57,"CALC"))</f>
        <v>N</v>
      </c>
      <c r="K57" s="179" t="str">
        <f t="shared" si="13"/>
        <v/>
      </c>
      <c r="L57" s="369" t="str">
        <f>IF(_epmOfflineCondition_,"910220",_xll.EVPRO($B$1,H57,"JDEID"))</f>
        <v>910220</v>
      </c>
      <c r="M57" s="90" t="str">
        <f>IF(_epmOfflineCondition_,"994330",IF(AND(I57="N",J57="N"),_xll.EVPRO($B$1,H57,"PSFTID"),""))</f>
        <v>994330</v>
      </c>
      <c r="N57" s="104" t="str">
        <f>IF(_epmOfflineCondition_,"# of Resv. Taken at CRO",IF(_xll.EVDES(H57,$B$1)="#NODATA","",_xll.EVDES(H57,$B$1)))</f>
        <v># of Resv. Taken at CRO</v>
      </c>
      <c r="O57" s="143"/>
      <c r="P57" s="143"/>
      <c r="Q57" s="143"/>
      <c r="R57" s="143"/>
      <c r="S57" s="143"/>
      <c r="T57" s="143"/>
      <c r="U57" s="143"/>
      <c r="V57" s="143"/>
      <c r="W57" s="143"/>
      <c r="X57" s="143"/>
      <c r="Y57" s="143"/>
      <c r="Z57" s="143"/>
      <c r="AA57" s="143">
        <f t="shared" si="14"/>
        <v>0</v>
      </c>
      <c r="AB57" s="144" t="str">
        <f t="shared" si="15"/>
        <v/>
      </c>
      <c r="AC57" s="140"/>
      <c r="AD57" s="143"/>
      <c r="AE57" s="144" t="str">
        <f t="shared" si="16"/>
        <v/>
      </c>
      <c r="AF57" s="145">
        <f t="shared" si="17"/>
        <v>0</v>
      </c>
      <c r="AG57" s="143"/>
      <c r="AH57" s="144" t="str">
        <f t="shared" si="18"/>
        <v/>
      </c>
      <c r="AI57" s="145">
        <f t="shared" si="19"/>
        <v>0</v>
      </c>
      <c r="AJ57" s="11"/>
      <c r="AK57" s="11"/>
      <c r="AL57" s="11"/>
      <c r="AM57" s="11"/>
      <c r="AN57" s="11"/>
      <c r="AO57" s="11"/>
    </row>
    <row r="58" spans="1:41" x14ac:dyDescent="0.35">
      <c r="A58" s="11"/>
      <c r="B58" s="11"/>
      <c r="C58" s="11"/>
      <c r="D58" s="11"/>
      <c r="E58" s="11"/>
      <c r="F58" s="11"/>
      <c r="G58" s="76"/>
      <c r="H58" s="185" t="s">
        <v>233</v>
      </c>
      <c r="I58" s="136" t="str">
        <f>IF(_epmOfflineCondition_,"N",_xll.EVPRO($B$1,$H58,"STYLE"))</f>
        <v>N</v>
      </c>
      <c r="J58" s="136" t="str">
        <f>IF(_epmOfflineCondition_,"N",_xll.EVPRO($B$1,$H58,"CALC"))</f>
        <v>N</v>
      </c>
      <c r="K58" s="179" t="str">
        <f t="shared" si="13"/>
        <v/>
      </c>
      <c r="L58" s="369" t="str">
        <f>IF(_epmOfflineCondition_,"910230",_xll.EVPRO($B$1,H58,"JDEID"))</f>
        <v>910230</v>
      </c>
      <c r="M58" s="90" t="str">
        <f>IF(_epmOfflineCondition_,"994340",IF(AND(I58="N",J58="N"),_xll.EVPRO($B$1,H58,"PSFTID"),""))</f>
        <v>994340</v>
      </c>
      <c r="N58" s="104" t="str">
        <f>IF(_epmOfflineCondition_,"# of GDS Reservations",IF(_xll.EVDES(H58,$B$1)="#NODATA","",_xll.EVDES(H58,$B$1)))</f>
        <v># of GDS Reservations</v>
      </c>
      <c r="O58" s="143">
        <v>123</v>
      </c>
      <c r="P58" s="143">
        <v>78</v>
      </c>
      <c r="Q58" s="143">
        <v>81</v>
      </c>
      <c r="R58" s="143">
        <v>25</v>
      </c>
      <c r="S58" s="143"/>
      <c r="T58" s="143">
        <v>2</v>
      </c>
      <c r="U58" s="143">
        <v>102</v>
      </c>
      <c r="V58" s="143">
        <v>281</v>
      </c>
      <c r="W58" s="143">
        <v>573</v>
      </c>
      <c r="X58" s="143">
        <v>10</v>
      </c>
      <c r="Y58" s="143">
        <v>8</v>
      </c>
      <c r="Z58" s="143">
        <v>11</v>
      </c>
      <c r="AA58" s="143">
        <f t="shared" si="14"/>
        <v>1294</v>
      </c>
      <c r="AB58" s="144">
        <f t="shared" si="15"/>
        <v>1</v>
      </c>
      <c r="AC58" s="140"/>
      <c r="AD58" s="143">
        <v>712.53800000000001</v>
      </c>
      <c r="AE58" s="144">
        <f t="shared" si="16"/>
        <v>1</v>
      </c>
      <c r="AF58" s="145">
        <f t="shared" si="17"/>
        <v>581.46199999999999</v>
      </c>
      <c r="AG58" s="143">
        <v>846</v>
      </c>
      <c r="AH58" s="144">
        <f t="shared" si="18"/>
        <v>1</v>
      </c>
      <c r="AI58" s="145">
        <f t="shared" si="19"/>
        <v>448</v>
      </c>
      <c r="AJ58" s="11"/>
      <c r="AK58" s="11"/>
      <c r="AL58" s="11"/>
      <c r="AM58" s="11"/>
      <c r="AN58" s="11"/>
      <c r="AO58" s="11"/>
    </row>
    <row r="59" spans="1:41" x14ac:dyDescent="0.35">
      <c r="A59" s="62" t="s">
        <v>0</v>
      </c>
      <c r="B59" s="63" t="s">
        <v>1</v>
      </c>
      <c r="C59" s="11"/>
      <c r="D59" s="11"/>
      <c r="E59" s="11"/>
      <c r="F59" s="11"/>
      <c r="G59" s="76"/>
      <c r="H59" s="185" t="s">
        <v>234</v>
      </c>
      <c r="I59" s="136" t="str">
        <f>IF(_epmOfflineCondition_,"N",_xll.EVPRO($B$1,$H59,"STYLE"))</f>
        <v>N</v>
      </c>
      <c r="J59" s="136" t="str">
        <f>IF(_epmOfflineCondition_,"N",_xll.EVPRO($B$1,$H59,"CALC"))</f>
        <v>N</v>
      </c>
      <c r="K59" s="179" t="str">
        <f t="shared" si="13"/>
        <v/>
      </c>
      <c r="L59" s="369" t="str">
        <f>IF(_epmOfflineCondition_,"910240",_xll.EVPRO($B$1,H59,"JDEID"))</f>
        <v>910240</v>
      </c>
      <c r="M59" s="90" t="str">
        <f>IF(_epmOfflineCondition_,"994350",IF(AND(I59="N",J59="N"),_xll.EVPRO($B$1,H59,"PSFTID"),""))</f>
        <v>994350</v>
      </c>
      <c r="N59" s="104" t="str">
        <f>IF(_epmOfflineCondition_,"# of Hotel Website Reservations Processed",IF(_xll.EVDES(H59,$B$1)="#NODATA","",_xll.EVDES(H59,$B$1)))</f>
        <v># of Hotel Website Reservations Processed</v>
      </c>
      <c r="O59" s="143"/>
      <c r="P59" s="143"/>
      <c r="Q59" s="143"/>
      <c r="R59" s="143"/>
      <c r="S59" s="143"/>
      <c r="T59" s="143"/>
      <c r="U59" s="143"/>
      <c r="V59" s="143"/>
      <c r="W59" s="143"/>
      <c r="X59" s="143"/>
      <c r="Y59" s="143"/>
      <c r="Z59" s="143"/>
      <c r="AA59" s="143">
        <f t="shared" si="14"/>
        <v>0</v>
      </c>
      <c r="AB59" s="144" t="str">
        <f t="shared" si="15"/>
        <v/>
      </c>
      <c r="AC59" s="140"/>
      <c r="AD59" s="143"/>
      <c r="AE59" s="144" t="str">
        <f t="shared" si="16"/>
        <v/>
      </c>
      <c r="AF59" s="145">
        <f t="shared" si="17"/>
        <v>0</v>
      </c>
      <c r="AG59" s="143"/>
      <c r="AH59" s="144" t="str">
        <f t="shared" si="18"/>
        <v/>
      </c>
      <c r="AI59" s="145">
        <f t="shared" si="19"/>
        <v>0</v>
      </c>
      <c r="AJ59" s="11"/>
      <c r="AK59" s="11"/>
      <c r="AL59" s="11"/>
      <c r="AM59" s="11"/>
      <c r="AN59" s="11"/>
      <c r="AO59" s="11"/>
    </row>
    <row r="60" spans="1:41" x14ac:dyDescent="0.35">
      <c r="A60" s="65" t="s">
        <v>2</v>
      </c>
      <c r="B60" s="66" t="str">
        <f>IF(_epmOfflineCondition_,"'Resv'!$B$2:$B$10",_xll.EVRNG($B$2:$B$10))</f>
        <v>'Resv'!$B$2:$B$10</v>
      </c>
      <c r="C60" s="11"/>
      <c r="D60" s="11"/>
      <c r="E60" s="11"/>
      <c r="F60" s="11"/>
      <c r="G60" s="76"/>
      <c r="H60" s="185" t="s">
        <v>235</v>
      </c>
      <c r="I60" s="122" t="str">
        <f>IF(_epmOfflineCondition_,"T3",_xll.EVPRO($B$1,$H60,"STYLE"))</f>
        <v>T3</v>
      </c>
      <c r="J60" s="122" t="str">
        <f>IF(_epmOfflineCondition_,"Y",_xll.EVPRO($B$1,$H60,"CALC"))</f>
        <v>Y</v>
      </c>
      <c r="K60" s="179" t="str">
        <f t="shared" si="13"/>
        <v>&gt;</v>
      </c>
      <c r="L60" s="369" t="str">
        <f>IF(_epmOfflineCondition_,"910250",_xll.EVPRO($B$1,H60,"JDEID"))</f>
        <v>910250</v>
      </c>
      <c r="M60" s="90" t="str">
        <f>IF(_epmOfflineCondition_,"",IF(AND(I60="N",J60="N"),_xll.EVPRO($B$1,H60,"PSFTID"),""))</f>
        <v/>
      </c>
      <c r="N60" s="90" t="str">
        <f>IF(_epmOfflineCondition_,"# of E-Channel Reservations",IF(_xll.EVDES(H60,$B$1)="#NODATA","",_xll.EVDES(H60,$B$1)))</f>
        <v># of E-Channel Reservations</v>
      </c>
      <c r="O60" s="217"/>
      <c r="P60" s="217"/>
      <c r="Q60" s="217"/>
      <c r="R60" s="217"/>
      <c r="S60" s="217"/>
      <c r="T60" s="217"/>
      <c r="U60" s="217"/>
      <c r="V60" s="217"/>
      <c r="W60" s="217"/>
      <c r="X60" s="217"/>
      <c r="Y60" s="217"/>
      <c r="Z60" s="217"/>
      <c r="AA60" s="217">
        <f t="shared" si="14"/>
        <v>0</v>
      </c>
      <c r="AB60" s="219" t="str">
        <f t="shared" si="15"/>
        <v/>
      </c>
      <c r="AC60" s="140"/>
      <c r="AD60" s="217"/>
      <c r="AE60" s="219" t="str">
        <f t="shared" si="16"/>
        <v/>
      </c>
      <c r="AF60" s="220">
        <f t="shared" si="17"/>
        <v>0</v>
      </c>
      <c r="AG60" s="217"/>
      <c r="AH60" s="219" t="str">
        <f t="shared" si="18"/>
        <v/>
      </c>
      <c r="AI60" s="220">
        <f t="shared" si="19"/>
        <v>0</v>
      </c>
      <c r="AJ60" s="11"/>
      <c r="AK60" s="11"/>
      <c r="AL60" s="11"/>
      <c r="AM60" s="11"/>
      <c r="AN60" s="11"/>
      <c r="AO60" s="11"/>
    </row>
    <row r="61" spans="1:41" x14ac:dyDescent="0.35">
      <c r="A61" s="65" t="s">
        <v>3</v>
      </c>
      <c r="B61" s="66" t="str">
        <f>IF(_epmOfflineCondition_,"'Resv'!$O$16:$AI$18",_xll.EVRNG(O16:AI18))</f>
        <v>'Resv'!$O$16:$AI$18</v>
      </c>
      <c r="C61" s="11"/>
      <c r="D61" s="11"/>
      <c r="E61" s="11"/>
      <c r="F61" s="11"/>
      <c r="G61" s="76"/>
      <c r="H61" s="185" t="s">
        <v>236</v>
      </c>
      <c r="I61" s="188" t="str">
        <f>IF(_epmOfflineCondition_,"T2",_xll.EVPRO($B$1,$H61,"STYLE"))</f>
        <v>T2</v>
      </c>
      <c r="J61" s="188" t="str">
        <f>IF(_epmOfflineCondition_,"Y",_xll.EVPRO($B$1,$H61,"CALC"))</f>
        <v>Y</v>
      </c>
      <c r="K61" s="189" t="str">
        <f t="shared" si="13"/>
        <v/>
      </c>
      <c r="L61" s="106" t="str">
        <f>IF(_epmOfflineCondition_,"",_xll.EVPRO($B$1,H61,"JDEID"))</f>
        <v/>
      </c>
      <c r="M61" s="190" t="str">
        <f>IF(_epmOfflineCondition_,"",IF(AND(I61="N",J61="N"),_xll.EVPRO($B$1,H61,"PSFTID"),""))</f>
        <v/>
      </c>
      <c r="N61" s="190" t="str">
        <f>IF(_epmOfflineCondition_,"Total # of Net Reservation Taken",IF(_xll.EVDES(H61,$B$1)="#NODATA","",_xll.EVDES(H61,$B$1)))</f>
        <v>Total # of Net Reservation Taken</v>
      </c>
      <c r="O61" s="225">
        <v>123</v>
      </c>
      <c r="P61" s="225">
        <v>78</v>
      </c>
      <c r="Q61" s="225">
        <v>81</v>
      </c>
      <c r="R61" s="225">
        <v>25</v>
      </c>
      <c r="S61" s="225"/>
      <c r="T61" s="225">
        <v>2</v>
      </c>
      <c r="U61" s="225">
        <v>102</v>
      </c>
      <c r="V61" s="225">
        <v>281</v>
      </c>
      <c r="W61" s="225">
        <v>573</v>
      </c>
      <c r="X61" s="225">
        <v>10</v>
      </c>
      <c r="Y61" s="225">
        <v>8</v>
      </c>
      <c r="Z61" s="225">
        <v>11</v>
      </c>
      <c r="AA61" s="225">
        <f t="shared" si="14"/>
        <v>1294</v>
      </c>
      <c r="AB61" s="226">
        <f t="shared" si="15"/>
        <v>1</v>
      </c>
      <c r="AC61" s="227"/>
      <c r="AD61" s="225">
        <v>712.53800000000001</v>
      </c>
      <c r="AE61" s="226">
        <f t="shared" si="16"/>
        <v>1</v>
      </c>
      <c r="AF61" s="228">
        <f t="shared" si="17"/>
        <v>581.46199999999999</v>
      </c>
      <c r="AG61" s="225">
        <v>846</v>
      </c>
      <c r="AH61" s="226">
        <f t="shared" si="18"/>
        <v>1</v>
      </c>
      <c r="AI61" s="228">
        <f t="shared" si="19"/>
        <v>448</v>
      </c>
      <c r="AJ61" s="11"/>
      <c r="AK61" s="11"/>
      <c r="AL61" s="11"/>
      <c r="AM61" s="11"/>
      <c r="AN61" s="11"/>
      <c r="AO61" s="11"/>
    </row>
    <row r="62" spans="1:41" x14ac:dyDescent="0.35">
      <c r="A62" s="65" t="s">
        <v>4</v>
      </c>
      <c r="B62" s="66" t="str">
        <f>IF(_epmOfflineCondition_,"'Resv'!$H$54:$H$61",_xll.EVRNG(H54:H61))</f>
        <v>'Resv'!$H$54:$H$61</v>
      </c>
      <c r="C62" s="11"/>
      <c r="D62" s="11"/>
      <c r="E62" s="11"/>
      <c r="F62" s="11"/>
      <c r="G62" s="76"/>
      <c r="H62" s="11"/>
      <c r="I62" s="59"/>
      <c r="J62" s="59"/>
      <c r="K62" s="11"/>
      <c r="L62" s="11"/>
      <c r="M62" s="11"/>
      <c r="N62" s="11"/>
      <c r="O62" s="197"/>
      <c r="P62" s="197"/>
      <c r="Q62" s="197"/>
      <c r="R62" s="197"/>
      <c r="S62" s="197"/>
      <c r="T62" s="197"/>
      <c r="U62" s="197"/>
      <c r="V62" s="197"/>
      <c r="W62" s="197"/>
      <c r="X62" s="197"/>
      <c r="Y62" s="197"/>
      <c r="Z62" s="197"/>
      <c r="AA62" s="197"/>
      <c r="AB62" s="198"/>
      <c r="AC62" s="11"/>
      <c r="AD62" s="197"/>
      <c r="AE62" s="198"/>
      <c r="AF62" s="199"/>
      <c r="AG62" s="197"/>
      <c r="AH62" s="198"/>
      <c r="AI62" s="199"/>
      <c r="AJ62" s="11"/>
      <c r="AK62" s="11"/>
      <c r="AL62" s="11"/>
      <c r="AM62" s="11"/>
      <c r="AN62" s="11"/>
      <c r="AO62" s="11"/>
    </row>
    <row r="63" spans="1:41" x14ac:dyDescent="0.35">
      <c r="A63" s="65" t="s">
        <v>5</v>
      </c>
      <c r="B63" s="66"/>
      <c r="C63" s="11"/>
      <c r="D63" s="11"/>
      <c r="E63" s="11"/>
      <c r="F63" s="11"/>
      <c r="G63" s="76"/>
      <c r="H63" s="11"/>
      <c r="I63" s="59"/>
      <c r="J63" s="59"/>
      <c r="K63" s="104"/>
      <c r="L63" s="104"/>
      <c r="M63" s="104"/>
      <c r="N63" s="104" t="str">
        <f>N21</f>
        <v>Number of Rooms on Property</v>
      </c>
      <c r="O63" s="91">
        <f t="shared" ref="O63:AA63" si="20">O$21</f>
        <v>132</v>
      </c>
      <c r="P63" s="91">
        <f t="shared" si="20"/>
        <v>132</v>
      </c>
      <c r="Q63" s="91">
        <f t="shared" si="20"/>
        <v>132</v>
      </c>
      <c r="R63" s="91">
        <f t="shared" si="20"/>
        <v>132</v>
      </c>
      <c r="S63" s="91">
        <f t="shared" si="20"/>
        <v>132</v>
      </c>
      <c r="T63" s="91">
        <f t="shared" si="20"/>
        <v>132</v>
      </c>
      <c r="U63" s="91">
        <f t="shared" si="20"/>
        <v>132</v>
      </c>
      <c r="V63" s="91">
        <f t="shared" si="20"/>
        <v>132</v>
      </c>
      <c r="W63" s="91">
        <f t="shared" si="20"/>
        <v>132</v>
      </c>
      <c r="X63" s="91">
        <f t="shared" si="20"/>
        <v>132</v>
      </c>
      <c r="Y63" s="91">
        <f t="shared" si="20"/>
        <v>132</v>
      </c>
      <c r="Z63" s="91">
        <f t="shared" si="20"/>
        <v>132</v>
      </c>
      <c r="AA63" s="91">
        <f t="shared" si="20"/>
        <v>1584</v>
      </c>
      <c r="AB63" s="100"/>
      <c r="AC63" s="11"/>
      <c r="AD63" s="91">
        <f>AD$21</f>
        <v>1584</v>
      </c>
      <c r="AE63" s="100"/>
      <c r="AF63" s="183"/>
      <c r="AG63" s="91">
        <f>AG$21</f>
        <v>1584</v>
      </c>
      <c r="AH63" s="100"/>
      <c r="AI63" s="183"/>
      <c r="AJ63" s="11"/>
      <c r="AK63" s="11"/>
      <c r="AL63" s="11"/>
      <c r="AM63" s="11"/>
      <c r="AN63" s="11"/>
      <c r="AO63" s="11"/>
    </row>
    <row r="64" spans="1:41" x14ac:dyDescent="0.35">
      <c r="A64" s="65" t="s">
        <v>6</v>
      </c>
      <c r="B64" s="66"/>
      <c r="C64" s="11"/>
      <c r="D64" s="11"/>
      <c r="E64" s="11"/>
      <c r="F64" s="11"/>
      <c r="G64" s="76"/>
      <c r="H64" s="11"/>
      <c r="I64" s="59"/>
      <c r="J64" s="59"/>
      <c r="K64" s="104"/>
      <c r="L64" s="104"/>
      <c r="M64" s="104"/>
      <c r="N64" s="104"/>
      <c r="O64" s="91"/>
      <c r="P64" s="91"/>
      <c r="Q64" s="91"/>
      <c r="R64" s="91"/>
      <c r="S64" s="91"/>
      <c r="T64" s="91"/>
      <c r="U64" s="91"/>
      <c r="V64" s="91"/>
      <c r="W64" s="91"/>
      <c r="X64" s="91"/>
      <c r="Y64" s="91"/>
      <c r="Z64" s="91"/>
      <c r="AA64" s="91"/>
      <c r="AB64" s="100"/>
      <c r="AC64" s="11"/>
      <c r="AD64" s="91"/>
      <c r="AE64" s="100"/>
      <c r="AF64" s="92"/>
      <c r="AG64" s="91"/>
      <c r="AH64" s="100"/>
      <c r="AI64" s="92"/>
      <c r="AJ64" s="11"/>
      <c r="AK64" s="11"/>
      <c r="AL64" s="11"/>
      <c r="AM64" s="11"/>
      <c r="AN64" s="11"/>
      <c r="AO64" s="11"/>
    </row>
    <row r="65" spans="1:41" x14ac:dyDescent="0.35">
      <c r="A65" s="65" t="s">
        <v>7</v>
      </c>
      <c r="B65" s="66" t="str">
        <f>IF(_epmOfflineCondition_,"'Resv'!$A$79:$F$83",_xll.EVRNG(A79:F83))</f>
        <v>'Resv'!$A$79:$F$83</v>
      </c>
      <c r="C65" s="11"/>
      <c r="D65" s="11"/>
      <c r="E65" s="11"/>
      <c r="F65" s="11"/>
      <c r="G65" s="76"/>
      <c r="H65" s="88"/>
      <c r="I65" s="136"/>
      <c r="J65" s="136"/>
      <c r="K65" s="179"/>
      <c r="L65" s="179"/>
      <c r="M65" s="179"/>
      <c r="N65" s="104" t="s">
        <v>245</v>
      </c>
      <c r="O65" s="209" t="e">
        <f t="shared" ref="O65:AA65" si="21">SUMIF($H$34:$H$45,"710150",O$34:O$45)/SUMIF($H$54:$H$61,"910200",O$54:O$61)</f>
        <v>#DIV/0!</v>
      </c>
      <c r="P65" s="209" t="e">
        <f t="shared" si="21"/>
        <v>#DIV/0!</v>
      </c>
      <c r="Q65" s="209" t="e">
        <f t="shared" si="21"/>
        <v>#DIV/0!</v>
      </c>
      <c r="R65" s="209" t="e">
        <f t="shared" si="21"/>
        <v>#DIV/0!</v>
      </c>
      <c r="S65" s="209" t="e">
        <f t="shared" si="21"/>
        <v>#DIV/0!</v>
      </c>
      <c r="T65" s="209" t="e">
        <f t="shared" si="21"/>
        <v>#DIV/0!</v>
      </c>
      <c r="U65" s="209" t="e">
        <f t="shared" si="21"/>
        <v>#DIV/0!</v>
      </c>
      <c r="V65" s="209" t="e">
        <f t="shared" si="21"/>
        <v>#DIV/0!</v>
      </c>
      <c r="W65" s="209" t="e">
        <f t="shared" si="21"/>
        <v>#DIV/0!</v>
      </c>
      <c r="X65" s="209" t="e">
        <f t="shared" si="21"/>
        <v>#DIV/0!</v>
      </c>
      <c r="Y65" s="209" t="e">
        <f t="shared" si="21"/>
        <v>#DIV/0!</v>
      </c>
      <c r="Z65" s="209" t="e">
        <f t="shared" si="21"/>
        <v>#DIV/0!</v>
      </c>
      <c r="AA65" s="209" t="e">
        <f t="shared" si="21"/>
        <v>#DIV/0!</v>
      </c>
      <c r="AB65" s="100"/>
      <c r="AC65" s="11"/>
      <c r="AD65" s="209" t="e">
        <f>SUMIF($H$34:$H$45,"710150",AD$34:AD$45)/SUMIF($H$54:$H$61,"910200",AD$54:AD$61)</f>
        <v>#DIV/0!</v>
      </c>
      <c r="AE65" s="100"/>
      <c r="AF65" s="183" t="e">
        <f t="shared" ref="AF65:AF74" si="22">IF(AND($AA65="",AD65=""),"",$AA65-AD65)</f>
        <v>#DIV/0!</v>
      </c>
      <c r="AG65" s="209" t="e">
        <f>SUMIF($H$34:$H$45,"710150",AG$34:AG$45)/SUMIF($H$54:$H$61,"910200",AG$54:AG$61)</f>
        <v>#DIV/0!</v>
      </c>
      <c r="AH65" s="100"/>
      <c r="AI65" s="183" t="e">
        <f t="shared" ref="AI65:AI74" si="23">IF(AND($AA65="",AG65=""),"",$AA65-AG65)</f>
        <v>#DIV/0!</v>
      </c>
      <c r="AJ65" s="11"/>
      <c r="AK65" s="11"/>
      <c r="AL65" s="11"/>
      <c r="AM65" s="11"/>
      <c r="AN65" s="11"/>
      <c r="AO65" s="11"/>
    </row>
    <row r="66" spans="1:41" x14ac:dyDescent="0.35">
      <c r="A66" s="65" t="s">
        <v>47</v>
      </c>
      <c r="B66" s="66" t="str">
        <f>IF(_epmOfflineCondition_,"'Resv'!$A$87:$B$108",_xll.EVRNG($A$87:$B$108))</f>
        <v>'Resv'!$A$87:$B$108</v>
      </c>
      <c r="C66" s="11"/>
      <c r="D66" s="11"/>
      <c r="E66" s="11"/>
      <c r="F66" s="11"/>
      <c r="G66" s="76"/>
      <c r="H66" s="88"/>
      <c r="I66" s="136"/>
      <c r="J66" s="136"/>
      <c r="K66" s="179"/>
      <c r="L66" s="179"/>
      <c r="M66" s="179"/>
      <c r="N66" s="104" t="s">
        <v>246</v>
      </c>
      <c r="O66" s="209" t="e">
        <f t="shared" ref="O66:AA66" si="24">(SUMIF($H$34:$H$45,"710140",O$34:O$45)+SUMIF($H$34:$H$45,"710145",O$34:O$45))/(SUMIF($H$54:$H$61,"RESATHOTEL",O$54:O$61)+SUMIF($H$54:$H$61,"910220",O$54:O$61))</f>
        <v>#DIV/0!</v>
      </c>
      <c r="P66" s="209" t="e">
        <f t="shared" si="24"/>
        <v>#DIV/0!</v>
      </c>
      <c r="Q66" s="209" t="e">
        <f t="shared" si="24"/>
        <v>#DIV/0!</v>
      </c>
      <c r="R66" s="209" t="e">
        <f t="shared" si="24"/>
        <v>#DIV/0!</v>
      </c>
      <c r="S66" s="209" t="e">
        <f t="shared" si="24"/>
        <v>#DIV/0!</v>
      </c>
      <c r="T66" s="209" t="e">
        <f t="shared" si="24"/>
        <v>#DIV/0!</v>
      </c>
      <c r="U66" s="209" t="e">
        <f t="shared" si="24"/>
        <v>#DIV/0!</v>
      </c>
      <c r="V66" s="209" t="e">
        <f t="shared" si="24"/>
        <v>#DIV/0!</v>
      </c>
      <c r="W66" s="209" t="e">
        <f t="shared" si="24"/>
        <v>#DIV/0!</v>
      </c>
      <c r="X66" s="209" t="e">
        <f t="shared" si="24"/>
        <v>#DIV/0!</v>
      </c>
      <c r="Y66" s="209" t="e">
        <f t="shared" si="24"/>
        <v>#DIV/0!</v>
      </c>
      <c r="Z66" s="209" t="e">
        <f t="shared" si="24"/>
        <v>#DIV/0!</v>
      </c>
      <c r="AA66" s="209" t="e">
        <f t="shared" si="24"/>
        <v>#DIV/0!</v>
      </c>
      <c r="AB66" s="100"/>
      <c r="AC66" s="11"/>
      <c r="AD66" s="209" t="e">
        <f>(SUMIF($H$34:$H$45,"710140",AD$34:AD$45)+SUMIF($H$34:$H$45,"710145",AD$34:AD$45))/(SUMIF($H$54:$H$61,"RESATHOTEL",AD$54:AD$61)+SUMIF($H$54:$H$61,"910220",AD$54:AD$61))</f>
        <v>#DIV/0!</v>
      </c>
      <c r="AE66" s="100"/>
      <c r="AF66" s="183" t="e">
        <f t="shared" si="22"/>
        <v>#DIV/0!</v>
      </c>
      <c r="AG66" s="209" t="e">
        <f>(SUMIF($H$34:$H$45,"710140",AG$34:AG$45)+SUMIF($H$34:$H$45,"710145",AG$34:AG$45))/(SUMIF($H$54:$H$61,"RESATHOTEL",AG$54:AG$61)+SUMIF($H$54:$H$61,"910220",AG$54:AG$61))</f>
        <v>#DIV/0!</v>
      </c>
      <c r="AH66" s="100"/>
      <c r="AI66" s="183" t="e">
        <f t="shared" si="23"/>
        <v>#DIV/0!</v>
      </c>
      <c r="AJ66" s="11"/>
      <c r="AK66" s="11"/>
      <c r="AL66" s="11"/>
      <c r="AM66" s="11"/>
      <c r="AN66" s="11"/>
      <c r="AO66" s="11"/>
    </row>
    <row r="67" spans="1:41" x14ac:dyDescent="0.35">
      <c r="A67" s="65" t="s">
        <v>8</v>
      </c>
      <c r="B67" s="66"/>
      <c r="C67" s="11"/>
      <c r="D67" s="11"/>
      <c r="E67" s="11"/>
      <c r="F67" s="11"/>
      <c r="G67" s="76"/>
      <c r="H67" s="88"/>
      <c r="I67" s="136"/>
      <c r="J67" s="136"/>
      <c r="K67" s="179"/>
      <c r="L67" s="179"/>
      <c r="M67" s="179"/>
      <c r="N67" s="104" t="s">
        <v>247</v>
      </c>
      <c r="O67" s="209">
        <f t="shared" ref="O67:AA67" si="25">SUMIF($H$34:$H$45,"710160",O$34:O$45)/O$63</f>
        <v>0</v>
      </c>
      <c r="P67" s="209">
        <f t="shared" si="25"/>
        <v>0</v>
      </c>
      <c r="Q67" s="209">
        <f t="shared" si="25"/>
        <v>0</v>
      </c>
      <c r="R67" s="209">
        <f t="shared" si="25"/>
        <v>0</v>
      </c>
      <c r="S67" s="209">
        <f t="shared" si="25"/>
        <v>0</v>
      </c>
      <c r="T67" s="209">
        <f t="shared" si="25"/>
        <v>0</v>
      </c>
      <c r="U67" s="209">
        <f t="shared" si="25"/>
        <v>0</v>
      </c>
      <c r="V67" s="209">
        <f t="shared" si="25"/>
        <v>0</v>
      </c>
      <c r="W67" s="209">
        <f t="shared" si="25"/>
        <v>0</v>
      </c>
      <c r="X67" s="209">
        <f t="shared" si="25"/>
        <v>0</v>
      </c>
      <c r="Y67" s="209">
        <f t="shared" si="25"/>
        <v>0</v>
      </c>
      <c r="Z67" s="209">
        <f t="shared" si="25"/>
        <v>0</v>
      </c>
      <c r="AA67" s="209">
        <f t="shared" si="25"/>
        <v>0</v>
      </c>
      <c r="AB67" s="100"/>
      <c r="AC67" s="11"/>
      <c r="AD67" s="209">
        <f>SUMIF($H$34:$H$45,"710160",AD$34:AD$45)/AD$63</f>
        <v>0</v>
      </c>
      <c r="AE67" s="100"/>
      <c r="AF67" s="183">
        <f t="shared" si="22"/>
        <v>0</v>
      </c>
      <c r="AG67" s="209">
        <f>SUMIF($H$34:$H$45,"710160",AG$34:AG$45)/AG$63</f>
        <v>0</v>
      </c>
      <c r="AH67" s="100"/>
      <c r="AI67" s="183">
        <f t="shared" si="23"/>
        <v>0</v>
      </c>
      <c r="AJ67" s="11"/>
      <c r="AK67" s="11"/>
      <c r="AL67" s="11"/>
      <c r="AM67" s="11"/>
      <c r="AN67" s="11"/>
      <c r="AO67" s="11"/>
    </row>
    <row r="68" spans="1:41" x14ac:dyDescent="0.35">
      <c r="A68" s="11"/>
      <c r="B68" s="11"/>
      <c r="C68" s="11"/>
      <c r="D68" s="11"/>
      <c r="E68" s="11"/>
      <c r="F68" s="11"/>
      <c r="G68" s="76"/>
      <c r="H68" s="88"/>
      <c r="I68" s="136"/>
      <c r="J68" s="136"/>
      <c r="K68" s="179"/>
      <c r="L68" s="179"/>
      <c r="M68" s="179"/>
      <c r="N68" s="104" t="s">
        <v>248</v>
      </c>
      <c r="O68" s="209">
        <f t="shared" ref="O68:AA68" si="26">SUMIF($H$34:$H$45,"710170",O$34:O$45)/SUMIF($H$54:$H$61,"910230",O$54:O$61)</f>
        <v>6.308943089430894</v>
      </c>
      <c r="P68" s="209">
        <f t="shared" si="26"/>
        <v>6.5256410256410255</v>
      </c>
      <c r="Q68" s="209">
        <f t="shared" si="26"/>
        <v>6.4617283950617281</v>
      </c>
      <c r="R68" s="209">
        <f t="shared" si="26"/>
        <v>6.4</v>
      </c>
      <c r="S68" s="209" t="e">
        <f t="shared" si="26"/>
        <v>#DIV/0!</v>
      </c>
      <c r="T68" s="209">
        <f t="shared" si="26"/>
        <v>6.4</v>
      </c>
      <c r="U68" s="209">
        <f t="shared" si="26"/>
        <v>0.74117647058823521</v>
      </c>
      <c r="V68" s="209">
        <f t="shared" si="26"/>
        <v>0.15516014234875444</v>
      </c>
      <c r="W68" s="209">
        <f t="shared" si="26"/>
        <v>4.607329842931937E-2</v>
      </c>
      <c r="X68" s="209">
        <f t="shared" si="26"/>
        <v>-1.7600000000000002</v>
      </c>
      <c r="Y68" s="209">
        <f t="shared" si="26"/>
        <v>6.4</v>
      </c>
      <c r="Z68" s="209">
        <f t="shared" si="26"/>
        <v>5.2363636363636363</v>
      </c>
      <c r="AA68" s="209">
        <f t="shared" si="26"/>
        <v>1.714064914992272</v>
      </c>
      <c r="AB68" s="100"/>
      <c r="AC68" s="11"/>
      <c r="AD68" s="209">
        <f>SUMIF($H$34:$H$45,"710170",AD$34:AD$45)/SUMIF($H$54:$H$61,"910230",AD$54:AD$61)</f>
        <v>6.6</v>
      </c>
      <c r="AE68" s="100"/>
      <c r="AF68" s="183">
        <f t="shared" si="22"/>
        <v>-4.8859350850077279</v>
      </c>
      <c r="AG68" s="209">
        <f>SUMIF($H$34:$H$45,"710170",AG$34:AG$45)/SUMIF($H$54:$H$61,"910230",AG$54:AG$61)</f>
        <v>4.9806146572104026</v>
      </c>
      <c r="AH68" s="100"/>
      <c r="AI68" s="183">
        <f t="shared" si="23"/>
        <v>-3.2665497422181309</v>
      </c>
      <c r="AJ68" s="11"/>
      <c r="AK68" s="11"/>
      <c r="AL68" s="11"/>
      <c r="AM68" s="11"/>
      <c r="AN68" s="11"/>
      <c r="AO68" s="11"/>
    </row>
    <row r="69" spans="1:41" x14ac:dyDescent="0.35">
      <c r="A69" s="62" t="s">
        <v>9</v>
      </c>
      <c r="B69" s="63" t="s">
        <v>10</v>
      </c>
      <c r="C69" s="11"/>
      <c r="D69" s="11"/>
      <c r="E69" s="11"/>
      <c r="F69" s="11"/>
      <c r="G69" s="76"/>
      <c r="H69" s="88"/>
      <c r="I69" s="136"/>
      <c r="J69" s="136"/>
      <c r="K69" s="179"/>
      <c r="L69" s="179"/>
      <c r="M69" s="179"/>
      <c r="N69" s="104" t="s">
        <v>249</v>
      </c>
      <c r="O69" s="209" t="e">
        <f t="shared" ref="O69:AA69" si="27">SUMIF($H$34:$H$45,"710180",O$34:O$45)/SUMIF($H$54:$H$61,"910240",O$54:O$61)</f>
        <v>#DIV/0!</v>
      </c>
      <c r="P69" s="209" t="e">
        <f t="shared" si="27"/>
        <v>#DIV/0!</v>
      </c>
      <c r="Q69" s="209" t="e">
        <f t="shared" si="27"/>
        <v>#DIV/0!</v>
      </c>
      <c r="R69" s="209" t="e">
        <f t="shared" si="27"/>
        <v>#DIV/0!</v>
      </c>
      <c r="S69" s="209" t="e">
        <f t="shared" si="27"/>
        <v>#DIV/0!</v>
      </c>
      <c r="T69" s="209" t="e">
        <f t="shared" si="27"/>
        <v>#DIV/0!</v>
      </c>
      <c r="U69" s="209" t="e">
        <f t="shared" si="27"/>
        <v>#DIV/0!</v>
      </c>
      <c r="V69" s="209" t="e">
        <f t="shared" si="27"/>
        <v>#DIV/0!</v>
      </c>
      <c r="W69" s="209" t="e">
        <f t="shared" si="27"/>
        <v>#DIV/0!</v>
      </c>
      <c r="X69" s="209" t="e">
        <f t="shared" si="27"/>
        <v>#DIV/0!</v>
      </c>
      <c r="Y69" s="209" t="e">
        <f t="shared" si="27"/>
        <v>#DIV/0!</v>
      </c>
      <c r="Z69" s="209" t="e">
        <f t="shared" si="27"/>
        <v>#DIV/0!</v>
      </c>
      <c r="AA69" s="209" t="e">
        <f t="shared" si="27"/>
        <v>#DIV/0!</v>
      </c>
      <c r="AB69" s="100"/>
      <c r="AC69" s="11"/>
      <c r="AD69" s="209" t="e">
        <f>SUMIF($H$34:$H$45,"710180",AD$34:AD$45)/SUMIF($H$54:$H$61,"910240",AD$54:AD$61)</f>
        <v>#DIV/0!</v>
      </c>
      <c r="AE69" s="100"/>
      <c r="AF69" s="183" t="e">
        <f t="shared" si="22"/>
        <v>#DIV/0!</v>
      </c>
      <c r="AG69" s="209" t="e">
        <f>SUMIF($H$34:$H$45,"710180",AG$34:AG$45)/SUMIF($H$54:$H$61,"910240",AG$54:AG$61)</f>
        <v>#DIV/0!</v>
      </c>
      <c r="AH69" s="100"/>
      <c r="AI69" s="183" t="e">
        <f t="shared" si="23"/>
        <v>#DIV/0!</v>
      </c>
      <c r="AJ69" s="11"/>
      <c r="AK69" s="11"/>
      <c r="AL69" s="11"/>
      <c r="AM69" s="11"/>
      <c r="AN69" s="11"/>
      <c r="AO69" s="11"/>
    </row>
    <row r="70" spans="1:41" x14ac:dyDescent="0.35">
      <c r="A70" s="65" t="s">
        <v>11</v>
      </c>
      <c r="B70" s="66" t="s">
        <v>21</v>
      </c>
      <c r="C70" s="11"/>
      <c r="D70" s="11"/>
      <c r="E70" s="11"/>
      <c r="F70" s="11"/>
      <c r="G70" s="76"/>
      <c r="H70" s="88"/>
      <c r="I70" s="136"/>
      <c r="J70" s="136"/>
      <c r="K70" s="179"/>
      <c r="L70" s="179"/>
      <c r="M70" s="179"/>
      <c r="N70" s="104" t="s">
        <v>250</v>
      </c>
      <c r="O70" s="209" t="e">
        <f t="shared" ref="O70:AA70" si="28">SUMIF($H$34:$H$45,"710190",O$34:O$45)/SUMIF($H$54:$H$61,"910250",O$54:O$61)</f>
        <v>#DIV/0!</v>
      </c>
      <c r="P70" s="209" t="e">
        <f t="shared" si="28"/>
        <v>#DIV/0!</v>
      </c>
      <c r="Q70" s="209" t="e">
        <f t="shared" si="28"/>
        <v>#DIV/0!</v>
      </c>
      <c r="R70" s="209" t="e">
        <f t="shared" si="28"/>
        <v>#DIV/0!</v>
      </c>
      <c r="S70" s="209" t="e">
        <f t="shared" si="28"/>
        <v>#DIV/0!</v>
      </c>
      <c r="T70" s="209" t="e">
        <f t="shared" si="28"/>
        <v>#DIV/0!</v>
      </c>
      <c r="U70" s="209" t="e">
        <f t="shared" si="28"/>
        <v>#DIV/0!</v>
      </c>
      <c r="V70" s="209" t="e">
        <f t="shared" si="28"/>
        <v>#DIV/0!</v>
      </c>
      <c r="W70" s="209" t="e">
        <f t="shared" si="28"/>
        <v>#DIV/0!</v>
      </c>
      <c r="X70" s="209" t="e">
        <f t="shared" si="28"/>
        <v>#DIV/0!</v>
      </c>
      <c r="Y70" s="209" t="e">
        <f t="shared" si="28"/>
        <v>#DIV/0!</v>
      </c>
      <c r="Z70" s="209" t="e">
        <f t="shared" si="28"/>
        <v>#DIV/0!</v>
      </c>
      <c r="AA70" s="209" t="e">
        <f t="shared" si="28"/>
        <v>#DIV/0!</v>
      </c>
      <c r="AB70" s="100"/>
      <c r="AC70" s="11"/>
      <c r="AD70" s="209" t="e">
        <f>SUMIF($H$34:$H$45,"710190",AD$34:AD$45)/SUMIF($H$54:$H$61,"910250",AD$54:AD$61)</f>
        <v>#DIV/0!</v>
      </c>
      <c r="AE70" s="100"/>
      <c r="AF70" s="183" t="e">
        <f t="shared" si="22"/>
        <v>#DIV/0!</v>
      </c>
      <c r="AG70" s="209" t="e">
        <f>SUMIF($H$34:$H$45,"710190",AG$34:AG$45)/SUMIF($H$54:$H$61,"910250",AG$54:AG$61)</f>
        <v>#DIV/0!</v>
      </c>
      <c r="AH70" s="100"/>
      <c r="AI70" s="183" t="e">
        <f t="shared" si="23"/>
        <v>#DIV/0!</v>
      </c>
      <c r="AJ70" s="11"/>
      <c r="AK70" s="11"/>
      <c r="AL70" s="11"/>
      <c r="AM70" s="11"/>
      <c r="AN70" s="11"/>
      <c r="AO70" s="11"/>
    </row>
    <row r="71" spans="1:41" x14ac:dyDescent="0.35">
      <c r="A71" s="65" t="s">
        <v>12</v>
      </c>
      <c r="B71" s="66" t="s">
        <v>22</v>
      </c>
      <c r="C71" s="11"/>
      <c r="D71" s="11"/>
      <c r="E71" s="11"/>
      <c r="F71" s="11"/>
      <c r="G71" s="76"/>
      <c r="H71" s="88"/>
      <c r="I71" s="136"/>
      <c r="J71" s="136"/>
      <c r="K71" s="179"/>
      <c r="L71" s="179"/>
      <c r="M71" s="179"/>
      <c r="N71" s="104"/>
      <c r="O71" s="91"/>
      <c r="P71" s="91"/>
      <c r="Q71" s="91"/>
      <c r="R71" s="91"/>
      <c r="S71" s="91"/>
      <c r="T71" s="91"/>
      <c r="U71" s="91"/>
      <c r="V71" s="91"/>
      <c r="W71" s="91"/>
      <c r="X71" s="91"/>
      <c r="Y71" s="91"/>
      <c r="Z71" s="91"/>
      <c r="AA71" s="91"/>
      <c r="AB71" s="100"/>
      <c r="AC71" s="11"/>
      <c r="AD71" s="91"/>
      <c r="AE71" s="100"/>
      <c r="AF71" s="183" t="str">
        <f t="shared" si="22"/>
        <v/>
      </c>
      <c r="AG71" s="91"/>
      <c r="AH71" s="100"/>
      <c r="AI71" s="183" t="str">
        <f t="shared" si="23"/>
        <v/>
      </c>
      <c r="AJ71" s="11"/>
      <c r="AK71" s="11"/>
      <c r="AL71" s="11"/>
      <c r="AM71" s="11"/>
      <c r="AN71" s="11"/>
      <c r="AO71" s="11"/>
    </row>
    <row r="72" spans="1:41" x14ac:dyDescent="0.35">
      <c r="A72" s="65" t="s">
        <v>13</v>
      </c>
      <c r="B72" s="66" t="s">
        <v>238</v>
      </c>
      <c r="C72" s="11"/>
      <c r="D72" s="11"/>
      <c r="E72" s="11"/>
      <c r="F72" s="11"/>
      <c r="G72" s="76"/>
      <c r="H72" s="88"/>
      <c r="I72" s="136"/>
      <c r="J72" s="136"/>
      <c r="K72" s="179"/>
      <c r="L72" s="179"/>
      <c r="M72" s="179"/>
      <c r="N72" s="267" t="s">
        <v>251</v>
      </c>
      <c r="O72" s="209">
        <f t="shared" ref="O72:AA72" si="29">SUMIF($H$34:$H$48,"700000",O$34:O$48)/SUMIF($H$54:$H$61,"TLNETRES",O$54:O$61)</f>
        <v>97.225934959349601</v>
      </c>
      <c r="P72" s="209">
        <f t="shared" si="29"/>
        <v>151.05794871794873</v>
      </c>
      <c r="Q72" s="209">
        <f t="shared" si="29"/>
        <v>52.659259259259258</v>
      </c>
      <c r="R72" s="209">
        <f t="shared" si="29"/>
        <v>3.8972000000000002</v>
      </c>
      <c r="S72" s="209" t="e">
        <f t="shared" si="29"/>
        <v>#DIV/0!</v>
      </c>
      <c r="T72" s="209">
        <f t="shared" si="29"/>
        <v>455.72500000000002</v>
      </c>
      <c r="U72" s="209">
        <f t="shared" si="29"/>
        <v>8.840588235294117</v>
      </c>
      <c r="V72" s="209">
        <f t="shared" si="29"/>
        <v>4.5756227758007118</v>
      </c>
      <c r="W72" s="209">
        <f t="shared" si="29"/>
        <v>3.7269808027923208</v>
      </c>
      <c r="X72" s="209">
        <f t="shared" si="29"/>
        <v>260.69400000000002</v>
      </c>
      <c r="Y72" s="209">
        <f t="shared" si="29"/>
        <v>325.28625</v>
      </c>
      <c r="Z72" s="209">
        <f t="shared" si="29"/>
        <v>446.51454545454544</v>
      </c>
      <c r="AA72" s="209">
        <f t="shared" si="29"/>
        <v>33.497295208655331</v>
      </c>
      <c r="AB72" s="100"/>
      <c r="AC72" s="11"/>
      <c r="AD72" s="209">
        <f>SUMIF($H$34:$H$48,"700000",AD$34:AD$48)/SUMIF($H$54:$H$61,"TLNETRES",AD$54:AD$61)</f>
        <v>131.332119269429</v>
      </c>
      <c r="AE72" s="100"/>
      <c r="AF72" s="183">
        <f t="shared" si="22"/>
        <v>-97.83482406077367</v>
      </c>
      <c r="AG72" s="209">
        <f>SUMIF($H$34:$H$48,"700000",AG$34:AG$48)/SUMIF($H$54:$H$61,"TLNETRES",AG$54:AG$61)</f>
        <v>82.060118203309699</v>
      </c>
      <c r="AH72" s="100"/>
      <c r="AI72" s="183">
        <f t="shared" si="23"/>
        <v>-48.562822994654368</v>
      </c>
      <c r="AJ72" s="11"/>
      <c r="AK72" s="11"/>
      <c r="AL72" s="11"/>
      <c r="AM72" s="11"/>
      <c r="AN72" s="11"/>
      <c r="AO72" s="11"/>
    </row>
    <row r="73" spans="1:41" x14ac:dyDescent="0.35">
      <c r="A73" s="65" t="s">
        <v>14</v>
      </c>
      <c r="B73" s="66"/>
      <c r="C73" s="11"/>
      <c r="D73" s="11"/>
      <c r="E73" s="11"/>
      <c r="F73" s="11"/>
      <c r="G73" s="76"/>
      <c r="H73" s="88"/>
      <c r="I73" s="136"/>
      <c r="J73" s="136"/>
      <c r="K73" s="179"/>
      <c r="L73" s="179"/>
      <c r="M73" s="179"/>
      <c r="N73" s="267" t="s">
        <v>252</v>
      </c>
      <c r="O73" s="209">
        <f t="shared" ref="O73:AA73" si="30">SUMIF($H$34:$H$51,"600000",O$34:O$51)/SUMIF($H$54:$H$61,"TLNETRES",O$54:O$61)</f>
        <v>26.974634146341465</v>
      </c>
      <c r="P73" s="209">
        <f t="shared" si="30"/>
        <v>31.862692307692306</v>
      </c>
      <c r="Q73" s="209">
        <f t="shared" si="30"/>
        <v>18.597160493827158</v>
      </c>
      <c r="R73" s="209">
        <f t="shared" si="30"/>
        <v>0.20039999999999999</v>
      </c>
      <c r="S73" s="209" t="e">
        <f t="shared" si="30"/>
        <v>#DIV/0!</v>
      </c>
      <c r="T73" s="209">
        <f t="shared" si="30"/>
        <v>642.505</v>
      </c>
      <c r="U73" s="209">
        <f t="shared" si="30"/>
        <v>0</v>
      </c>
      <c r="V73" s="209">
        <f t="shared" si="30"/>
        <v>3.2028469750889679</v>
      </c>
      <c r="W73" s="209">
        <f t="shared" si="30"/>
        <v>1.5706806282722514</v>
      </c>
      <c r="X73" s="209">
        <f t="shared" si="30"/>
        <v>0</v>
      </c>
      <c r="Y73" s="209">
        <f t="shared" si="30"/>
        <v>0</v>
      </c>
      <c r="Z73" s="209">
        <f t="shared" si="30"/>
        <v>0</v>
      </c>
      <c r="AA73" s="209">
        <f t="shared" si="30"/>
        <v>8.5043044822256562</v>
      </c>
      <c r="AB73" s="100"/>
      <c r="AC73" s="11"/>
      <c r="AD73" s="209">
        <f>SUMIF($H$34:$H$51,"600000",AD$34:AD$51)/SUMIF($H$54:$H$61,"TLNETRES",AD$54:AD$61)</f>
        <v>37.704219587374993</v>
      </c>
      <c r="AE73" s="100"/>
      <c r="AF73" s="187">
        <f t="shared" si="22"/>
        <v>-29.199915105149337</v>
      </c>
      <c r="AG73" s="209">
        <f>SUMIF($H$34:$H$51,"600000",AG$34:AG$51)/SUMIF($H$54:$H$61,"TLNETRES",AG$54:AG$61)</f>
        <v>32.365059101654843</v>
      </c>
      <c r="AH73" s="100"/>
      <c r="AI73" s="187">
        <f t="shared" si="23"/>
        <v>-23.860754619429187</v>
      </c>
      <c r="AJ73" s="11"/>
      <c r="AK73" s="11"/>
      <c r="AL73" s="11"/>
      <c r="AM73" s="11"/>
      <c r="AN73" s="11"/>
      <c r="AO73" s="11"/>
    </row>
    <row r="74" spans="1:41" x14ac:dyDescent="0.35">
      <c r="A74" s="65" t="s">
        <v>15</v>
      </c>
      <c r="B74" s="66"/>
      <c r="C74" s="11"/>
      <c r="D74" s="11"/>
      <c r="E74" s="11"/>
      <c r="F74" s="11"/>
      <c r="G74" s="76"/>
      <c r="H74" s="88"/>
      <c r="I74" s="136"/>
      <c r="J74" s="136"/>
      <c r="K74" s="179"/>
      <c r="L74" s="179"/>
      <c r="M74" s="179"/>
      <c r="N74" s="106" t="s">
        <v>253</v>
      </c>
      <c r="O74" s="370">
        <f t="shared" ref="O74:AA74" si="31">SUMIF($H$34:$H$51,"TOTDEPTEXP",O$34:O$51)/SUMIF($H$54:$H$61,"TLNETRES",O$54:O$61)</f>
        <v>124.20056910569106</v>
      </c>
      <c r="P74" s="370">
        <f t="shared" si="31"/>
        <v>182.92064102564103</v>
      </c>
      <c r="Q74" s="370">
        <f t="shared" si="31"/>
        <v>71.256419753086419</v>
      </c>
      <c r="R74" s="370">
        <f t="shared" si="31"/>
        <v>4.0975999999999999</v>
      </c>
      <c r="S74" s="370" t="e">
        <f t="shared" si="31"/>
        <v>#DIV/0!</v>
      </c>
      <c r="T74" s="370">
        <f t="shared" si="31"/>
        <v>1098.23</v>
      </c>
      <c r="U74" s="370">
        <f t="shared" si="31"/>
        <v>8.840588235294117</v>
      </c>
      <c r="V74" s="370">
        <f t="shared" si="31"/>
        <v>7.7784697508896796</v>
      </c>
      <c r="W74" s="370">
        <f t="shared" si="31"/>
        <v>5.2976614310645722</v>
      </c>
      <c r="X74" s="370">
        <f t="shared" si="31"/>
        <v>260.69400000000002</v>
      </c>
      <c r="Y74" s="370">
        <f t="shared" si="31"/>
        <v>325.28625</v>
      </c>
      <c r="Z74" s="370">
        <f t="shared" si="31"/>
        <v>446.51454545454544</v>
      </c>
      <c r="AA74" s="370">
        <f t="shared" si="31"/>
        <v>42.001599690880994</v>
      </c>
      <c r="AB74" s="371"/>
      <c r="AC74" s="11"/>
      <c r="AD74" s="370">
        <f>SUMIF($H$34:$H$51,"TOTDEPTEXP",AD$34:AD$51)/SUMIF($H$54:$H$61,"TLNETRES",AD$54:AD$61)</f>
        <v>169.03633885680341</v>
      </c>
      <c r="AE74" s="371"/>
      <c r="AF74" s="372">
        <f t="shared" si="22"/>
        <v>-127.03473916592242</v>
      </c>
      <c r="AG74" s="370">
        <f>SUMIF($H$34:$H$51,"TOTDEPTEXP",AG$34:AG$51)/SUMIF($H$54:$H$61,"TLNETRES",AG$54:AG$61)</f>
        <v>114.42517730496454</v>
      </c>
      <c r="AH74" s="371"/>
      <c r="AI74" s="372">
        <f t="shared" si="23"/>
        <v>-72.423577614083541</v>
      </c>
      <c r="AJ74" s="11"/>
      <c r="AK74" s="11"/>
      <c r="AL74" s="11"/>
      <c r="AM74" s="11"/>
      <c r="AN74" s="11"/>
      <c r="AO74" s="11"/>
    </row>
    <row r="75" spans="1:41" x14ac:dyDescent="0.35">
      <c r="A75" s="65" t="s">
        <v>16</v>
      </c>
      <c r="B75" s="66"/>
      <c r="C75" s="11"/>
      <c r="D75" s="11"/>
      <c r="E75" s="11"/>
      <c r="F75" s="11"/>
      <c r="G75" s="76"/>
      <c r="H75" s="76"/>
      <c r="I75" s="76"/>
      <c r="J75" s="76"/>
      <c r="K75" s="76"/>
      <c r="L75" s="76"/>
      <c r="M75" s="76"/>
      <c r="N75" s="104"/>
      <c r="O75" s="104"/>
      <c r="P75" s="104"/>
      <c r="Q75" s="104"/>
      <c r="R75" s="104"/>
      <c r="S75" s="104"/>
      <c r="T75" s="104"/>
      <c r="U75" s="104"/>
      <c r="V75" s="104"/>
      <c r="W75" s="104"/>
      <c r="X75" s="104"/>
      <c r="Y75" s="104"/>
      <c r="Z75" s="104"/>
      <c r="AA75" s="104"/>
      <c r="AB75" s="104"/>
      <c r="AC75" s="11"/>
      <c r="AD75" s="104"/>
      <c r="AE75" s="104"/>
      <c r="AF75" s="104"/>
      <c r="AG75" s="104"/>
      <c r="AH75" s="104"/>
      <c r="AI75" s="104"/>
      <c r="AJ75" s="11"/>
      <c r="AK75" s="11"/>
      <c r="AL75" s="11"/>
      <c r="AM75" s="11"/>
      <c r="AN75" s="11"/>
      <c r="AO75" s="11"/>
    </row>
    <row r="76" spans="1:41" x14ac:dyDescent="0.35">
      <c r="A76" s="65" t="s">
        <v>17</v>
      </c>
      <c r="B76" s="66"/>
      <c r="C76" s="11"/>
      <c r="D76" s="11"/>
      <c r="E76" s="11"/>
      <c r="F76" s="11"/>
      <c r="G76" s="76"/>
      <c r="H76" s="11"/>
      <c r="I76" s="59"/>
      <c r="J76" s="59"/>
      <c r="K76" s="11"/>
      <c r="L76" s="11"/>
      <c r="M76" s="11"/>
      <c r="N76" s="104" t="str">
        <f>N51&amp;" - Check"</f>
        <v>Total Expenses - Check</v>
      </c>
      <c r="O76" s="209">
        <f t="shared" ref="O76:AA76" si="32">SUMIF($H$48:$H$51,"700000",O$48:O$51)+SUMIF($H$48:$H$51,"600000",O$48:O$51)-SUMIF($H$48:$H$51,"TOTDEPTEXP",O$48:O$51)</f>
        <v>0</v>
      </c>
      <c r="P76" s="209">
        <f t="shared" si="32"/>
        <v>0</v>
      </c>
      <c r="Q76" s="209">
        <f t="shared" si="32"/>
        <v>0</v>
      </c>
      <c r="R76" s="209">
        <f t="shared" si="32"/>
        <v>0</v>
      </c>
      <c r="S76" s="209">
        <f t="shared" si="32"/>
        <v>0</v>
      </c>
      <c r="T76" s="209">
        <f t="shared" si="32"/>
        <v>0</v>
      </c>
      <c r="U76" s="209">
        <f t="shared" si="32"/>
        <v>0</v>
      </c>
      <c r="V76" s="209">
        <f t="shared" si="32"/>
        <v>0</v>
      </c>
      <c r="W76" s="209">
        <f t="shared" si="32"/>
        <v>0</v>
      </c>
      <c r="X76" s="209">
        <f t="shared" si="32"/>
        <v>0</v>
      </c>
      <c r="Y76" s="209">
        <f t="shared" si="32"/>
        <v>0</v>
      </c>
      <c r="Z76" s="209">
        <f t="shared" si="32"/>
        <v>0</v>
      </c>
      <c r="AA76" s="209">
        <f t="shared" si="32"/>
        <v>0</v>
      </c>
      <c r="AB76" s="100"/>
      <c r="AC76" s="11"/>
      <c r="AD76" s="209">
        <f>SUMIF($H$48:$H$51,"700000",AD$48:AD$51)+SUMIF($H$48:$H$51,"600000",AD$48:AD$51)-SUMIF($H$48:$H$51,"TOTDEPTEXP",AD$48:AD$51)</f>
        <v>4.0745362639427185E-10</v>
      </c>
      <c r="AE76" s="100"/>
      <c r="AF76" s="91"/>
      <c r="AG76" s="209">
        <f>SUMIF($H$48:$H$51,"700000",AG$48:AG$51)+SUMIF($H$48:$H$51,"600000",AG$48:AG$51)-SUMIF($H$48:$H$51,"TOTDEPTEXP",AG$48:AG$51)</f>
        <v>0</v>
      </c>
      <c r="AH76" s="100"/>
      <c r="AI76" s="91"/>
      <c r="AJ76" s="11"/>
      <c r="AK76" s="11"/>
      <c r="AL76" s="11"/>
      <c r="AM76" s="11"/>
      <c r="AN76" s="11"/>
      <c r="AO76" s="11"/>
    </row>
    <row r="77" spans="1:41" x14ac:dyDescent="0.35">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97" t="s">
        <v>92</v>
      </c>
      <c r="B78" s="98" t="s">
        <v>93</v>
      </c>
      <c r="C78" s="98" t="s">
        <v>94</v>
      </c>
      <c r="D78" s="98" t="s">
        <v>95</v>
      </c>
      <c r="E78" s="98" t="s">
        <v>96</v>
      </c>
      <c r="F78" s="99" t="s">
        <v>97</v>
      </c>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11"/>
      <c r="I79" s="59"/>
      <c r="J79" s="59"/>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t="s">
        <v>108</v>
      </c>
      <c r="B80" s="11"/>
      <c r="C80" s="104" t="s">
        <v>101</v>
      </c>
      <c r="D80" s="11" t="s">
        <v>106</v>
      </c>
      <c r="E80" s="11"/>
      <c r="F80" s="11" t="s">
        <v>98</v>
      </c>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t="s">
        <v>100</v>
      </c>
      <c r="B81" s="11"/>
      <c r="C81" s="53" t="s">
        <v>101</v>
      </c>
      <c r="D81" s="11" t="s">
        <v>106</v>
      </c>
      <c r="E81" s="11"/>
      <c r="F81" s="11" t="s">
        <v>98</v>
      </c>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t="s">
        <v>109</v>
      </c>
      <c r="B82" s="11"/>
      <c r="C82" s="106" t="s">
        <v>101</v>
      </c>
      <c r="D82" s="11" t="s">
        <v>106</v>
      </c>
      <c r="E82" s="11"/>
      <c r="F82" s="11" t="s">
        <v>98</v>
      </c>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t="s">
        <v>109</v>
      </c>
      <c r="B83" s="11"/>
      <c r="C83" s="196" t="s">
        <v>101</v>
      </c>
      <c r="D83" s="11" t="s">
        <v>107</v>
      </c>
      <c r="E83" s="11"/>
      <c r="F83" s="11" t="s">
        <v>99</v>
      </c>
      <c r="G83" s="11"/>
      <c r="H83" s="11"/>
      <c r="I83" s="59"/>
      <c r="J83" s="59"/>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09"/>
      <c r="D84" s="11"/>
      <c r="E84" s="11"/>
      <c r="F84" s="11"/>
      <c r="G84" s="11"/>
      <c r="H84" s="11"/>
      <c r="I84" s="59"/>
      <c r="J84" s="59"/>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208"/>
      <c r="D85" s="11"/>
      <c r="E85" s="11"/>
      <c r="F85" s="11"/>
      <c r="G85" s="11"/>
      <c r="H85" s="11"/>
      <c r="I85" s="59"/>
      <c r="J85" s="59"/>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2" t="s">
        <v>23</v>
      </c>
      <c r="B86" s="63" t="s">
        <v>24</v>
      </c>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25</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26</v>
      </c>
      <c r="B88" s="66"/>
      <c r="C88" s="11"/>
      <c r="D88" s="11"/>
      <c r="E88" s="11"/>
      <c r="F88" s="11"/>
      <c r="G88" s="11"/>
      <c r="H88" s="11"/>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27</v>
      </c>
      <c r="B89" s="66"/>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28</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5" t="s">
        <v>29</v>
      </c>
      <c r="B91" s="66"/>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5" t="s">
        <v>30</v>
      </c>
      <c r="B92" s="66" t="s">
        <v>78</v>
      </c>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31</v>
      </c>
      <c r="B93" s="66" t="s">
        <v>78</v>
      </c>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32</v>
      </c>
      <c r="B94" s="66"/>
      <c r="C94" s="11"/>
      <c r="D94" s="11"/>
      <c r="E94" s="11"/>
      <c r="F94" s="11"/>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33</v>
      </c>
      <c r="B95" s="66"/>
      <c r="C95" s="11"/>
      <c r="D95" s="11"/>
      <c r="E95" s="11"/>
      <c r="F95" s="11"/>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34</v>
      </c>
      <c r="B96" s="66"/>
      <c r="C96" s="11"/>
      <c r="D96" s="11"/>
      <c r="E96" s="11"/>
      <c r="F96" s="11"/>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35</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36</v>
      </c>
      <c r="B98" s="66"/>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37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38</v>
      </c>
      <c r="B100" s="66"/>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5" t="s">
        <v>39</v>
      </c>
      <c r="B101" s="66"/>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5" t="s">
        <v>40</v>
      </c>
      <c r="B102" s="66"/>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65" t="s">
        <v>41</v>
      </c>
      <c r="B103" s="66"/>
      <c r="C103" s="11"/>
      <c r="D103" s="11"/>
      <c r="E103" s="11"/>
      <c r="F103" s="11"/>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5" t="s">
        <v>42</v>
      </c>
      <c r="B104" s="66"/>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43</v>
      </c>
      <c r="B105" s="66"/>
      <c r="C105" s="11"/>
      <c r="D105" s="11"/>
      <c r="E105" s="11"/>
      <c r="F105" s="11"/>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44</v>
      </c>
      <c r="B106" s="66"/>
      <c r="C106" s="11"/>
      <c r="D106" s="11"/>
      <c r="E106" s="11"/>
      <c r="F106" s="11"/>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45</v>
      </c>
      <c r="B107" s="66"/>
      <c r="C107" s="11"/>
      <c r="D107" s="11"/>
      <c r="E107" s="11"/>
      <c r="F107" s="11"/>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46</v>
      </c>
      <c r="B108" s="66"/>
      <c r="C108" s="11"/>
      <c r="D108" s="11"/>
      <c r="E108" s="11"/>
      <c r="F108" s="11"/>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11"/>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208"/>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208"/>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sheetData>
  <sheetProtection algorithmName="SHA-512" hashValue="Zkg3mAAgn4F0ZmgKV2a8GV74s4Xyo8dqQONxZV69Sv4mtFwaFqaBUPm+vWrXDAo4EsMgU6foRnyyRmWcTTIozA==" saltValue="h3kpur+2N/VIH9Vax3tMXw==" spinCount="100000" sheet="1" scenarios="1"/>
  <mergeCells count="2">
    <mergeCell ref="AD31:AE31"/>
    <mergeCell ref="AG31:AH31"/>
  </mergeCells>
  <dataValidations disablePrompts="1" count="2">
    <dataValidation type="list" allowBlank="1" sqref="B71 B28" xr:uid="{00000000-0002-0000-0400-000000000000}">
      <formula1>"ACCOUNT,BUSINESSUNIT,CATEGORY,DATASRC,DEPARTMENT,INTCO,MEASURES,RPTCURRENCY,TIME"</formula1>
    </dataValidation>
    <dataValidation type="list" allowBlank="1" sqref="B72 B29" xr:uid="{00000000-0002-0000-04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819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8197" r:id="rId7" name="FPMExcelClientSheetOptionstb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6" tint="0.39997558519241921"/>
    <pageSetUpPr fitToPage="1"/>
  </sheetPr>
  <dimension ref="A1:AP197"/>
  <sheetViews>
    <sheetView topLeftCell="K25" zoomScale="85" zoomScaleNormal="85" workbookViewId="0">
      <pane xSplit="4" ySplit="8" topLeftCell="O54" activePane="bottomRight" state="frozen"/>
      <selection activeCell="K25" sqref="K25"/>
      <selection pane="topRight" activeCell="O25" sqref="O25"/>
      <selection pane="bottomLeft" activeCell="K33" sqref="K33"/>
      <selection pane="bottomRight" activeCell="V65" sqref="V65"/>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2"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row>
    <row r="2" spans="1:42"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row>
    <row r="3" spans="1:42"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row>
    <row r="4" spans="1:42"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row>
    <row r="6" spans="1:42" hidden="1" outlineLevel="1" x14ac:dyDescent="0.35">
      <c r="A6" s="53" t="s">
        <v>52</v>
      </c>
      <c r="B6" s="56" t="s">
        <v>358</v>
      </c>
      <c r="C6" s="11" t="str">
        <f>IF(_epmOfflineCondition_,"Food &amp; Beverage",_xll.EVDES(B6,$B$1))</f>
        <v>Food &amp; Beverage</v>
      </c>
      <c r="D6" s="11"/>
      <c r="E6" s="58" t="str">
        <f>IF(_epmOfflineCondition_,"D_FB",_xll.EVPRO($B$1,$B$6,$F$6))</f>
        <v>D_FB</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row>
    <row r="9" spans="1:42"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row>
    <row r="10" spans="1:42"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row>
    <row r="11" spans="1:42"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c r="AP11" s="11"/>
    </row>
    <row r="12" spans="1:42"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c r="AP12" s="11"/>
    </row>
    <row r="13" spans="1:42"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c r="AP13" s="11"/>
    </row>
    <row r="14" spans="1:42" hidden="1" outlineLevel="1" x14ac:dyDescent="0.35">
      <c r="A14" s="61" t="str">
        <f>IF(_epmOfflineCondition_,"Evdre:Ok",_xll.EVDRE($B$1,A17:B24))</f>
        <v>Evdre:Ok</v>
      </c>
      <c r="B14" s="53" t="s">
        <v>361</v>
      </c>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c r="AP14" s="11"/>
    </row>
    <row r="15" spans="1:42"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c r="AP15" s="11"/>
    </row>
    <row r="16" spans="1:42"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c r="AP16" s="11"/>
    </row>
    <row r="17" spans="1:42" hidden="1" outlineLevel="1" x14ac:dyDescent="0.35">
      <c r="A17" s="65" t="s">
        <v>2</v>
      </c>
      <c r="B17" s="66" t="str">
        <f>IF(_epmOfflineCondition_,"'FB_Cons'!$B$2:$B$10",_xll.EVRNG($B$2:$B$10))</f>
        <v>'FB_Cons'!$B$2:$B$10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c r="AP17" s="11"/>
    </row>
    <row r="18" spans="1:42" hidden="1" outlineLevel="1" x14ac:dyDescent="0.35">
      <c r="A18" s="65" t="s">
        <v>3</v>
      </c>
      <c r="B18" s="66" t="str">
        <f>IF(_epmOfflineCondition_,"'FB_Cons'!$O$16:$AN$18",_xll.EVRNG($O$16:$AN$18))</f>
        <v>'FB_Cons'!$O$16:$AN$18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c r="AP18" s="11"/>
    </row>
    <row r="19" spans="1:42" hidden="1" outlineLevel="1" x14ac:dyDescent="0.35">
      <c r="A19" s="65" t="s">
        <v>4</v>
      </c>
      <c r="B19" s="66" t="str">
        <f>IF(_epmOfflineCondition_,"'FB_Cons'!$G$35:$H$56",_xll.EVRNG(G35:H56))</f>
        <v>'FB_Cons'!$G$35:$H$56</v>
      </c>
      <c r="C19" s="11"/>
      <c r="D19" s="11"/>
      <c r="E19" s="11"/>
      <c r="F19" s="11"/>
      <c r="G19" s="67" t="str">
        <f>$B$6</f>
        <v>D_REST_CON</v>
      </c>
      <c r="H19" s="67">
        <v>400000</v>
      </c>
      <c r="I19" s="68"/>
      <c r="J19" s="68"/>
      <c r="K19" s="67"/>
      <c r="L19" s="67"/>
      <c r="M19" s="67"/>
      <c r="N19" s="67" t="str">
        <f>IF(_epmOfflineCondition_,"Total Revenue",_xll.EVDES(H19))</f>
        <v>Total Revenue</v>
      </c>
      <c r="O19" s="69">
        <f>IF(_epmOfflineCondition_,192802.88,_xll.EVGTS($B$1,1,$B$3,$B$5,$B$7,$B$9,O$16,O$17,O$18,$G$19,$H$19))</f>
        <v>192802.88</v>
      </c>
      <c r="P19" s="69">
        <f>IF(_epmOfflineCondition_,222249.1,_xll.EVGTS($B$1,1,$B$3,$B$5,$B$7,$B$9,P$16,P$17,P$18,$G$19,$H$19))</f>
        <v>222249.1</v>
      </c>
      <c r="Q19" s="69">
        <f>IF(_epmOfflineCondition_,79381.27,_xll.EVGTS($B$1,1,$B$3,$B$5,$B$7,$B$9,Q$16,Q$17,Q$18,$G$19,$H$19))</f>
        <v>79381.27</v>
      </c>
      <c r="R19" s="69">
        <f>IF(_epmOfflineCondition_,0,_xll.EVGTS($B$1,1,$B$3,$B$5,$B$7,$B$9,R$16,R$17,R$18,$G$19,$H$19))</f>
        <v>0</v>
      </c>
      <c r="S19" s="69">
        <f>IF(_epmOfflineCondition_,-15122.49,_xll.EVGTS($B$1,1,$B$3,$B$5,$B$7,$B$9,S$16,S$17,S$18,$G$19,$H$19))</f>
        <v>-15122.49</v>
      </c>
      <c r="T19" s="69">
        <f>IF(_epmOfflineCondition_,911,_xll.EVGTS($B$1,1,$B$3,$B$5,$B$7,$B$9,T$16,T$17,T$18,$G$19,$H$19))</f>
        <v>911</v>
      </c>
      <c r="U19" s="69">
        <f>IF(_epmOfflineCondition_,4840.53,_xll.EVGTS($B$1,1,$B$3,$B$5,$B$7,$B$9,U$16,U$17,U$18,$G$19,$H$19))</f>
        <v>4840.53</v>
      </c>
      <c r="V19" s="69">
        <f>IF(_epmOfflineCondition_,9387.86,_xll.EVGTS($B$1,1,$B$3,$B$5,$B$7,$B$9,V$16,V$17,V$18,$G$19,$H$19))</f>
        <v>9387.86</v>
      </c>
      <c r="W19" s="69">
        <f>IF(_epmOfflineCondition_,15198.3,_xll.EVGTS($B$1,1,$B$3,$B$5,$B$7,$B$9,W$16,W$17,W$18,$G$19,$H$19))</f>
        <v>15198.3</v>
      </c>
      <c r="X19" s="69">
        <f>IF(_epmOfflineCondition_,25025.28,_xll.EVGTS($B$1,1,$B$3,$B$5,$B$7,$B$9,X$16,X$17,X$18,$G$19,$H$19))</f>
        <v>25025.279999999999</v>
      </c>
      <c r="Y19" s="69">
        <f>IF(_epmOfflineCondition_,27590.53,_xll.EVGTS($B$1,1,$B$3,$B$5,$B$7,$B$9,Y$16,Y$17,Y$18,$G$19,$H$19))</f>
        <v>27590.53</v>
      </c>
      <c r="Z19" s="69">
        <f>IF(_epmOfflineCondition_,50971.63,_xll.EVGTS($B$1,1,$B$3,$B$5,$B$7,$B$9,Z$16,Z$17,Z$18,$G$19,$H$19))</f>
        <v>50971.63</v>
      </c>
      <c r="AA19" s="69">
        <f>SUM(O19:Z19)</f>
        <v>613235.89</v>
      </c>
      <c r="AB19" s="67"/>
      <c r="AC19" s="67"/>
      <c r="AD19" s="69">
        <f>IF(_epmOfflineCondition_,3392242.131074,_xll.EVGTS($B$1,1,$B$3,$B$5,$B$7,$B$9,AD$16,AD$17,AD$18,$G$19,$H$19))</f>
        <v>3392242.1310740001</v>
      </c>
      <c r="AE19" s="67"/>
      <c r="AF19" s="67"/>
      <c r="AG19" s="69">
        <f>IF(_epmOfflineCondition_,1028113.72,_xll.EVGTS($B$1,1,$B$3,$B$5,$B$7,$B$9,AG$16,AG$17,AG$18,$G$19,$H$19))</f>
        <v>1028113.72</v>
      </c>
      <c r="AH19" s="67"/>
      <c r="AI19" s="67"/>
      <c r="AJ19" s="11"/>
      <c r="AK19" s="11"/>
      <c r="AL19" s="11"/>
      <c r="AM19" s="11"/>
      <c r="AN19" s="11"/>
      <c r="AO19" s="11"/>
      <c r="AP19" s="11"/>
    </row>
    <row r="20" spans="1:42" hidden="1" outlineLevel="1" x14ac:dyDescent="0.35">
      <c r="A20" s="65" t="s">
        <v>5</v>
      </c>
      <c r="B20" s="66"/>
      <c r="C20" s="11"/>
      <c r="D20" s="11"/>
      <c r="E20" s="11"/>
      <c r="F20" s="11"/>
      <c r="G20" s="67" t="str">
        <f>$B$6</f>
        <v>D_REST_CON</v>
      </c>
      <c r="H20" s="67">
        <v>946000</v>
      </c>
      <c r="I20" s="68"/>
      <c r="J20" s="68"/>
      <c r="K20" s="67"/>
      <c r="L20" s="68"/>
      <c r="M20" s="68"/>
      <c r="N20" s="67" t="str">
        <f>IF(_epmOfflineCondition_,"Total Customers",_xll.EVDES(H20))</f>
        <v>Total Customers</v>
      </c>
      <c r="O20" s="69">
        <f>IF(_epmOfflineCondition_,4800,_xll.EVGTS($B$1,1,$B$3,$B$5,$B$7,$B$9,O$16,O$17,O$18,$G$20,$H$20))</f>
        <v>4800</v>
      </c>
      <c r="P20" s="69">
        <f>IF(_epmOfflineCondition_,5941,_xll.EVGTS($B$1,1,$B$3,$B$5,$B$7,$B$9,P$16,P$17,P$18,$G$20,$H$20))</f>
        <v>5941</v>
      </c>
      <c r="Q20" s="69">
        <f>IF(_epmOfflineCondition_,2430,_xll.EVGTS($B$1,1,$B$3,$B$5,$B$7,$B$9,Q$16,Q$17,Q$18,$G$20,$H$20))</f>
        <v>2430</v>
      </c>
      <c r="R20" s="69">
        <f>IF(_epmOfflineCondition_,0,_xll.EVGTS($B$1,1,$B$3,$B$5,$B$7,$B$9,R$16,R$17,R$18,$G$20,$H$20))</f>
        <v>0</v>
      </c>
      <c r="S20" s="69">
        <f>IF(_epmOfflineCondition_,-280,_xll.EVGTS($B$1,1,$B$3,$B$5,$B$7,$B$9,S$16,S$17,S$18,$G$20,$H$20))</f>
        <v>-280</v>
      </c>
      <c r="T20" s="69">
        <f>IF(_epmOfflineCondition_,0,_xll.EVGTS($B$1,1,$B$3,$B$5,$B$7,$B$9,T$16,T$17,T$18,$G$20,$H$20))</f>
        <v>0</v>
      </c>
      <c r="U20" s="69">
        <f>IF(_epmOfflineCondition_,191,_xll.EVGTS($B$1,1,$B$3,$B$5,$B$7,$B$9,U$16,U$17,U$18,$G$20,$H$20))</f>
        <v>191</v>
      </c>
      <c r="V20" s="69">
        <f>IF(_epmOfflineCondition_,269,_xll.EVGTS($B$1,1,$B$3,$B$5,$B$7,$B$9,V$16,V$17,V$18,$G$20,$H$20))</f>
        <v>269</v>
      </c>
      <c r="W20" s="69">
        <f>IF(_epmOfflineCondition_,269,_xll.EVGTS($B$1,1,$B$3,$B$5,$B$7,$B$9,W$16,W$17,W$18,$G$20,$H$20))</f>
        <v>269</v>
      </c>
      <c r="X20" s="69">
        <f>IF(_epmOfflineCondition_,961,_xll.EVGTS($B$1,1,$B$3,$B$5,$B$7,$B$9,X$16,X$17,X$18,$G$20,$H$20))</f>
        <v>961</v>
      </c>
      <c r="Y20" s="69">
        <f>IF(_epmOfflineCondition_,970,_xll.EVGTS($B$1,1,$B$3,$B$5,$B$7,$B$9,Y$16,Y$17,Y$18,$G$20,$H$20))</f>
        <v>970</v>
      </c>
      <c r="Z20" s="69">
        <f>IF(_epmOfflineCondition_,1641,_xll.EVGTS($B$1,1,$B$3,$B$5,$B$7,$B$9,Z$16,Z$17,Z$18,$G$20,$H$20))</f>
        <v>1641</v>
      </c>
      <c r="AA20" s="69">
        <f>SUM(O20:Z20)</f>
        <v>17192</v>
      </c>
      <c r="AB20" s="67"/>
      <c r="AC20" s="67"/>
      <c r="AD20" s="69">
        <f>IF(_epmOfflineCondition_,78176,_xll.EVGTS($B$1,1,$B$3,$B$5,$B$7,$B$9,AD$16,AD$17,AD$18,$G$20,$H$20))</f>
        <v>78176</v>
      </c>
      <c r="AE20" s="67"/>
      <c r="AF20" s="67"/>
      <c r="AG20" s="69">
        <f>IF(_epmOfflineCondition_,34231,_xll.EVGTS($B$1,1,$B$3,$B$5,$B$7,$B$9,AG$16,AG$17,AG$18,$G$20,$H$20))</f>
        <v>34231</v>
      </c>
      <c r="AH20" s="67"/>
      <c r="AI20" s="67"/>
      <c r="AJ20" s="11"/>
      <c r="AK20" s="11"/>
      <c r="AL20" s="11"/>
      <c r="AM20" s="11"/>
      <c r="AN20" s="11"/>
      <c r="AO20" s="11"/>
      <c r="AP20" s="11"/>
    </row>
    <row r="21" spans="1:42"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row>
    <row r="22" spans="1:42"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row>
    <row r="23" spans="1:42" hidden="1" outlineLevel="1" x14ac:dyDescent="0.35">
      <c r="A23" s="65" t="s">
        <v>47</v>
      </c>
      <c r="B23" s="66" t="str">
        <f>IF(_epmOfflineCondition_,"'FB_Cons'!$A$114:$B$135",_xll.EVRNG($A$114:$B$135))</f>
        <v>'FB_Cons'!$A$114:$B$135</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c r="AP23" s="11"/>
    </row>
    <row r="24" spans="1:42"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row>
    <row r="25" spans="1:42"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row>
    <row r="26" spans="1:42" ht="23" x14ac:dyDescent="0.45">
      <c r="A26" s="62" t="s">
        <v>9</v>
      </c>
      <c r="B26" s="63" t="s">
        <v>10</v>
      </c>
      <c r="C26" s="63" t="s">
        <v>357</v>
      </c>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1:42" ht="17.5" x14ac:dyDescent="0.35">
      <c r="A27" s="65" t="s">
        <v>11</v>
      </c>
      <c r="B27" s="66" t="s">
        <v>21</v>
      </c>
      <c r="C27" s="66" t="s">
        <v>21</v>
      </c>
      <c r="D27" s="11"/>
      <c r="E27" s="11"/>
      <c r="F27" s="11"/>
      <c r="G27" s="11"/>
      <c r="H27" s="11"/>
      <c r="I27" s="59"/>
      <c r="J27" s="59"/>
      <c r="K27" s="11"/>
      <c r="L27" s="11"/>
      <c r="M27" s="11"/>
      <c r="N27" s="71" t="str">
        <f>IF(_epmOfflineCondition_,"Food &amp; Beverage Department",IF(_xll.EVDES(B6,$B$1)="#NODATA","",_xll.EVDES(B6,$B$1)&amp;" Department"))</f>
        <v>Food &amp; Beverage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1:42" ht="15.5" x14ac:dyDescent="0.35">
      <c r="A28" s="65" t="s">
        <v>12</v>
      </c>
      <c r="B28" s="66" t="s">
        <v>52</v>
      </c>
      <c r="C28" s="66" t="s">
        <v>22</v>
      </c>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1:42" ht="15" customHeight="1" x14ac:dyDescent="0.35">
      <c r="A29" s="65" t="s">
        <v>13</v>
      </c>
      <c r="B29" s="66" t="s">
        <v>359</v>
      </c>
      <c r="C29" s="66" t="s">
        <v>360</v>
      </c>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1:42" x14ac:dyDescent="0.35">
      <c r="A30" s="65" t="s">
        <v>14</v>
      </c>
      <c r="B30" s="66"/>
      <c r="C30" s="66"/>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c r="AP30" s="11"/>
    </row>
    <row r="31" spans="1:42" x14ac:dyDescent="0.35">
      <c r="A31" s="65" t="s">
        <v>15</v>
      </c>
      <c r="B31" s="66"/>
      <c r="C31" s="66"/>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c r="AP31" s="11"/>
    </row>
    <row r="32" spans="1:42" s="8" customFormat="1" ht="30" customHeight="1" x14ac:dyDescent="0.35">
      <c r="A32" s="81" t="s">
        <v>16</v>
      </c>
      <c r="B32" s="82"/>
      <c r="C32" s="82"/>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c r="AP32" s="83"/>
    </row>
    <row r="33" spans="1:42" x14ac:dyDescent="0.35">
      <c r="A33" s="65" t="s">
        <v>17</v>
      </c>
      <c r="B33" s="66"/>
      <c r="C33" s="66"/>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c r="AP33" s="11"/>
    </row>
    <row r="34" spans="1:42" x14ac:dyDescent="0.35">
      <c r="A34" s="11"/>
      <c r="B34" s="11"/>
      <c r="C34" s="11"/>
      <c r="D34" s="11"/>
      <c r="E34" s="11"/>
      <c r="F34" s="11"/>
      <c r="G34" s="11"/>
      <c r="H34" s="11" t="s">
        <v>259</v>
      </c>
      <c r="I34" s="59" t="str">
        <f>IF(_epmOfflineCondition_,"B1",_xll.EVPRO($B$1,$H34,"STYLE"))</f>
        <v>B1</v>
      </c>
      <c r="J34" s="59" t="str">
        <f>IF(_epmOfflineCondition_,"Y",_xll.EVPRO($B$1,$H34,"CALC"))</f>
        <v>Y</v>
      </c>
      <c r="K34" s="11"/>
      <c r="L34" s="11"/>
      <c r="M34" s="11"/>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c r="AP34" s="11"/>
    </row>
    <row r="35" spans="1:42" x14ac:dyDescent="0.35">
      <c r="A35" s="11"/>
      <c r="B35" s="11"/>
      <c r="C35" s="11"/>
      <c r="D35" s="11"/>
      <c r="E35" s="11"/>
      <c r="F35" s="11"/>
      <c r="G35" s="88" t="s">
        <v>258</v>
      </c>
      <c r="H35" s="88" t="s">
        <v>265</v>
      </c>
      <c r="I35" s="122" t="str">
        <f>IF(_epmOfflineCondition_,"T4",_xll.EVPRO($B$1,$H35,"STYLE"))</f>
        <v>T4</v>
      </c>
      <c r="J35" s="122" t="str">
        <f>IF(_epmOfflineCondition_,"Y",_xll.EVPRO($B$1,$H35,"CALC"))</f>
        <v>Y</v>
      </c>
      <c r="K35" s="265" t="str">
        <f>IF(AND(I35&gt;="T5"),"&gt;","")</f>
        <v/>
      </c>
      <c r="L35" s="265"/>
      <c r="M35" s="265"/>
      <c r="N35" s="90" t="str">
        <f>IF(_epmOfflineCondition_,"Venues  Food Rev",IF(_xll.EVDES(G35,$B$1)="#NODATA","",_xll.EVDES(G35,$B$1)&amp;" Food Rev"))</f>
        <v>Venues  Food Rev</v>
      </c>
      <c r="O35" s="143">
        <v>58340.75</v>
      </c>
      <c r="P35" s="143">
        <v>73372.59</v>
      </c>
      <c r="Q35" s="143">
        <v>31998.34</v>
      </c>
      <c r="R35" s="143"/>
      <c r="S35" s="143"/>
      <c r="T35" s="143"/>
      <c r="U35" s="143">
        <v>1596</v>
      </c>
      <c r="V35" s="143">
        <v>4259</v>
      </c>
      <c r="W35" s="143">
        <v>5646.52</v>
      </c>
      <c r="X35" s="143">
        <v>6684.86</v>
      </c>
      <c r="Y35" s="143">
        <v>10549.27</v>
      </c>
      <c r="Z35" s="143">
        <v>24221.1</v>
      </c>
      <c r="AA35" s="250">
        <f t="shared" ref="AA35:AA56" si="0">IF($I35="B1","",SUM(O35:Z35))</f>
        <v>216668.42999999996</v>
      </c>
      <c r="AB35" s="144">
        <f>IF(AA35=0,"",IFERROR(AA35/AA$19,""))</f>
        <v>0.35331987826087602</v>
      </c>
      <c r="AC35" s="140"/>
      <c r="AD35" s="143">
        <v>1335708.2427459999</v>
      </c>
      <c r="AE35" s="144">
        <f>IF(AD35=0,"",IFERROR(AD35/AD$19,""))</f>
        <v>0.39375380386632608</v>
      </c>
      <c r="AF35" s="145">
        <f>IF(AND($AA35="",AD35=""),"",$AA35-AD35)</f>
        <v>-1119039.812746</v>
      </c>
      <c r="AG35" s="143">
        <v>279052.86</v>
      </c>
      <c r="AH35" s="144">
        <f>IF(AG35=0,"",IFERROR(AG35/AG$19,""))</f>
        <v>0.27142217302576216</v>
      </c>
      <c r="AI35" s="145">
        <f>IF(AND($AA35="",AG35=""),"",$AA35-AG35)</f>
        <v>-62384.430000000022</v>
      </c>
      <c r="AJ35" s="212">
        <f t="shared" ref="AJ35:AJ56" si="1">IFERROR(AA35/AA$20,0)</f>
        <v>12.602863541181943</v>
      </c>
      <c r="AK35" s="213">
        <f t="shared" ref="AK35:AK56" si="2">IFERROR(AD35/AD$20,0)</f>
        <v>17.085911823910152</v>
      </c>
      <c r="AL35" s="215">
        <f t="shared" ref="AL35:AL56" si="3">IFERROR(AG35/AG$20,0)</f>
        <v>8.1520510648242812</v>
      </c>
      <c r="AM35" s="423" t="str">
        <f t="shared" ref="AM35:AM56" si="4">+IFERROR(ROUND(($AB35-AE35)*100,2)&amp;" pts.",0)</f>
        <v>-4.04 pts.</v>
      </c>
      <c r="AN35" s="424" t="str">
        <f t="shared" ref="AN35:AN56" si="5">+IFERROR(ROUND(($AB35-AH35)*100,2)&amp;" pts.",0)</f>
        <v>8.19 pts.</v>
      </c>
      <c r="AO35" s="387"/>
      <c r="AP35" s="387"/>
    </row>
    <row r="36" spans="1:42" x14ac:dyDescent="0.35">
      <c r="A36" s="61" t="str">
        <f>IF(_epmOfflineCondition_,"Evdre:Ok",_xll.EVDRE($B$1,A39:B46,A49:B55))</f>
        <v>Evdre:Ok</v>
      </c>
      <c r="B36" s="11"/>
      <c r="C36" s="11"/>
      <c r="D36" s="11"/>
      <c r="E36" s="11"/>
      <c r="F36" s="11"/>
      <c r="G36" s="88" t="s">
        <v>346</v>
      </c>
      <c r="H36" s="88" t="s">
        <v>265</v>
      </c>
      <c r="I36" s="122" t="str">
        <f>IF(_epmOfflineCondition_,"T4",_xll.EVPRO($B$1,$H36,"STYLE"))</f>
        <v>T4</v>
      </c>
      <c r="J36" s="122" t="str">
        <f>IF(_epmOfflineCondition_,"Y",_xll.EVPRO($B$1,$H36,"CALC"))</f>
        <v>Y</v>
      </c>
      <c r="K36" s="265" t="str">
        <f>IF(AND(I36&gt;="T5"),"&gt;","")</f>
        <v/>
      </c>
      <c r="L36" s="265"/>
      <c r="M36" s="265"/>
      <c r="N36" s="90" t="str">
        <f>IF(_epmOfflineCondition_,"In Room Dining Food Rev",IF(_xll.EVDES(G36,$B$1)="#NODATA","",_xll.EVDES(G36,$B$1)&amp;" Food Rev"))</f>
        <v>In Room Dining Food Rev</v>
      </c>
      <c r="O36" s="210">
        <v>6632.9</v>
      </c>
      <c r="P36" s="210">
        <v>7319.75</v>
      </c>
      <c r="Q36" s="210">
        <v>3353.5</v>
      </c>
      <c r="R36" s="210"/>
      <c r="S36" s="210"/>
      <c r="T36" s="210"/>
      <c r="U36" s="210"/>
      <c r="V36" s="210"/>
      <c r="W36" s="210"/>
      <c r="X36" s="210"/>
      <c r="Y36" s="210"/>
      <c r="Z36" s="210"/>
      <c r="AA36" s="210">
        <f t="shared" si="0"/>
        <v>17306.150000000001</v>
      </c>
      <c r="AB36" s="211">
        <f>IF(AA36=0,"",IFERROR(AA36/AA$19,""))</f>
        <v>2.8221032529586618E-2</v>
      </c>
      <c r="AC36" s="140"/>
      <c r="AD36" s="210">
        <v>65324.4012</v>
      </c>
      <c r="AE36" s="211">
        <f>IF(AD36=0,"",IFERROR(AD36/AD$19,""))</f>
        <v>1.9256998373320122E-2</v>
      </c>
      <c r="AF36" s="253">
        <f>IF(AND($AA36="",AD36=""),"",$AA36-AD36)</f>
        <v>-48018.251199999999</v>
      </c>
      <c r="AG36" s="210">
        <v>10187</v>
      </c>
      <c r="AH36" s="211">
        <f>IF(AG36=0,"",IFERROR(AG36/AG$19,""))</f>
        <v>9.9084369771857538E-3</v>
      </c>
      <c r="AI36" s="253">
        <f>IF(AND($AA36="",AG36=""),"",$AA36-AG36)</f>
        <v>7119.1500000000015</v>
      </c>
      <c r="AJ36" s="212">
        <f t="shared" si="1"/>
        <v>1.0066397161470453</v>
      </c>
      <c r="AK36" s="213">
        <f t="shared" si="2"/>
        <v>0.83560685120753175</v>
      </c>
      <c r="AL36" s="215">
        <f t="shared" si="3"/>
        <v>0.29759574654552889</v>
      </c>
      <c r="AM36" s="423" t="str">
        <f t="shared" si="4"/>
        <v>0.9 pts.</v>
      </c>
      <c r="AN36" s="424" t="str">
        <f t="shared" si="5"/>
        <v>1.83 pts.</v>
      </c>
      <c r="AO36" s="11"/>
      <c r="AP36" s="11"/>
    </row>
    <row r="37" spans="1:42" x14ac:dyDescent="0.35">
      <c r="A37" s="11"/>
      <c r="B37" s="11"/>
      <c r="C37" s="11"/>
      <c r="D37" s="11"/>
      <c r="E37" s="11"/>
      <c r="F37" s="11"/>
      <c r="G37" s="88" t="s">
        <v>347</v>
      </c>
      <c r="H37" s="88" t="s">
        <v>265</v>
      </c>
      <c r="I37" s="122" t="str">
        <f>IF(_epmOfflineCondition_,"T4",_xll.EVPRO($B$1,$H37,"STYLE"))</f>
        <v>T4</v>
      </c>
      <c r="J37" s="122" t="str">
        <f>IF(_epmOfflineCondition_,"Y",_xll.EVPRO($B$1,$H37,"CALC"))</f>
        <v>Y</v>
      </c>
      <c r="K37" s="265" t="str">
        <f>IF(AND(I37&gt;="T5"),"&gt;","")</f>
        <v/>
      </c>
      <c r="L37" s="265"/>
      <c r="M37" s="265"/>
      <c r="N37" s="90" t="str">
        <f>IF(_epmOfflineCondition_,"Banquet-Catering &amp; CS Food Rev",IF(_xll.EVDES(G37,$B$1)="#NODATA","",_xll.EVDES(G37,$B$1)&amp;" Food Rev"))</f>
        <v>Banquet-Catering &amp; CS Food Rev</v>
      </c>
      <c r="O37" s="210">
        <v>22842.89</v>
      </c>
      <c r="P37" s="210">
        <v>23228</v>
      </c>
      <c r="Q37" s="210">
        <v>-375</v>
      </c>
      <c r="R37" s="210"/>
      <c r="S37" s="210">
        <v>-11139.03</v>
      </c>
      <c r="T37" s="210"/>
      <c r="U37" s="210"/>
      <c r="V37" s="210"/>
      <c r="W37" s="210"/>
      <c r="X37" s="210">
        <v>250</v>
      </c>
      <c r="Y37" s="210"/>
      <c r="Z37" s="210"/>
      <c r="AA37" s="210">
        <f t="shared" si="0"/>
        <v>34806.86</v>
      </c>
      <c r="AB37" s="211">
        <f>IF(AA37=0,"",IFERROR(AA37/AA$19,""))</f>
        <v>5.6759332856398864E-2</v>
      </c>
      <c r="AC37" s="140"/>
      <c r="AD37" s="210">
        <v>205130.13465600001</v>
      </c>
      <c r="AE37" s="211">
        <f>IF(AD37=0,"",IFERROR(AD37/AD$19,""))</f>
        <v>6.0470369369256913E-2</v>
      </c>
      <c r="AF37" s="253">
        <f>IF(AND($AA37="",AD37=""),"",$AA37-AD37)</f>
        <v>-170323.27465600002</v>
      </c>
      <c r="AG37" s="210">
        <v>117866.04</v>
      </c>
      <c r="AH37" s="211">
        <f>IF(AG37=0,"",IFERROR(AG37/AG$19,""))</f>
        <v>0.11464299883090753</v>
      </c>
      <c r="AI37" s="253">
        <f>IF(AND($AA37="",AG37=""),"",$AA37-AG37)</f>
        <v>-83059.179999999993</v>
      </c>
      <c r="AJ37" s="212">
        <f t="shared" si="1"/>
        <v>2.0245963238715681</v>
      </c>
      <c r="AK37" s="213">
        <f t="shared" si="2"/>
        <v>2.6239528072042573</v>
      </c>
      <c r="AL37" s="215">
        <f t="shared" si="3"/>
        <v>3.4432543600829657</v>
      </c>
      <c r="AM37" s="423" t="str">
        <f t="shared" si="4"/>
        <v>-0.37 pts.</v>
      </c>
      <c r="AN37" s="424" t="str">
        <f t="shared" si="5"/>
        <v>-5.79 pts.</v>
      </c>
      <c r="AO37" s="11"/>
      <c r="AP37" s="11"/>
    </row>
    <row r="38" spans="1:42" x14ac:dyDescent="0.35">
      <c r="A38" s="62" t="s">
        <v>0</v>
      </c>
      <c r="B38" s="63" t="s">
        <v>1</v>
      </c>
      <c r="C38" s="11"/>
      <c r="D38" s="11"/>
      <c r="E38" s="11"/>
      <c r="F38" s="11"/>
      <c r="G38" s="88" t="s">
        <v>349</v>
      </c>
      <c r="H38" s="88" t="s">
        <v>265</v>
      </c>
      <c r="I38" s="122" t="str">
        <f>IF(_epmOfflineCondition_,"T4",_xll.EVPRO($B$1,$H38,"STYLE"))</f>
        <v>T4</v>
      </c>
      <c r="J38" s="122" t="str">
        <f>IF(_epmOfflineCondition_,"Y",_xll.EVPRO($B$1,$H38,"CALC"))</f>
        <v>Y</v>
      </c>
      <c r="K38" s="265" t="str">
        <f>IF(AND(I38&gt;="T5"),"&gt;","")</f>
        <v/>
      </c>
      <c r="L38" s="265"/>
      <c r="M38" s="265"/>
      <c r="N38" s="90" t="str">
        <f>IF(_epmOfflineCondition_,"Mini Bar Food Rev",IF(_xll.EVDES(G38,$B$1)="#NODATA","",_xll.EVDES(G38,$B$1)&amp;" Food Rev"))</f>
        <v>Mini Bar Food Rev</v>
      </c>
      <c r="O38" s="210">
        <v>6880.86</v>
      </c>
      <c r="P38" s="210">
        <v>6416.33</v>
      </c>
      <c r="Q38" s="210">
        <v>4662</v>
      </c>
      <c r="R38" s="210"/>
      <c r="S38" s="210">
        <v>-73</v>
      </c>
      <c r="T38" s="210">
        <v>247</v>
      </c>
      <c r="U38" s="210">
        <v>328</v>
      </c>
      <c r="V38" s="210">
        <v>982.5</v>
      </c>
      <c r="W38" s="210">
        <v>1064</v>
      </c>
      <c r="X38" s="210">
        <v>1624.1</v>
      </c>
      <c r="Y38" s="210">
        <v>884</v>
      </c>
      <c r="Z38" s="210">
        <v>645</v>
      </c>
      <c r="AA38" s="210">
        <f t="shared" si="0"/>
        <v>23660.789999999997</v>
      </c>
      <c r="AB38" s="211">
        <f>IF(AA38=0,"",IFERROR(AA38/AA$19,""))</f>
        <v>3.8583504954349618E-2</v>
      </c>
      <c r="AC38" s="140"/>
      <c r="AD38" s="210">
        <v>75464.3</v>
      </c>
      <c r="AE38" s="211">
        <f>IF(AD38=0,"",IFERROR(AD38/AD$19,""))</f>
        <v>2.2246141956885502E-2</v>
      </c>
      <c r="AF38" s="253">
        <f>IF(AND($AA38="",AD38=""),"",$AA38-AD38)</f>
        <v>-51803.510000000009</v>
      </c>
      <c r="AG38" s="210">
        <v>65688.17</v>
      </c>
      <c r="AH38" s="211">
        <f>IF(AG38=0,"",IFERROR(AG38/AG$19,""))</f>
        <v>6.3891930165079408E-2</v>
      </c>
      <c r="AI38" s="253">
        <f>IF(AND($AA38="",AG38=""),"",$AA38-AG38)</f>
        <v>-42027.380000000005</v>
      </c>
      <c r="AJ38" s="221">
        <f t="shared" si="1"/>
        <v>1.3762674499767331</v>
      </c>
      <c r="AK38" s="222">
        <f t="shared" si="2"/>
        <v>0.96531288374948843</v>
      </c>
      <c r="AL38" s="224">
        <f t="shared" si="3"/>
        <v>1.9189673103327394</v>
      </c>
      <c r="AM38" s="425" t="str">
        <f t="shared" si="4"/>
        <v>1.63 pts.</v>
      </c>
      <c r="AN38" s="426" t="str">
        <f t="shared" si="5"/>
        <v>-2.53 pts.</v>
      </c>
      <c r="AO38" s="11"/>
      <c r="AP38" s="11"/>
    </row>
    <row r="39" spans="1:42" x14ac:dyDescent="0.35">
      <c r="A39" s="65" t="s">
        <v>2</v>
      </c>
      <c r="B39" s="66" t="str">
        <f>IF(_epmOfflineCondition_,"'FB_Cons'!$B$2:$B$10",_xll.EVRNG($B$2:$B$10))</f>
        <v>'FB_Cons'!$B$2:$B$10</v>
      </c>
      <c r="C39" s="11"/>
      <c r="D39" s="11"/>
      <c r="E39" s="11"/>
      <c r="F39" s="11"/>
      <c r="G39" s="88" t="s">
        <v>358</v>
      </c>
      <c r="H39" s="88" t="s">
        <v>265</v>
      </c>
      <c r="I39" s="122" t="str">
        <f>IF(_epmOfflineCondition_,"T4",_xll.EVPRO($B$1,$H39,"STYLE"))</f>
        <v>T4</v>
      </c>
      <c r="J39" s="122" t="str">
        <f>IF(_epmOfflineCondition_,"Y",_xll.EVPRO($B$1,$H39,"CALC"))</f>
        <v>Y</v>
      </c>
      <c r="K39" s="265" t="str">
        <f>IF(AND(I39&gt;="T5"),"&gt;","")</f>
        <v/>
      </c>
      <c r="L39" s="265"/>
      <c r="M39" s="265"/>
      <c r="N39" s="53" t="str">
        <f>IF(_epmOfflineCondition_,"Total Food Revenue",IF(_xll.EVDES(H39,$B$1)="#NODATA","",_xll.EVDES(H39,$B$1)))</f>
        <v>Total Food Revenue</v>
      </c>
      <c r="O39" s="225">
        <v>94697.4</v>
      </c>
      <c r="P39" s="225">
        <v>110336.67</v>
      </c>
      <c r="Q39" s="225">
        <v>39638.839999999997</v>
      </c>
      <c r="R39" s="225"/>
      <c r="S39" s="225">
        <v>-11212.03</v>
      </c>
      <c r="T39" s="225">
        <v>247</v>
      </c>
      <c r="U39" s="225">
        <v>1924</v>
      </c>
      <c r="V39" s="225">
        <v>5241.5</v>
      </c>
      <c r="W39" s="225">
        <v>6710.52</v>
      </c>
      <c r="X39" s="225">
        <v>8558.9599999999991</v>
      </c>
      <c r="Y39" s="225">
        <v>11433.27</v>
      </c>
      <c r="Z39" s="225">
        <v>24866.1</v>
      </c>
      <c r="AA39" s="225">
        <f t="shared" si="0"/>
        <v>292442.23</v>
      </c>
      <c r="AB39" s="226">
        <f>IF(AA39=0,"",IFERROR(AA39/AA$19,""))</f>
        <v>0.47688374860121113</v>
      </c>
      <c r="AC39" s="140"/>
      <c r="AD39" s="225">
        <v>1681627.0786019999</v>
      </c>
      <c r="AE39" s="226">
        <f>IF(AD39=0,"",IFERROR(AD39/AD$19,""))</f>
        <v>0.49572731356578864</v>
      </c>
      <c r="AF39" s="228">
        <f>IF(AND($AA39="",AD39=""),"",$AA39-AD39)</f>
        <v>-1389184.8486019999</v>
      </c>
      <c r="AG39" s="225">
        <v>472794.07</v>
      </c>
      <c r="AH39" s="226">
        <f>IF(AG39=0,"",IFERROR(AG39/AG$19,""))</f>
        <v>0.4598655389989349</v>
      </c>
      <c r="AI39" s="228">
        <f>IF(AND($AA39="",AG39=""),"",$AA39-AG39)</f>
        <v>-180351.84000000003</v>
      </c>
      <c r="AJ39" s="472">
        <f t="shared" si="1"/>
        <v>17.010367031177292</v>
      </c>
      <c r="AK39" s="473">
        <f t="shared" si="2"/>
        <v>21.510784366071427</v>
      </c>
      <c r="AL39" s="474">
        <f t="shared" si="3"/>
        <v>13.811868481785517</v>
      </c>
      <c r="AM39" s="475" t="str">
        <f t="shared" si="4"/>
        <v>-1.88 pts.</v>
      </c>
      <c r="AN39" s="476" t="str">
        <f t="shared" si="5"/>
        <v>1.7 pts.</v>
      </c>
      <c r="AO39" s="11"/>
      <c r="AP39" s="11"/>
    </row>
    <row r="40" spans="1:42" x14ac:dyDescent="0.35">
      <c r="A40" s="65" t="s">
        <v>3</v>
      </c>
      <c r="B40" s="66" t="str">
        <f>IF(_epmOfflineCondition_,"'FB_Cons'!$O$16:$AN$18",_xll.EVRNG($O$16:$AN$18))</f>
        <v>'FB_Cons'!$O$16:$AN$18</v>
      </c>
      <c r="C40" s="11"/>
      <c r="D40" s="11"/>
      <c r="E40" s="11"/>
      <c r="F40" s="11"/>
      <c r="G40" s="88"/>
      <c r="H40" s="11" t="s">
        <v>266</v>
      </c>
      <c r="I40" s="11" t="str">
        <f>IF(_epmOfflineCondition_,"B1",_xll.EVPRO($B$1,$H40,"STYLE"))</f>
        <v>B1</v>
      </c>
      <c r="J40" s="11" t="str">
        <f>IF(_epmOfflineCondition_,"Y",_xll.EVPRO($B$1,$H40,"CALC"))</f>
        <v>Y</v>
      </c>
      <c r="K40" s="265"/>
      <c r="L40" s="265"/>
      <c r="M40" s="265"/>
      <c r="N40" s="53" t="str">
        <f>IF(_epmOfflineCondition_,"Beverage Revenue",IF(_xll.EVDES(H40,$B$1)="#NODATA","",_xll.EVDES(H40,$B$1)))</f>
        <v>Beverage Revenue</v>
      </c>
      <c r="O40" s="210"/>
      <c r="P40" s="210"/>
      <c r="Q40" s="210"/>
      <c r="R40" s="210"/>
      <c r="S40" s="210"/>
      <c r="T40" s="210"/>
      <c r="U40" s="210"/>
      <c r="V40" s="210"/>
      <c r="W40" s="210"/>
      <c r="X40" s="210"/>
      <c r="Y40" s="210"/>
      <c r="Z40" s="210"/>
      <c r="AA40" s="210" t="str">
        <f t="shared" si="0"/>
        <v/>
      </c>
      <c r="AB40" s="211"/>
      <c r="AC40" s="140"/>
      <c r="AD40" s="210"/>
      <c r="AE40" s="211"/>
      <c r="AF40" s="253"/>
      <c r="AG40" s="210"/>
      <c r="AH40" s="211"/>
      <c r="AI40" s="253"/>
      <c r="AJ40" s="234">
        <f t="shared" si="1"/>
        <v>0</v>
      </c>
      <c r="AK40" s="235">
        <f t="shared" si="2"/>
        <v>0</v>
      </c>
      <c r="AL40" s="237">
        <f t="shared" si="3"/>
        <v>0</v>
      </c>
      <c r="AM40" s="429" t="str">
        <f t="shared" si="4"/>
        <v>0 pts.</v>
      </c>
      <c r="AN40" s="430" t="str">
        <f t="shared" si="5"/>
        <v>0 pts.</v>
      </c>
      <c r="AO40" s="11"/>
      <c r="AP40" s="11"/>
    </row>
    <row r="41" spans="1:42" x14ac:dyDescent="0.35">
      <c r="A41" s="65" t="s">
        <v>4</v>
      </c>
      <c r="B41" s="66" t="str">
        <f>IF(_epmOfflineCondition_,"'FB_Cons'!$H$60:$H$68",_xll.EVRNG(H60:H68))</f>
        <v>'FB_Cons'!$H$60:$H$68</v>
      </c>
      <c r="C41" s="11"/>
      <c r="D41" s="11"/>
      <c r="E41" s="11"/>
      <c r="F41" s="11"/>
      <c r="G41" s="88" t="s">
        <v>258</v>
      </c>
      <c r="H41" s="88" t="s">
        <v>272</v>
      </c>
      <c r="I41" s="122" t="str">
        <f>IF(_epmOfflineCondition_,"T4",_xll.EVPRO($B$1,$H41,"STYLE"))</f>
        <v>T4</v>
      </c>
      <c r="J41" s="122" t="str">
        <f>IF(_epmOfflineCondition_,"Y",_xll.EVPRO($B$1,$H41,"CALC"))</f>
        <v>Y</v>
      </c>
      <c r="K41" s="265" t="str">
        <f>IF(AND(I41&gt;="T5"),"&gt;","")</f>
        <v/>
      </c>
      <c r="L41" s="265"/>
      <c r="M41" s="265"/>
      <c r="N41" s="90" t="str">
        <f>IF(_epmOfflineCondition_,"Venues  Beverage Rev",IF(_xll.EVDES(G41,$B$1)="#NODATA","",_xll.EVDES(G41,$B$1)&amp;" Beverage Rev"))</f>
        <v>Venues  Beverage Rev</v>
      </c>
      <c r="O41" s="210">
        <v>44822.78</v>
      </c>
      <c r="P41" s="210">
        <v>56187.88</v>
      </c>
      <c r="Q41" s="210">
        <v>23454.74</v>
      </c>
      <c r="R41" s="210"/>
      <c r="S41" s="210"/>
      <c r="T41" s="210"/>
      <c r="U41" s="210">
        <v>1849</v>
      </c>
      <c r="V41" s="210">
        <v>993</v>
      </c>
      <c r="W41" s="210">
        <v>3938.28</v>
      </c>
      <c r="X41" s="210">
        <v>10341.719999999999</v>
      </c>
      <c r="Y41" s="210">
        <v>9714.94</v>
      </c>
      <c r="Z41" s="210">
        <v>16145.5</v>
      </c>
      <c r="AA41" s="210">
        <f t="shared" si="0"/>
        <v>167447.84000000003</v>
      </c>
      <c r="AB41" s="211">
        <f t="shared" ref="AB41:AB47" si="6">IF(AA41=0,"",IFERROR(AA41/AA$19,""))</f>
        <v>0.27305616440681579</v>
      </c>
      <c r="AC41" s="140"/>
      <c r="AD41" s="210">
        <v>1003535.947254</v>
      </c>
      <c r="AE41" s="211">
        <f t="shared" ref="AE41:AE47" si="7">IF(AD41=0,"",IFERROR(AD41/AD$19,""))</f>
        <v>0.29583264061880976</v>
      </c>
      <c r="AF41" s="253">
        <f t="shared" ref="AF41:AF47" si="8">IF(AND($AA41="",AD41=""),"",$AA41-AD41)</f>
        <v>-836088.10725399991</v>
      </c>
      <c r="AG41" s="210">
        <v>282809.88</v>
      </c>
      <c r="AH41" s="211">
        <f t="shared" ref="AH41:AH47" si="9">IF(AG41=0,"",IFERROR(AG41/AG$19,""))</f>
        <v>0.2750764574953829</v>
      </c>
      <c r="AI41" s="253">
        <f t="shared" ref="AI41:AI47" si="10">IF(AND($AA41="",AG41=""),"",$AA41-AG41)</f>
        <v>-115362.03999999998</v>
      </c>
      <c r="AJ41" s="212">
        <f t="shared" si="1"/>
        <v>9.739869706840393</v>
      </c>
      <c r="AK41" s="213">
        <f t="shared" si="2"/>
        <v>12.83688020945047</v>
      </c>
      <c r="AL41" s="215">
        <f t="shared" si="3"/>
        <v>8.2618059653530427</v>
      </c>
      <c r="AM41" s="423" t="str">
        <f t="shared" si="4"/>
        <v>-2.28 pts.</v>
      </c>
      <c r="AN41" s="424" t="str">
        <f t="shared" si="5"/>
        <v>-0.2 pts.</v>
      </c>
      <c r="AO41" s="11"/>
      <c r="AP41" s="11"/>
    </row>
    <row r="42" spans="1:42" x14ac:dyDescent="0.35">
      <c r="A42" s="65" t="s">
        <v>5</v>
      </c>
      <c r="B42" s="66"/>
      <c r="C42" s="11"/>
      <c r="D42" s="11"/>
      <c r="E42" s="11"/>
      <c r="F42" s="384"/>
      <c r="G42" s="88" t="s">
        <v>346</v>
      </c>
      <c r="H42" s="88" t="s">
        <v>272</v>
      </c>
      <c r="I42" s="122" t="str">
        <f>IF(_epmOfflineCondition_,"T4",_xll.EVPRO($B$1,$H42,"STYLE"))</f>
        <v>T4</v>
      </c>
      <c r="J42" s="122" t="str">
        <f>IF(_epmOfflineCondition_,"Y",_xll.EVPRO($B$1,$H42,"CALC"))</f>
        <v>Y</v>
      </c>
      <c r="K42" s="265" t="str">
        <f>IF(AND(I42&gt;="T5"),"&gt;","")</f>
        <v/>
      </c>
      <c r="L42" s="265"/>
      <c r="M42" s="265"/>
      <c r="N42" s="90" t="str">
        <f>IF(_epmOfflineCondition_,"In Room Dining Beverage Rev",IF(_xll.EVDES(G42,$B$1)="#NODATA","",_xll.EVDES(G42,$B$1)&amp;" Beverage Rev"))</f>
        <v>In Room Dining Beverage Rev</v>
      </c>
      <c r="O42" s="210">
        <v>534</v>
      </c>
      <c r="P42" s="210">
        <v>1599</v>
      </c>
      <c r="Q42" s="210">
        <v>777</v>
      </c>
      <c r="R42" s="210"/>
      <c r="S42" s="210"/>
      <c r="T42" s="210"/>
      <c r="U42" s="210"/>
      <c r="V42" s="210"/>
      <c r="W42" s="210"/>
      <c r="X42" s="210"/>
      <c r="Y42" s="210"/>
      <c r="Z42" s="210"/>
      <c r="AA42" s="210">
        <f t="shared" si="0"/>
        <v>2910</v>
      </c>
      <c r="AB42" s="211">
        <f t="shared" si="6"/>
        <v>4.7453191299680775E-3</v>
      </c>
      <c r="AC42" s="140"/>
      <c r="AD42" s="210">
        <v>23185.5988</v>
      </c>
      <c r="AE42" s="211">
        <f t="shared" si="7"/>
        <v>6.8348891099525751E-3</v>
      </c>
      <c r="AF42" s="253">
        <f t="shared" si="8"/>
        <v>-20275.5988</v>
      </c>
      <c r="AG42" s="210">
        <v>928</v>
      </c>
      <c r="AH42" s="211">
        <f t="shared" si="9"/>
        <v>9.0262388483639726E-4</v>
      </c>
      <c r="AI42" s="253">
        <f t="shared" si="10"/>
        <v>1982</v>
      </c>
      <c r="AJ42" s="212">
        <f t="shared" si="1"/>
        <v>0.16926477431363424</v>
      </c>
      <c r="AK42" s="213">
        <f t="shared" si="2"/>
        <v>0.2965820558739255</v>
      </c>
      <c r="AL42" s="215">
        <f t="shared" si="3"/>
        <v>2.7109929595980253E-2</v>
      </c>
      <c r="AM42" s="423" t="str">
        <f t="shared" si="4"/>
        <v>-0.21 pts.</v>
      </c>
      <c r="AN42" s="424" t="str">
        <f t="shared" si="5"/>
        <v>0.38 pts.</v>
      </c>
      <c r="AO42" s="11"/>
      <c r="AP42" s="11"/>
    </row>
    <row r="43" spans="1:42" x14ac:dyDescent="0.35">
      <c r="A43" s="65" t="s">
        <v>6</v>
      </c>
      <c r="B43" s="66"/>
      <c r="C43" s="11"/>
      <c r="D43" s="11"/>
      <c r="E43" s="11"/>
      <c r="F43" s="384"/>
      <c r="G43" s="88" t="s">
        <v>347</v>
      </c>
      <c r="H43" s="88" t="s">
        <v>272</v>
      </c>
      <c r="I43" s="122" t="str">
        <f>IF(_epmOfflineCondition_,"T4",_xll.EVPRO($B$1,$H43,"STYLE"))</f>
        <v>T4</v>
      </c>
      <c r="J43" s="122" t="str">
        <f>IF(_epmOfflineCondition_,"Y",_xll.EVPRO($B$1,$H43,"CALC"))</f>
        <v>Y</v>
      </c>
      <c r="K43" s="265" t="str">
        <f>IF(AND(I43&gt;="T5"),"&gt;","")</f>
        <v/>
      </c>
      <c r="L43" s="265"/>
      <c r="M43" s="265"/>
      <c r="N43" s="90" t="str">
        <f>IF(_epmOfflineCondition_,"Banquet-Catering &amp; CS Beverage Rev",IF(_xll.EVDES(G43,$B$1)="#NODATA","",_xll.EVDES(G43,$B$1)&amp;" Beverage Rev"))</f>
        <v>Banquet-Catering &amp; CS Beverage Rev</v>
      </c>
      <c r="O43" s="210">
        <v>1020</v>
      </c>
      <c r="P43" s="210">
        <v>3562.99</v>
      </c>
      <c r="Q43" s="210"/>
      <c r="R43" s="210"/>
      <c r="S43" s="210"/>
      <c r="T43" s="210"/>
      <c r="U43" s="210"/>
      <c r="V43" s="210"/>
      <c r="W43" s="210">
        <v>504</v>
      </c>
      <c r="X43" s="210"/>
      <c r="Y43" s="210"/>
      <c r="Z43" s="210"/>
      <c r="AA43" s="210">
        <f t="shared" si="0"/>
        <v>5086.99</v>
      </c>
      <c r="AB43" s="211">
        <f t="shared" si="6"/>
        <v>8.2953233542805201E-3</v>
      </c>
      <c r="AC43" s="140"/>
      <c r="AD43" s="210">
        <v>32818.435343999998</v>
      </c>
      <c r="AE43" s="211">
        <f t="shared" si="7"/>
        <v>9.6745556702373496E-3</v>
      </c>
      <c r="AF43" s="253">
        <f t="shared" si="8"/>
        <v>-27731.445344</v>
      </c>
      <c r="AG43" s="210">
        <v>11963.67</v>
      </c>
      <c r="AH43" s="211">
        <f t="shared" si="9"/>
        <v>1.1636524021875714E-2</v>
      </c>
      <c r="AI43" s="253">
        <f t="shared" si="10"/>
        <v>-6876.68</v>
      </c>
      <c r="AJ43" s="212">
        <f t="shared" si="1"/>
        <v>0.29589285714285712</v>
      </c>
      <c r="AK43" s="213">
        <f t="shared" si="2"/>
        <v>0.41980192570609903</v>
      </c>
      <c r="AL43" s="215">
        <f t="shared" si="3"/>
        <v>0.34949811574303996</v>
      </c>
      <c r="AM43" s="423" t="str">
        <f t="shared" si="4"/>
        <v>-0.14 pts.</v>
      </c>
      <c r="AN43" s="424" t="str">
        <f t="shared" si="5"/>
        <v>-0.33 pts.</v>
      </c>
      <c r="AO43" s="11"/>
      <c r="AP43" s="11"/>
    </row>
    <row r="44" spans="1:42" x14ac:dyDescent="0.35">
      <c r="A44" s="65" t="s">
        <v>7</v>
      </c>
      <c r="B44" s="66" t="str">
        <f>IF(_epmOfflineCondition_,"'FB_Cons'!$A$58:$F$66",_xll.EVRNG(A58:F66))</f>
        <v>'FB_Cons'!$A$58:$F$66</v>
      </c>
      <c r="C44" s="11"/>
      <c r="D44" s="11"/>
      <c r="E44" s="11"/>
      <c r="F44" s="384"/>
      <c r="G44" s="88" t="s">
        <v>349</v>
      </c>
      <c r="H44" s="88" t="s">
        <v>272</v>
      </c>
      <c r="I44" s="122" t="str">
        <f>IF(_epmOfflineCondition_,"T4",_xll.EVPRO($B$1,$H44,"STYLE"))</f>
        <v>T4</v>
      </c>
      <c r="J44" s="122" t="str">
        <f>IF(_epmOfflineCondition_,"Y",_xll.EVPRO($B$1,$H44,"CALC"))</f>
        <v>Y</v>
      </c>
      <c r="K44" s="265" t="str">
        <f>IF(AND(I44&gt;="T5"),"&gt;","")</f>
        <v/>
      </c>
      <c r="L44" s="265"/>
      <c r="M44" s="265"/>
      <c r="N44" s="90" t="str">
        <f>IF(_epmOfflineCondition_,"Mini Bar Beverage Rev",IF(_xll.EVDES(G44,$B$1)="#NODATA","",_xll.EVDES(G44,$B$1)&amp;" Beverage Rev"))</f>
        <v>Mini Bar Beverage Rev</v>
      </c>
      <c r="O44" s="210">
        <v>3238</v>
      </c>
      <c r="P44" s="210">
        <v>5330</v>
      </c>
      <c r="Q44" s="210">
        <v>3203</v>
      </c>
      <c r="R44" s="210"/>
      <c r="S44" s="210">
        <v>-165</v>
      </c>
      <c r="T44" s="210">
        <v>664</v>
      </c>
      <c r="U44" s="210">
        <v>451.75</v>
      </c>
      <c r="V44" s="210">
        <v>2208</v>
      </c>
      <c r="W44" s="210">
        <v>2264</v>
      </c>
      <c r="X44" s="210">
        <v>3149</v>
      </c>
      <c r="Y44" s="210">
        <v>2144</v>
      </c>
      <c r="Z44" s="210">
        <v>2720</v>
      </c>
      <c r="AA44" s="210">
        <f t="shared" si="0"/>
        <v>25206.75</v>
      </c>
      <c r="AB44" s="211">
        <f t="shared" si="6"/>
        <v>4.1104492432756989E-2</v>
      </c>
      <c r="AC44" s="140"/>
      <c r="AD44" s="210">
        <v>47420.1</v>
      </c>
      <c r="AE44" s="211">
        <f t="shared" si="7"/>
        <v>1.397898444972929E-2</v>
      </c>
      <c r="AF44" s="253">
        <f t="shared" si="8"/>
        <v>-22213.35</v>
      </c>
      <c r="AG44" s="210">
        <v>39597</v>
      </c>
      <c r="AH44" s="211">
        <f t="shared" si="9"/>
        <v>3.8514221948132352E-2</v>
      </c>
      <c r="AI44" s="253">
        <f t="shared" si="10"/>
        <v>-14390.25</v>
      </c>
      <c r="AJ44" s="221">
        <f t="shared" si="1"/>
        <v>1.4661906700791065</v>
      </c>
      <c r="AK44" s="222">
        <f t="shared" si="2"/>
        <v>0.60658130372492836</v>
      </c>
      <c r="AL44" s="224">
        <f t="shared" si="3"/>
        <v>1.1567584937629634</v>
      </c>
      <c r="AM44" s="425" t="str">
        <f t="shared" si="4"/>
        <v>2.71 pts.</v>
      </c>
      <c r="AN44" s="426" t="str">
        <f t="shared" si="5"/>
        <v>0.26 pts.</v>
      </c>
      <c r="AO44" s="11"/>
      <c r="AP44" s="11"/>
    </row>
    <row r="45" spans="1:42" x14ac:dyDescent="0.35">
      <c r="A45" s="65" t="s">
        <v>47</v>
      </c>
      <c r="B45" s="66" t="str">
        <f>IF(_epmOfflineCondition_,"'FB_Cons'!$A$114:$B$135",_xll.EVRNG($A$114:$B$135))</f>
        <v>'FB_Cons'!$A$114:$B$135</v>
      </c>
      <c r="C45" s="11"/>
      <c r="D45" s="11"/>
      <c r="E45" s="11"/>
      <c r="F45" s="11"/>
      <c r="G45" s="88" t="s">
        <v>358</v>
      </c>
      <c r="H45" s="88" t="s">
        <v>272</v>
      </c>
      <c r="I45" s="122" t="str">
        <f>IF(_epmOfflineCondition_,"T4",_xll.EVPRO($B$1,$H45,"STYLE"))</f>
        <v>T4</v>
      </c>
      <c r="J45" s="122" t="str">
        <f>IF(_epmOfflineCondition_,"Y",_xll.EVPRO($B$1,$H45,"CALC"))</f>
        <v>Y</v>
      </c>
      <c r="K45" s="265" t="str">
        <f>IF(AND(I45&gt;="T5"),"&gt;","")</f>
        <v/>
      </c>
      <c r="L45" s="265"/>
      <c r="M45" s="265"/>
      <c r="N45" s="53" t="str">
        <f>IF(_epmOfflineCondition_,"Total Beverage Revenue",IF(_xll.EVDES(H45,$B$1)="#NODATA","",_xll.EVDES(H45,$B$1)))</f>
        <v>Total Beverage Revenue</v>
      </c>
      <c r="O45" s="225">
        <v>49614.78</v>
      </c>
      <c r="P45" s="225">
        <v>66679.87</v>
      </c>
      <c r="Q45" s="225">
        <v>27434.74</v>
      </c>
      <c r="R45" s="225"/>
      <c r="S45" s="225">
        <v>-165</v>
      </c>
      <c r="T45" s="225">
        <v>664</v>
      </c>
      <c r="U45" s="225">
        <v>2300.75</v>
      </c>
      <c r="V45" s="225">
        <v>3201</v>
      </c>
      <c r="W45" s="225">
        <v>6706.28</v>
      </c>
      <c r="X45" s="225">
        <v>13490.72</v>
      </c>
      <c r="Y45" s="225">
        <v>11858.94</v>
      </c>
      <c r="Z45" s="225">
        <v>18865.5</v>
      </c>
      <c r="AA45" s="225">
        <f t="shared" si="0"/>
        <v>200651.58</v>
      </c>
      <c r="AB45" s="226">
        <f t="shared" si="6"/>
        <v>0.32720129932382136</v>
      </c>
      <c r="AC45" s="140"/>
      <c r="AD45" s="225">
        <v>1106960.081398</v>
      </c>
      <c r="AE45" s="226">
        <f t="shared" si="7"/>
        <v>0.326321069848729</v>
      </c>
      <c r="AF45" s="228">
        <f t="shared" si="8"/>
        <v>-906308.50139800005</v>
      </c>
      <c r="AG45" s="225">
        <v>335298.55</v>
      </c>
      <c r="AH45" s="226">
        <f t="shared" si="9"/>
        <v>0.32612982735022739</v>
      </c>
      <c r="AI45" s="228">
        <f t="shared" si="10"/>
        <v>-134646.97</v>
      </c>
      <c r="AJ45" s="472">
        <f t="shared" si="1"/>
        <v>11.671218008375988</v>
      </c>
      <c r="AK45" s="473">
        <f t="shared" si="2"/>
        <v>14.159845494755423</v>
      </c>
      <c r="AL45" s="474">
        <f t="shared" si="3"/>
        <v>9.7951725044550262</v>
      </c>
      <c r="AM45" s="475" t="str">
        <f t="shared" si="4"/>
        <v>0.09 pts.</v>
      </c>
      <c r="AN45" s="476" t="str">
        <f t="shared" si="5"/>
        <v>0.11 pts.</v>
      </c>
      <c r="AO45" s="11"/>
      <c r="AP45" s="11"/>
    </row>
    <row r="46" spans="1:42" x14ac:dyDescent="0.35">
      <c r="A46" s="65" t="s">
        <v>8</v>
      </c>
      <c r="B46" s="66"/>
      <c r="C46" s="11"/>
      <c r="D46" s="11"/>
      <c r="E46" s="11"/>
      <c r="F46" s="11"/>
      <c r="G46" s="88" t="s">
        <v>358</v>
      </c>
      <c r="H46" s="88" t="s">
        <v>486</v>
      </c>
      <c r="I46" s="89"/>
      <c r="J46" s="89"/>
      <c r="K46" s="265"/>
      <c r="L46" s="265"/>
      <c r="M46" s="265"/>
      <c r="N46" s="90" t="str">
        <f>IF(_epmOfflineCondition_,"Food &amp; Beverage: Allowances",IF(_xll.EVDES(H46,$B$1)="#NODATA","",_xll.EVDES(H46,$B$1)))</f>
        <v>Food &amp; Beverage: Allowances</v>
      </c>
      <c r="O46" s="210">
        <v>-24.89</v>
      </c>
      <c r="P46" s="210">
        <v>-517.94000000000005</v>
      </c>
      <c r="Q46" s="210">
        <v>-442.52</v>
      </c>
      <c r="R46" s="210"/>
      <c r="S46" s="210"/>
      <c r="T46" s="210"/>
      <c r="U46" s="210"/>
      <c r="V46" s="210"/>
      <c r="W46" s="210">
        <v>-69.349999999999994</v>
      </c>
      <c r="X46" s="210">
        <v>-105.72</v>
      </c>
      <c r="Y46" s="210">
        <v>-33.020000000000003</v>
      </c>
      <c r="Z46" s="210"/>
      <c r="AA46" s="210">
        <f t="shared" si="0"/>
        <v>-1193.44</v>
      </c>
      <c r="AB46" s="211">
        <f t="shared" si="6"/>
        <v>-1.9461352791990045E-3</v>
      </c>
      <c r="AC46" s="140"/>
      <c r="AD46" s="210"/>
      <c r="AE46" s="211" t="str">
        <f t="shared" si="7"/>
        <v/>
      </c>
      <c r="AF46" s="253">
        <f t="shared" si="8"/>
        <v>-1193.44</v>
      </c>
      <c r="AG46" s="210">
        <v>-1216.53</v>
      </c>
      <c r="AH46" s="211">
        <f t="shared" si="9"/>
        <v>-1.1832640459267484E-3</v>
      </c>
      <c r="AI46" s="253">
        <f t="shared" si="10"/>
        <v>23.089999999999918</v>
      </c>
      <c r="AJ46" s="234">
        <f t="shared" si="1"/>
        <v>-6.9418334108887855E-2</v>
      </c>
      <c r="AK46" s="235">
        <f t="shared" si="2"/>
        <v>0</v>
      </c>
      <c r="AL46" s="237">
        <f t="shared" si="3"/>
        <v>-3.553883906400631E-2</v>
      </c>
      <c r="AM46" s="429">
        <f t="shared" si="4"/>
        <v>0</v>
      </c>
      <c r="AN46" s="430" t="str">
        <f t="shared" si="5"/>
        <v>-0.08 pts.</v>
      </c>
      <c r="AO46" s="11"/>
      <c r="AP46" s="11"/>
    </row>
    <row r="47" spans="1:42" x14ac:dyDescent="0.35">
      <c r="A47" s="11"/>
      <c r="B47" s="11"/>
      <c r="C47" s="11"/>
      <c r="D47" s="11"/>
      <c r="E47" s="11"/>
      <c r="F47" s="11"/>
      <c r="G47" s="88" t="s">
        <v>358</v>
      </c>
      <c r="H47" s="88" t="s">
        <v>273</v>
      </c>
      <c r="I47" s="122" t="str">
        <f>IF(_epmOfflineCondition_,"T4",_xll.EVPRO($B$1,$H47,"STYLE"))</f>
        <v>T4</v>
      </c>
      <c r="J47" s="122" t="str">
        <f>IF(_epmOfflineCondition_,"Y",_xll.EVPRO($B$1,$H47,"CALC"))</f>
        <v>Y</v>
      </c>
      <c r="K47" s="265" t="str">
        <f>IF(AND(I47&gt;="T5"),"&gt;","")</f>
        <v/>
      </c>
      <c r="L47" s="265"/>
      <c r="M47" s="265"/>
      <c r="N47" s="53" t="str">
        <f>IF(_epmOfflineCondition_,"Total Food &amp; Beverage Revenue",IF(_xll.EVDES(H47,$B$1)="#NODATA","",_xll.EVDES(H47,$B$1)))</f>
        <v>Total Food &amp; Beverage Revenue</v>
      </c>
      <c r="O47" s="225">
        <v>144287.29</v>
      </c>
      <c r="P47" s="225">
        <v>176498.6</v>
      </c>
      <c r="Q47" s="225">
        <v>66631.06</v>
      </c>
      <c r="R47" s="225"/>
      <c r="S47" s="225">
        <v>-11377.03</v>
      </c>
      <c r="T47" s="225">
        <v>911</v>
      </c>
      <c r="U47" s="225">
        <v>4224.75</v>
      </c>
      <c r="V47" s="225">
        <v>8442.5</v>
      </c>
      <c r="W47" s="225">
        <v>13347.45</v>
      </c>
      <c r="X47" s="225">
        <v>21943.96</v>
      </c>
      <c r="Y47" s="225">
        <v>23259.19</v>
      </c>
      <c r="Z47" s="225">
        <v>43731.6</v>
      </c>
      <c r="AA47" s="225">
        <f t="shared" si="0"/>
        <v>491900.37</v>
      </c>
      <c r="AB47" s="226">
        <f t="shared" si="6"/>
        <v>0.80213891264583359</v>
      </c>
      <c r="AC47" s="140"/>
      <c r="AD47" s="225">
        <v>2788587.16</v>
      </c>
      <c r="AE47" s="226">
        <f t="shared" si="7"/>
        <v>0.82204838341451769</v>
      </c>
      <c r="AF47" s="228">
        <f t="shared" si="8"/>
        <v>-2296686.79</v>
      </c>
      <c r="AG47" s="225">
        <v>806876.09</v>
      </c>
      <c r="AH47" s="226">
        <f t="shared" si="9"/>
        <v>0.7848121023032355</v>
      </c>
      <c r="AI47" s="228">
        <f t="shared" si="10"/>
        <v>-314975.71999999997</v>
      </c>
      <c r="AJ47" s="472">
        <f t="shared" si="1"/>
        <v>28.612166705444391</v>
      </c>
      <c r="AK47" s="473">
        <f t="shared" si="2"/>
        <v>35.670629860826857</v>
      </c>
      <c r="AL47" s="474">
        <f t="shared" si="3"/>
        <v>23.571502147176535</v>
      </c>
      <c r="AM47" s="482" t="str">
        <f t="shared" si="4"/>
        <v>-1.99 pts.</v>
      </c>
      <c r="AN47" s="476" t="str">
        <f t="shared" si="5"/>
        <v>1.73 pts.</v>
      </c>
      <c r="AO47" s="11"/>
      <c r="AP47" s="11"/>
    </row>
    <row r="48" spans="1:42" x14ac:dyDescent="0.35">
      <c r="A48" s="62" t="s">
        <v>9</v>
      </c>
      <c r="B48" s="63" t="s">
        <v>10</v>
      </c>
      <c r="C48" s="11"/>
      <c r="D48" s="11"/>
      <c r="E48" s="11"/>
      <c r="F48" s="11"/>
      <c r="G48" s="88"/>
      <c r="H48" s="11" t="s">
        <v>279</v>
      </c>
      <c r="I48" s="11" t="str">
        <f>IF(_epmOfflineCondition_,"B1",_xll.EVPRO($B$1,$H48,"STYLE"))</f>
        <v>B1</v>
      </c>
      <c r="J48" s="11" t="str">
        <f>IF(_epmOfflineCondition_,"Y",_xll.EVPRO($B$1,$H48,"CALC"))</f>
        <v>Y</v>
      </c>
      <c r="K48" s="265" t="str">
        <f>IF(AND(I48&gt;="T5"),"&gt;","")</f>
        <v/>
      </c>
      <c r="L48" s="265"/>
      <c r="M48" s="265"/>
      <c r="N48" s="106" t="str">
        <f>IF(_epmOfflineCondition_,"Other Revenue",IF(_xll.EVDES(H48,$B$1)="#NODATA","",_xll.EVDES(H48,$B$1)))</f>
        <v>Other Revenue</v>
      </c>
      <c r="O48" s="483"/>
      <c r="P48" s="484"/>
      <c r="Q48" s="484"/>
      <c r="R48" s="484"/>
      <c r="S48" s="484"/>
      <c r="T48" s="484"/>
      <c r="U48" s="484"/>
      <c r="V48" s="484"/>
      <c r="W48" s="484"/>
      <c r="X48" s="484"/>
      <c r="Y48" s="484"/>
      <c r="Z48" s="484"/>
      <c r="AA48" s="484" t="str">
        <f t="shared" si="0"/>
        <v/>
      </c>
      <c r="AB48" s="485"/>
      <c r="AC48" s="140"/>
      <c r="AD48" s="483"/>
      <c r="AE48" s="486"/>
      <c r="AF48" s="487"/>
      <c r="AG48" s="483"/>
      <c r="AH48" s="486"/>
      <c r="AI48" s="487"/>
      <c r="AJ48" s="212">
        <f t="shared" si="1"/>
        <v>0</v>
      </c>
      <c r="AK48" s="213">
        <f t="shared" si="2"/>
        <v>0</v>
      </c>
      <c r="AL48" s="215">
        <f t="shared" si="3"/>
        <v>0</v>
      </c>
      <c r="AM48" s="423" t="str">
        <f t="shared" si="4"/>
        <v>0 pts.</v>
      </c>
      <c r="AN48" s="424" t="str">
        <f t="shared" si="5"/>
        <v>0 pts.</v>
      </c>
      <c r="AO48" s="11"/>
      <c r="AP48" s="11"/>
    </row>
    <row r="49" spans="1:42" x14ac:dyDescent="0.35">
      <c r="A49" s="65" t="s">
        <v>11</v>
      </c>
      <c r="B49" s="66" t="s">
        <v>21</v>
      </c>
      <c r="C49" s="11"/>
      <c r="D49" s="11"/>
      <c r="E49" s="11"/>
      <c r="F49" s="11"/>
      <c r="G49" s="88" t="s">
        <v>358</v>
      </c>
      <c r="H49" s="88" t="s">
        <v>274</v>
      </c>
      <c r="I49" s="122" t="str">
        <f>IF(_epmOfflineCondition_,"T5",_xll.EVPRO($B$1,$H49,"STYLE"))</f>
        <v>T5</v>
      </c>
      <c r="J49" s="122" t="str">
        <f>IF(_epmOfflineCondition_,"Y",_xll.EVPRO($B$1,$H49,"CALC"))</f>
        <v>Y</v>
      </c>
      <c r="K49" s="265"/>
      <c r="L49" s="265"/>
      <c r="M49" s="265"/>
      <c r="N49" s="90" t="str">
        <f>IF(_epmOfflineCondition_,"Audio/Visual Rentals",IF(_xll.EVDES(H49,$B$1)="#NODATA","",_xll.EVDES(H49,$B$1)))</f>
        <v>Audio/Visual Rentals</v>
      </c>
      <c r="O49" s="143">
        <v>4474.75</v>
      </c>
      <c r="P49" s="143">
        <v>3750</v>
      </c>
      <c r="Q49" s="143">
        <v>-187.52</v>
      </c>
      <c r="R49" s="143"/>
      <c r="S49" s="143">
        <v>-1123.5</v>
      </c>
      <c r="T49" s="143"/>
      <c r="U49" s="143"/>
      <c r="V49" s="143"/>
      <c r="W49" s="143"/>
      <c r="X49" s="143"/>
      <c r="Y49" s="143"/>
      <c r="Z49" s="143"/>
      <c r="AA49" s="143">
        <f t="shared" si="0"/>
        <v>6913.73</v>
      </c>
      <c r="AB49" s="144">
        <f t="shared" ref="AB49:AB56" si="11">IF(AA49=0,"",IFERROR(AA49/AA$19,""))</f>
        <v>1.1274177054444742E-2</v>
      </c>
      <c r="AC49" s="140"/>
      <c r="AD49" s="143">
        <v>18273</v>
      </c>
      <c r="AE49" s="144">
        <f t="shared" ref="AE49:AE56" si="12">IF(AD49=0,"",IFERROR(AD49/AD$19,""))</f>
        <v>5.3867027452473388E-3</v>
      </c>
      <c r="AF49" s="145">
        <f t="shared" ref="AF49:AF56" si="13">IF(AND($AA49="",AD49=""),"",$AA49-AD49)</f>
        <v>-11359.27</v>
      </c>
      <c r="AG49" s="143">
        <v>15792.83</v>
      </c>
      <c r="AH49" s="144">
        <f t="shared" ref="AH49:AH56" si="14">IF(AG49=0,"",IFERROR(AG49/AG$19,""))</f>
        <v>1.5360975826681897E-2</v>
      </c>
      <c r="AI49" s="145">
        <f t="shared" ref="AI49:AI56" si="15">IF(AND($AA49="",AG49=""),"",$AA49-AG49)</f>
        <v>-8879.1</v>
      </c>
      <c r="AJ49" s="212">
        <f t="shared" si="1"/>
        <v>0.4021480921358771</v>
      </c>
      <c r="AK49" s="213">
        <f t="shared" si="2"/>
        <v>0.23374181334424887</v>
      </c>
      <c r="AL49" s="215">
        <f t="shared" si="3"/>
        <v>0.46136046273845344</v>
      </c>
      <c r="AM49" s="423" t="str">
        <f t="shared" si="4"/>
        <v>0.59 pts.</v>
      </c>
      <c r="AN49" s="424" t="str">
        <f t="shared" si="5"/>
        <v>-0.41 pts.</v>
      </c>
      <c r="AO49" s="11"/>
      <c r="AP49" s="11"/>
    </row>
    <row r="50" spans="1:42" x14ac:dyDescent="0.35">
      <c r="A50" s="65" t="s">
        <v>12</v>
      </c>
      <c r="B50" s="66" t="s">
        <v>22</v>
      </c>
      <c r="C50" s="11"/>
      <c r="D50" s="11"/>
      <c r="E50" s="11"/>
      <c r="F50" s="11"/>
      <c r="G50" s="88" t="s">
        <v>358</v>
      </c>
      <c r="H50" s="88" t="s">
        <v>275</v>
      </c>
      <c r="I50" s="122" t="str">
        <f>IF(_epmOfflineCondition_,"T5",_xll.EVPRO($B$1,$H50,"STYLE"))</f>
        <v>T5</v>
      </c>
      <c r="J50" s="122" t="str">
        <f>IF(_epmOfflineCondition_,"Y",_xll.EVPRO($B$1,$H50,"CALC"))</f>
        <v>Y</v>
      </c>
      <c r="K50" s="265"/>
      <c r="L50" s="265"/>
      <c r="M50" s="265"/>
      <c r="N50" s="90" t="str">
        <f>IF(_epmOfflineCondition_,"Public Room Rental",IF(_xll.EVDES(H50,$B$1)="#NODATA","",_xll.EVDES(H50,$B$1)))</f>
        <v>Public Room Rental</v>
      </c>
      <c r="O50" s="210">
        <v>14875</v>
      </c>
      <c r="P50" s="210">
        <v>7300</v>
      </c>
      <c r="Q50" s="210"/>
      <c r="R50" s="210"/>
      <c r="S50" s="210"/>
      <c r="T50" s="210"/>
      <c r="U50" s="210"/>
      <c r="V50" s="210"/>
      <c r="W50" s="210"/>
      <c r="X50" s="210"/>
      <c r="Y50" s="210">
        <v>650</v>
      </c>
      <c r="Z50" s="210"/>
      <c r="AA50" s="210">
        <f t="shared" si="0"/>
        <v>22825</v>
      </c>
      <c r="AB50" s="211">
        <f t="shared" si="11"/>
        <v>3.7220587333856144E-2</v>
      </c>
      <c r="AC50" s="140"/>
      <c r="AD50" s="210">
        <v>68598.960000000006</v>
      </c>
      <c r="AE50" s="211">
        <f t="shared" si="12"/>
        <v>2.0222306471466778E-2</v>
      </c>
      <c r="AF50" s="253">
        <f t="shared" si="13"/>
        <v>-45773.960000000006</v>
      </c>
      <c r="AG50" s="210">
        <v>57870.19</v>
      </c>
      <c r="AH50" s="211">
        <f t="shared" si="14"/>
        <v>5.628773245045305E-2</v>
      </c>
      <c r="AI50" s="253">
        <f t="shared" si="15"/>
        <v>-35045.19</v>
      </c>
      <c r="AJ50" s="212">
        <f t="shared" si="1"/>
        <v>1.3276523964634714</v>
      </c>
      <c r="AK50" s="213">
        <f t="shared" si="2"/>
        <v>0.87749386000818674</v>
      </c>
      <c r="AL50" s="215">
        <f t="shared" si="3"/>
        <v>1.6905784230668108</v>
      </c>
      <c r="AM50" s="423" t="str">
        <f t="shared" si="4"/>
        <v>1.7 pts.</v>
      </c>
      <c r="AN50" s="424" t="str">
        <f t="shared" si="5"/>
        <v>-1.91 pts.</v>
      </c>
      <c r="AO50" s="11"/>
      <c r="AP50" s="11"/>
    </row>
    <row r="51" spans="1:42" x14ac:dyDescent="0.35">
      <c r="A51" s="65" t="s">
        <v>13</v>
      </c>
      <c r="B51" s="66" t="str">
        <f>"DEP(COS_FB) AND "&amp;$E$6&amp;"=Y,COS_FB,COSOTH,DEP(COS_OTHR) AND "&amp;$E$6&amp;"=Y,COS_OTHR,500001"</f>
        <v>DEP(COS_FB) AND D_FB=Y,COS_FB,COSOTH,DEP(COS_OTHR) AND D_FB=Y,COS_OTHR,500001</v>
      </c>
      <c r="C51" s="11"/>
      <c r="D51" s="11"/>
      <c r="E51" s="11"/>
      <c r="F51" s="11"/>
      <c r="G51" s="88" t="s">
        <v>358</v>
      </c>
      <c r="H51" s="88" t="s">
        <v>276</v>
      </c>
      <c r="I51" s="122" t="str">
        <f>IF(_epmOfflineCondition_,"T5",_xll.EVPRO($B$1,$H51,"STYLE"))</f>
        <v>T5</v>
      </c>
      <c r="J51" s="122" t="str">
        <f>IF(_epmOfflineCondition_,"Y",_xll.EVPRO($B$1,$H51,"CALC"))</f>
        <v>Y</v>
      </c>
      <c r="K51" s="265"/>
      <c r="L51" s="265"/>
      <c r="M51" s="265"/>
      <c r="N51" s="90" t="str">
        <f>IF(_epmOfflineCondition_,"Cover Charge",IF(_xll.EVDES(H51,$B$1)="#NODATA","",_xll.EVDES(H51,$B$1)))</f>
        <v>Cover Charge</v>
      </c>
      <c r="O51" s="210"/>
      <c r="P51" s="210"/>
      <c r="Q51" s="210"/>
      <c r="R51" s="210"/>
      <c r="S51" s="210"/>
      <c r="T51" s="210"/>
      <c r="U51" s="210"/>
      <c r="V51" s="210"/>
      <c r="W51" s="210"/>
      <c r="X51" s="210"/>
      <c r="Y51" s="210"/>
      <c r="Z51" s="210"/>
      <c r="AA51" s="210">
        <f t="shared" si="0"/>
        <v>0</v>
      </c>
      <c r="AB51" s="211" t="str">
        <f t="shared" si="11"/>
        <v/>
      </c>
      <c r="AC51" s="140"/>
      <c r="AD51" s="210"/>
      <c r="AE51" s="211" t="str">
        <f t="shared" si="12"/>
        <v/>
      </c>
      <c r="AF51" s="253">
        <f t="shared" si="13"/>
        <v>0</v>
      </c>
      <c r="AG51" s="210"/>
      <c r="AH51" s="211" t="str">
        <f t="shared" si="14"/>
        <v/>
      </c>
      <c r="AI51" s="253">
        <f t="shared" si="15"/>
        <v>0</v>
      </c>
      <c r="AJ51" s="212">
        <f t="shared" si="1"/>
        <v>0</v>
      </c>
      <c r="AK51" s="213">
        <f t="shared" si="2"/>
        <v>0</v>
      </c>
      <c r="AL51" s="215">
        <f t="shared" si="3"/>
        <v>0</v>
      </c>
      <c r="AM51" s="423">
        <f t="shared" si="4"/>
        <v>0</v>
      </c>
      <c r="AN51" s="424">
        <f t="shared" si="5"/>
        <v>0</v>
      </c>
      <c r="AO51" s="11"/>
      <c r="AP51" s="11"/>
    </row>
    <row r="52" spans="1:42" x14ac:dyDescent="0.35">
      <c r="A52" s="65" t="s">
        <v>14</v>
      </c>
      <c r="B52" s="66"/>
      <c r="C52" s="11"/>
      <c r="D52" s="11"/>
      <c r="E52" s="11"/>
      <c r="F52" s="11"/>
      <c r="G52" s="88" t="s">
        <v>358</v>
      </c>
      <c r="H52" s="88" t="s">
        <v>282</v>
      </c>
      <c r="I52" s="122" t="str">
        <f>IF(_epmOfflineCondition_,"T5",_xll.EVPRO($B$1,$H52,"STYLE"))</f>
        <v>T5</v>
      </c>
      <c r="J52" s="122" t="str">
        <f>IF(_epmOfflineCondition_,"Y",_xll.EVPRO($B$1,$H52,"CALC"))</f>
        <v>Y</v>
      </c>
      <c r="K52" s="265"/>
      <c r="L52" s="265"/>
      <c r="M52" s="265"/>
      <c r="N52" s="90" t="str">
        <f>IF(_epmOfflineCondition_,"Surcharges &amp; Services Charges",IF(_xll.EVDES(H52,$B$1)="#NODATA","",_xll.EVDES(H52,$B$1)))</f>
        <v>Surcharges &amp; Services Charges</v>
      </c>
      <c r="O52" s="210">
        <v>27013.39</v>
      </c>
      <c r="P52" s="210">
        <v>32894.49</v>
      </c>
      <c r="Q52" s="210">
        <v>11929.73</v>
      </c>
      <c r="R52" s="210"/>
      <c r="S52" s="210">
        <v>-2621.96</v>
      </c>
      <c r="T52" s="210"/>
      <c r="U52" s="210">
        <v>615.78</v>
      </c>
      <c r="V52" s="210">
        <v>945.36</v>
      </c>
      <c r="W52" s="210">
        <v>1850.85</v>
      </c>
      <c r="X52" s="210">
        <v>3081.32</v>
      </c>
      <c r="Y52" s="210">
        <v>3681.34</v>
      </c>
      <c r="Z52" s="210">
        <v>7240.03</v>
      </c>
      <c r="AA52" s="210">
        <f t="shared" si="0"/>
        <v>86630.33</v>
      </c>
      <c r="AB52" s="211">
        <f t="shared" si="11"/>
        <v>0.14126754714242182</v>
      </c>
      <c r="AC52" s="140"/>
      <c r="AD52" s="210">
        <v>509075.56107400003</v>
      </c>
      <c r="AE52" s="211">
        <f t="shared" si="12"/>
        <v>0.15007052604255708</v>
      </c>
      <c r="AF52" s="253">
        <f t="shared" si="13"/>
        <v>-422445.23107400001</v>
      </c>
      <c r="AG52" s="210">
        <v>137923.76</v>
      </c>
      <c r="AH52" s="211">
        <f t="shared" si="14"/>
        <v>0.13415224144659796</v>
      </c>
      <c r="AI52" s="253">
        <f t="shared" si="15"/>
        <v>-51293.430000000008</v>
      </c>
      <c r="AJ52" s="212">
        <f t="shared" si="1"/>
        <v>5.0389908096789204</v>
      </c>
      <c r="AK52" s="213">
        <f t="shared" si="2"/>
        <v>6.5119162028499797</v>
      </c>
      <c r="AL52" s="215">
        <f t="shared" si="3"/>
        <v>4.0292062750138768</v>
      </c>
      <c r="AM52" s="423" t="str">
        <f t="shared" si="4"/>
        <v>-0.88 pts.</v>
      </c>
      <c r="AN52" s="424" t="str">
        <f t="shared" si="5"/>
        <v>0.71 pts.</v>
      </c>
      <c r="AO52" s="11"/>
      <c r="AP52" s="11"/>
    </row>
    <row r="53" spans="1:42" x14ac:dyDescent="0.35">
      <c r="A53" s="65" t="s">
        <v>15</v>
      </c>
      <c r="B53" s="66"/>
      <c r="C53" s="11"/>
      <c r="D53" s="11"/>
      <c r="E53" s="11"/>
      <c r="F53" s="11"/>
      <c r="G53" s="88" t="s">
        <v>358</v>
      </c>
      <c r="H53" s="88" t="s">
        <v>283</v>
      </c>
      <c r="I53" s="122" t="str">
        <f>IF(_epmOfflineCondition_,"T5",_xll.EVPRO($B$1,$H53,"STYLE"))</f>
        <v>T5</v>
      </c>
      <c r="J53" s="122" t="str">
        <f>IF(_epmOfflineCondition_,"Y",_xll.EVPRO($B$1,$H53,"CALC"))</f>
        <v>Y</v>
      </c>
      <c r="K53" s="265"/>
      <c r="L53" s="265"/>
      <c r="M53" s="265"/>
      <c r="N53" s="90" t="str">
        <f>IF(_epmOfflineCondition_,"Miscellaneous Other Revenue",IF(_xll.EVDES(H53,$B$1)="#NODATA","",_xll.EVDES(H53,$B$1)))</f>
        <v>Miscellaneous Other Revenue</v>
      </c>
      <c r="O53" s="210">
        <v>2152.4499999999998</v>
      </c>
      <c r="P53" s="210">
        <v>1806.01</v>
      </c>
      <c r="Q53" s="210">
        <v>1008</v>
      </c>
      <c r="R53" s="210"/>
      <c r="S53" s="210"/>
      <c r="T53" s="210"/>
      <c r="U53" s="210"/>
      <c r="V53" s="210"/>
      <c r="W53" s="210"/>
      <c r="X53" s="210"/>
      <c r="Y53" s="210"/>
      <c r="Z53" s="210"/>
      <c r="AA53" s="210">
        <f t="shared" si="0"/>
        <v>4966.46</v>
      </c>
      <c r="AB53" s="211">
        <f t="shared" si="11"/>
        <v>8.0987758234437324E-3</v>
      </c>
      <c r="AC53" s="140"/>
      <c r="AD53" s="210">
        <v>7707.45</v>
      </c>
      <c r="AE53" s="211">
        <f t="shared" si="12"/>
        <v>2.272081326211164E-3</v>
      </c>
      <c r="AF53" s="253">
        <f t="shared" si="13"/>
        <v>-2740.99</v>
      </c>
      <c r="AG53" s="210">
        <v>9650.85</v>
      </c>
      <c r="AH53" s="211">
        <f t="shared" si="14"/>
        <v>9.3869479730316219E-3</v>
      </c>
      <c r="AI53" s="253">
        <f t="shared" si="15"/>
        <v>-4684.3900000000003</v>
      </c>
      <c r="AJ53" s="212">
        <f t="shared" si="1"/>
        <v>0.28888203815728247</v>
      </c>
      <c r="AK53" s="213">
        <f t="shared" si="2"/>
        <v>9.8590999795333603E-2</v>
      </c>
      <c r="AL53" s="215">
        <f t="shared" si="3"/>
        <v>0.28193304314802375</v>
      </c>
      <c r="AM53" s="423" t="str">
        <f t="shared" si="4"/>
        <v>0.58 pts.</v>
      </c>
      <c r="AN53" s="424" t="str">
        <f t="shared" si="5"/>
        <v>-0.13 pts.</v>
      </c>
      <c r="AO53" s="11"/>
      <c r="AP53" s="11"/>
    </row>
    <row r="54" spans="1:42" x14ac:dyDescent="0.35">
      <c r="A54" s="65" t="s">
        <v>16</v>
      </c>
      <c r="B54" s="66"/>
      <c r="C54" s="11"/>
      <c r="D54" s="11"/>
      <c r="E54" s="11"/>
      <c r="F54" s="11"/>
      <c r="G54" s="88" t="s">
        <v>358</v>
      </c>
      <c r="H54" s="88" t="s">
        <v>277</v>
      </c>
      <c r="I54" s="122" t="str">
        <f>IF(_epmOfflineCondition_,"T4",_xll.EVPRO($B$1,$H54,"STYLE"))</f>
        <v>T4</v>
      </c>
      <c r="J54" s="122" t="str">
        <f>IF(_epmOfflineCondition_,"Y",_xll.EVPRO($B$1,$H54,"CALC"))</f>
        <v>Y</v>
      </c>
      <c r="K54" s="265"/>
      <c r="L54" s="265"/>
      <c r="M54" s="265"/>
      <c r="N54" s="53" t="str">
        <f>IF(_epmOfflineCondition_,"Total Other Revenue",IF(_xll.EVDES(H54,$B$1)="#NODATA","",_xll.EVDES(H54,$B$1)))</f>
        <v>Total Other Revenue</v>
      </c>
      <c r="O54" s="225">
        <v>48515.59</v>
      </c>
      <c r="P54" s="225">
        <v>45750.5</v>
      </c>
      <c r="Q54" s="225">
        <v>12750.21</v>
      </c>
      <c r="R54" s="225"/>
      <c r="S54" s="225">
        <v>-3745.46</v>
      </c>
      <c r="T54" s="225"/>
      <c r="U54" s="225">
        <v>615.78</v>
      </c>
      <c r="V54" s="225">
        <v>945.36</v>
      </c>
      <c r="W54" s="225">
        <v>1850.85</v>
      </c>
      <c r="X54" s="225">
        <v>3081.32</v>
      </c>
      <c r="Y54" s="225">
        <v>4331.34</v>
      </c>
      <c r="Z54" s="225">
        <v>7240.03</v>
      </c>
      <c r="AA54" s="225">
        <f t="shared" si="0"/>
        <v>121335.51999999999</v>
      </c>
      <c r="AB54" s="226">
        <f t="shared" si="11"/>
        <v>0.19786108735416641</v>
      </c>
      <c r="AC54" s="140"/>
      <c r="AD54" s="225">
        <v>603654.971074</v>
      </c>
      <c r="AE54" s="226">
        <f t="shared" si="12"/>
        <v>0.17795161658548234</v>
      </c>
      <c r="AF54" s="228">
        <f t="shared" si="13"/>
        <v>-482319.45107399998</v>
      </c>
      <c r="AG54" s="225">
        <v>221237.63</v>
      </c>
      <c r="AH54" s="226">
        <f t="shared" si="14"/>
        <v>0.21518789769676452</v>
      </c>
      <c r="AI54" s="228">
        <f t="shared" si="15"/>
        <v>-99902.110000000015</v>
      </c>
      <c r="AJ54" s="472">
        <f t="shared" si="1"/>
        <v>7.0576733364355508</v>
      </c>
      <c r="AK54" s="473">
        <f t="shared" si="2"/>
        <v>7.7217428759977489</v>
      </c>
      <c r="AL54" s="474">
        <f t="shared" si="3"/>
        <v>6.4630782039671644</v>
      </c>
      <c r="AM54" s="475" t="str">
        <f t="shared" si="4"/>
        <v>1.99 pts.</v>
      </c>
      <c r="AN54" s="476" t="str">
        <f t="shared" si="5"/>
        <v>-1.73 pts.</v>
      </c>
      <c r="AO54" s="387"/>
      <c r="AP54" s="11"/>
    </row>
    <row r="55" spans="1:42" x14ac:dyDescent="0.35">
      <c r="A55" s="65" t="s">
        <v>17</v>
      </c>
      <c r="B55" s="66"/>
      <c r="C55" s="11"/>
      <c r="D55" s="11"/>
      <c r="E55" s="11"/>
      <c r="F55" s="11"/>
      <c r="G55" s="88" t="s">
        <v>358</v>
      </c>
      <c r="H55" s="88" t="s">
        <v>473</v>
      </c>
      <c r="I55" s="122"/>
      <c r="J55" s="122"/>
      <c r="K55" s="265"/>
      <c r="L55" s="265"/>
      <c r="M55" s="265"/>
      <c r="N55" s="90" t="str">
        <f>IF(_epmOfflineCondition_,"Other Revenue: Allowances",IF(_xll.EVDES(H55,$B$1)="#NODATA","",_xll.EVDES(H55,$B$1)))</f>
        <v>Other Revenue: Allowances</v>
      </c>
      <c r="O55" s="210"/>
      <c r="P55" s="210"/>
      <c r="Q55" s="210"/>
      <c r="R55" s="210"/>
      <c r="S55" s="210"/>
      <c r="T55" s="210"/>
      <c r="U55" s="210"/>
      <c r="V55" s="210"/>
      <c r="W55" s="210"/>
      <c r="X55" s="210"/>
      <c r="Y55" s="210"/>
      <c r="Z55" s="210"/>
      <c r="AA55" s="210">
        <f t="shared" si="0"/>
        <v>0</v>
      </c>
      <c r="AB55" s="211" t="str">
        <f t="shared" si="11"/>
        <v/>
      </c>
      <c r="AC55" s="140"/>
      <c r="AD55" s="210"/>
      <c r="AE55" s="211" t="str">
        <f t="shared" si="12"/>
        <v/>
      </c>
      <c r="AF55" s="253">
        <f t="shared" si="13"/>
        <v>0</v>
      </c>
      <c r="AG55" s="210"/>
      <c r="AH55" s="211" t="str">
        <f t="shared" si="14"/>
        <v/>
      </c>
      <c r="AI55" s="253">
        <f t="shared" si="15"/>
        <v>0</v>
      </c>
      <c r="AJ55" s="212">
        <f t="shared" si="1"/>
        <v>0</v>
      </c>
      <c r="AK55" s="213">
        <f t="shared" si="2"/>
        <v>0</v>
      </c>
      <c r="AL55" s="215">
        <f t="shared" si="3"/>
        <v>0</v>
      </c>
      <c r="AM55" s="423">
        <f t="shared" si="4"/>
        <v>0</v>
      </c>
      <c r="AN55" s="424">
        <f t="shared" si="5"/>
        <v>0</v>
      </c>
      <c r="AO55" s="11"/>
      <c r="AP55" s="11"/>
    </row>
    <row r="56" spans="1:42" x14ac:dyDescent="0.35">
      <c r="A56" s="11"/>
      <c r="B56" s="11"/>
      <c r="C56" s="11"/>
      <c r="D56" s="11"/>
      <c r="E56" s="11"/>
      <c r="F56" s="11"/>
      <c r="G56" s="88" t="s">
        <v>358</v>
      </c>
      <c r="H56" s="88" t="s">
        <v>280</v>
      </c>
      <c r="I56" s="122" t="str">
        <f>IF(_epmOfflineCondition_,"T3",_xll.EVPRO($B$1,$H56,"STYLE"))</f>
        <v>T3</v>
      </c>
      <c r="J56" s="122" t="str">
        <f>IF(_epmOfflineCondition_,"Y",_xll.EVPRO($B$1,$H56,"CALC"))</f>
        <v>Y</v>
      </c>
      <c r="K56" s="265"/>
      <c r="L56" s="265"/>
      <c r="M56" s="265"/>
      <c r="N56" s="53" t="str">
        <f>IF(_epmOfflineCondition_,"Total Revenue",IF(_xll.EVDES(H56,$B$1)="#NODATA","",_xll.EVDES(H56,$B$1)))</f>
        <v>Total Revenue</v>
      </c>
      <c r="O56" s="225">
        <v>192802.88</v>
      </c>
      <c r="P56" s="225">
        <v>222249.1</v>
      </c>
      <c r="Q56" s="225">
        <v>79381.27</v>
      </c>
      <c r="R56" s="225"/>
      <c r="S56" s="225">
        <v>-15122.49</v>
      </c>
      <c r="T56" s="225">
        <v>911</v>
      </c>
      <c r="U56" s="225">
        <v>4840.53</v>
      </c>
      <c r="V56" s="225">
        <v>9387.86</v>
      </c>
      <c r="W56" s="225">
        <v>15198.3</v>
      </c>
      <c r="X56" s="225">
        <v>25025.279999999999</v>
      </c>
      <c r="Y56" s="225">
        <v>27590.53</v>
      </c>
      <c r="Z56" s="225">
        <v>50971.63</v>
      </c>
      <c r="AA56" s="225">
        <f t="shared" si="0"/>
        <v>613235.89</v>
      </c>
      <c r="AB56" s="226">
        <f t="shared" si="11"/>
        <v>1</v>
      </c>
      <c r="AC56" s="140"/>
      <c r="AD56" s="225">
        <v>3392242.1310740001</v>
      </c>
      <c r="AE56" s="226">
        <f t="shared" si="12"/>
        <v>1</v>
      </c>
      <c r="AF56" s="228">
        <f t="shared" si="13"/>
        <v>-2779006.241074</v>
      </c>
      <c r="AG56" s="225">
        <v>1028113.72</v>
      </c>
      <c r="AH56" s="226">
        <f t="shared" si="14"/>
        <v>1</v>
      </c>
      <c r="AI56" s="228">
        <f t="shared" si="15"/>
        <v>-414877.82999999996</v>
      </c>
      <c r="AJ56" s="472">
        <f t="shared" si="1"/>
        <v>35.669840041879944</v>
      </c>
      <c r="AK56" s="473">
        <f t="shared" si="2"/>
        <v>43.392372736824605</v>
      </c>
      <c r="AL56" s="474">
        <f t="shared" si="3"/>
        <v>30.034580351143699</v>
      </c>
      <c r="AM56" s="475" t="str">
        <f t="shared" si="4"/>
        <v>0 pts.</v>
      </c>
      <c r="AN56" s="476" t="str">
        <f t="shared" si="5"/>
        <v>0 pts.</v>
      </c>
      <c r="AO56" s="11"/>
      <c r="AP56" s="11"/>
    </row>
    <row r="57" spans="1:42" x14ac:dyDescent="0.35">
      <c r="A57" s="97" t="s">
        <v>92</v>
      </c>
      <c r="B57" s="98" t="s">
        <v>93</v>
      </c>
      <c r="C57" s="98" t="s">
        <v>94</v>
      </c>
      <c r="D57" s="98" t="s">
        <v>95</v>
      </c>
      <c r="E57" s="98" t="s">
        <v>96</v>
      </c>
      <c r="F57" s="99" t="s">
        <v>97</v>
      </c>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393"/>
      <c r="AE57" s="204"/>
      <c r="AF57" s="118"/>
      <c r="AG57" s="393"/>
      <c r="AH57" s="204"/>
      <c r="AI57" s="118"/>
      <c r="AJ57" s="11"/>
      <c r="AK57" s="11"/>
      <c r="AL57" s="11"/>
      <c r="AM57" s="11"/>
      <c r="AN57" s="11"/>
      <c r="AO57" s="11"/>
      <c r="AP57" s="11"/>
    </row>
    <row r="58" spans="1:42" x14ac:dyDescent="0.35">
      <c r="A58" s="11"/>
      <c r="B58" s="11"/>
      <c r="C58" s="11"/>
      <c r="D58" s="11"/>
      <c r="E58" s="11"/>
      <c r="F58" s="11"/>
      <c r="G58" s="11"/>
      <c r="H58" s="11" t="s">
        <v>281</v>
      </c>
      <c r="I58" s="59" t="str">
        <f>IF(_epmOfflineCondition_,"B1",_xll.EVPRO($B$1,$H58,"STYLE"))</f>
        <v>B1</v>
      </c>
      <c r="J58" s="59" t="str">
        <f>IF(_epmOfflineCondition_,"Y",_xll.EVPRO($B$1,$H58,"CALC"))</f>
        <v>Y</v>
      </c>
      <c r="K58" s="11"/>
      <c r="L58" s="11"/>
      <c r="M58" s="11"/>
      <c r="N58" s="105" t="str">
        <f>IF(_epmOfflineCondition_,"Cost of Sales",IF(_xll.EVDES(H58,$B$1)="#NODATA","",_xll.EVDES(H58,$B$1)))</f>
        <v>Cost of Sales</v>
      </c>
      <c r="O58" s="203"/>
      <c r="P58" s="204"/>
      <c r="Q58" s="204"/>
      <c r="R58" s="204"/>
      <c r="S58" s="204"/>
      <c r="T58" s="204"/>
      <c r="U58" s="204"/>
      <c r="V58" s="204"/>
      <c r="W58" s="204"/>
      <c r="X58" s="204"/>
      <c r="Y58" s="204"/>
      <c r="Z58" s="204"/>
      <c r="AA58" s="204"/>
      <c r="AB58" s="118"/>
      <c r="AC58" s="11"/>
      <c r="AD58" s="203"/>
      <c r="AE58" s="204"/>
      <c r="AF58" s="118"/>
      <c r="AG58" s="203"/>
      <c r="AH58" s="204"/>
      <c r="AI58" s="118"/>
      <c r="AJ58" s="11"/>
      <c r="AK58" s="11"/>
      <c r="AL58" s="11"/>
      <c r="AM58" s="11"/>
      <c r="AN58" s="11"/>
      <c r="AO58" s="11"/>
      <c r="AP58" s="11"/>
    </row>
    <row r="59" spans="1:42" x14ac:dyDescent="0.35">
      <c r="A59" s="11" t="s">
        <v>209</v>
      </c>
      <c r="B59" s="11" t="s">
        <v>21</v>
      </c>
      <c r="C59" s="395"/>
      <c r="D59" s="11" t="s">
        <v>590</v>
      </c>
      <c r="E59" s="11"/>
      <c r="F59" s="11" t="s">
        <v>99</v>
      </c>
      <c r="G59" s="76"/>
      <c r="H59" s="11" t="s">
        <v>284</v>
      </c>
      <c r="I59" s="59" t="str">
        <f>IF(_epmOfflineCondition_,"B1",_xll.EVPRO($B$1,$H59,"STYLE"))</f>
        <v>B1</v>
      </c>
      <c r="J59" s="59" t="str">
        <f>IF(_epmOfflineCondition_,"Y",_xll.EVPRO($B$1,$H59,"CALC"))</f>
        <v>Y</v>
      </c>
      <c r="K59" s="11"/>
      <c r="L59" s="11"/>
      <c r="M59" s="11"/>
      <c r="N59" s="53" t="str">
        <f>IF(_epmOfflineCondition_,"Cost of Food &amp; Beverage Sales",IF(_xll.EVDES(H59,$B$1)="#NODATA","",_xll.EVDES(H59,$B$1)))</f>
        <v>Cost of Food &amp; Beverage Sales</v>
      </c>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c r="AP59" s="11"/>
    </row>
    <row r="60" spans="1:42" x14ac:dyDescent="0.35">
      <c r="A60" s="11" t="s">
        <v>105</v>
      </c>
      <c r="B60" s="11"/>
      <c r="C60" s="104" t="s">
        <v>101</v>
      </c>
      <c r="D60" s="11" t="s">
        <v>106</v>
      </c>
      <c r="E60" s="11"/>
      <c r="F60" s="11" t="s">
        <v>98</v>
      </c>
      <c r="G60" s="11"/>
      <c r="H60" s="396" t="s">
        <v>285</v>
      </c>
      <c r="I60" s="122" t="str">
        <f>IF(_epmOfflineCondition_,"T5",_xll.EVPRO($B$1,$H60,"STYLE"))</f>
        <v>T5</v>
      </c>
      <c r="J60" s="122" t="str">
        <f>IF(_epmOfflineCondition_,"Y",_xll.EVPRO($B$1,$H60,"CALC"))</f>
        <v>Y</v>
      </c>
      <c r="K60" s="179" t="str">
        <f t="shared" ref="K60:K70" si="16">IF(AND(I60&gt;="T5"),"&gt;","")</f>
        <v>&gt;</v>
      </c>
      <c r="L60" s="90" t="str">
        <f>IF(_epmOfflineCondition_,"561100",_xll.EVPRO($B$1,H60,"JDEID"))</f>
        <v>561100</v>
      </c>
      <c r="M60" s="90" t="str">
        <f>IF(_epmOfflineCondition_,"",IF(AND(I60="N",J60="N"),_xll.EVPRO($B$1,H60,"PSFTID"),""))</f>
        <v/>
      </c>
      <c r="N60" s="90" t="str">
        <f>IF(_epmOfflineCondition_,"Cost of Food Sales",IF(_xll.EVDES(H60,$B$1)="#NODATA","",_xll.EVDES(H60,$B$1)))</f>
        <v>Cost of Food Sales</v>
      </c>
      <c r="O60" s="435">
        <v>38081.29</v>
      </c>
      <c r="P60" s="250">
        <v>43411.75</v>
      </c>
      <c r="Q60" s="250">
        <v>20098.509999999998</v>
      </c>
      <c r="R60" s="250">
        <v>-145</v>
      </c>
      <c r="S60" s="250">
        <v>-3040.95</v>
      </c>
      <c r="T60" s="250">
        <v>407.47</v>
      </c>
      <c r="U60" s="250">
        <v>9317.76</v>
      </c>
      <c r="V60" s="250">
        <v>2565.12</v>
      </c>
      <c r="W60" s="250">
        <v>2112.98</v>
      </c>
      <c r="X60" s="250">
        <v>2993.72</v>
      </c>
      <c r="Y60" s="250">
        <v>1819.51</v>
      </c>
      <c r="Z60" s="250">
        <v>8178.79</v>
      </c>
      <c r="AA60" s="250">
        <f t="shared" ref="AA60:AA68" si="17">IF($I60="B1","",SUM(O60:Z60))</f>
        <v>125800.94999999998</v>
      </c>
      <c r="AB60" s="436">
        <f>IF(_epmOfflineCondition_,0.430173679088687,IF(AA60=0,"",IFERROR(AA60/_xll.EVGTS($B$1,1,_xll.EVPRO($B$1,$H60,"COSBASIS"),$B$3,$B$5,$B$6,$B$7,$B$9,AA$16,AA$17,AA$11),"")))</f>
        <v>0.43017367908868698</v>
      </c>
      <c r="AC60" s="437"/>
      <c r="AD60" s="250">
        <v>455777.67895999999</v>
      </c>
      <c r="AE60" s="436">
        <f>IF(_epmOfflineCondition_,0.271033741523064,IF(AD60=0,"",IFERROR(AD60/_xll.EVGTS($B$1,1,_xll.EVPRO($B$1,$H60,"COSBASIS"),$B$3,$B$5,$B$6,$B$7,$B$9,AD$16,AD$17,AD$18),"")))</f>
        <v>0.27103374152306398</v>
      </c>
      <c r="AF60" s="438">
        <f t="shared" ref="AF60:AF70" si="18">IF(AND($AA60="",AD60=""),"",$AA60-AD60)</f>
        <v>-329976.72895999998</v>
      </c>
      <c r="AG60" s="250">
        <v>238263.61</v>
      </c>
      <c r="AH60" s="436">
        <f>IF(_epmOfflineCondition_,0.503947966183248,IF(AG60=0,"",IFERROR(AG60/_xll.EVGTS($B$1,1,_xll.EVPRO($B$1,$H60,"COSBASIS"),$B$3,$B$5,$B$6,$B$7,$B$9,AG$16,AG$17,AG$18),"")))</f>
        <v>0.503947966183248</v>
      </c>
      <c r="AI60" s="439">
        <f t="shared" ref="AI60:AI70" si="19">IF(AND($AA60="",AG60=""),"",$AA60-AG60)</f>
        <v>-112462.66</v>
      </c>
      <c r="AJ60" s="440">
        <f t="shared" ref="AJ60:AJ68" si="20">IFERROR(AA60/AA$20,0)</f>
        <v>7.3174121684504412</v>
      </c>
      <c r="AK60" s="441">
        <f t="shared" ref="AK60:AK68" si="21">IFERROR(AD60/AD$20,0)</f>
        <v>5.8301483698321732</v>
      </c>
      <c r="AL60" s="442">
        <f t="shared" ref="AL60:AL68" si="22">IFERROR(AG60/AG$20,0)</f>
        <v>6.9604630305863102</v>
      </c>
      <c r="AM60" s="443" t="str">
        <f t="shared" ref="AM60:AM68" si="23">+IFERROR(ROUND(($AB60-AE60)*100,2)&amp;" pts.",0)</f>
        <v>15.91 pts.</v>
      </c>
      <c r="AN60" s="444" t="str">
        <f t="shared" ref="AN60:AN68" si="24">+IFERROR(ROUND(($AB60-AH60)*100,2)&amp;" pts.",0)</f>
        <v>-7.38 pts.</v>
      </c>
      <c r="AO60" s="11"/>
      <c r="AP60" s="11"/>
    </row>
    <row r="61" spans="1:42" x14ac:dyDescent="0.35">
      <c r="A61" s="11" t="s">
        <v>104</v>
      </c>
      <c r="B61" s="11"/>
      <c r="C61" s="104" t="s">
        <v>101</v>
      </c>
      <c r="D61" s="11" t="s">
        <v>106</v>
      </c>
      <c r="E61" s="11"/>
      <c r="F61" s="11" t="s">
        <v>98</v>
      </c>
      <c r="G61" s="11"/>
      <c r="H61" s="396" t="s">
        <v>636</v>
      </c>
      <c r="I61" s="122" t="str">
        <f>IF(_epmOfflineCondition_,"T5",_xll.EVPRO($B$1,$H61,"STYLE"))</f>
        <v>T5</v>
      </c>
      <c r="J61" s="122" t="str">
        <f>IF(_epmOfflineCondition_,"Y",_xll.EVPRO($B$1,$H61,"CALC"))</f>
        <v>Y</v>
      </c>
      <c r="K61" s="179" t="str">
        <f t="shared" si="16"/>
        <v>&gt;</v>
      </c>
      <c r="L61" s="90" t="str">
        <f>IF(_epmOfflineCondition_,"",_xll.EVPRO($B$1,H61,"JDEID"))</f>
        <v/>
      </c>
      <c r="M61" s="90" t="str">
        <f>IF(_epmOfflineCondition_,"",IF(AND(I61="N",J61="N"),_xll.EVPRO($B$1,H61,"PSFTID"),""))</f>
        <v/>
      </c>
      <c r="N61" s="90" t="str">
        <f>IF(_epmOfflineCondition_,"Cost of Beverage Sales",IF(_xll.EVDES(H61,$B$1)="#NODATA","",_xll.EVDES(H61,$B$1)))</f>
        <v>Cost of Beverage Sales</v>
      </c>
      <c r="O61" s="445">
        <v>12700.49</v>
      </c>
      <c r="P61" s="251">
        <v>14590.38</v>
      </c>
      <c r="Q61" s="251">
        <v>7209.06</v>
      </c>
      <c r="R61" s="251"/>
      <c r="S61" s="251"/>
      <c r="T61" s="251">
        <v>281.31</v>
      </c>
      <c r="U61" s="251">
        <v>825.01</v>
      </c>
      <c r="V61" s="251">
        <v>519.25</v>
      </c>
      <c r="W61" s="251">
        <v>2574.77</v>
      </c>
      <c r="X61" s="251">
        <v>4121.09</v>
      </c>
      <c r="Y61" s="251">
        <v>3499.06</v>
      </c>
      <c r="Z61" s="251">
        <v>3300.09</v>
      </c>
      <c r="AA61" s="251">
        <f t="shared" si="17"/>
        <v>49620.509999999995</v>
      </c>
      <c r="AB61" s="446">
        <f>IF(_epmOfflineCondition_,0.247296881489794,IF(AA61=0,"",IFERROR(AA61/_xll.EVGTS($B$1,1,_xll.EVPRO($B$1,$H61,"COSBASIS"),$B$3,$B$5,$B$6,$B$7,$B$9,AA$16,AA$17,AA$11),"")))</f>
        <v>0.24729688148979401</v>
      </c>
      <c r="AC61" s="437"/>
      <c r="AD61" s="251">
        <v>255485.583025</v>
      </c>
      <c r="AE61" s="446">
        <f>IF(_epmOfflineCondition_,0.230799273901858,IF(AD61=0,"",IFERROR(AD61/_xll.EVGTS($B$1,1,_xll.EVPRO($B$1,$H61,"COSBASIS"),$B$3,$B$5,$B$6,$B$7,$B$9,AD$16,AD$17,AD$18),"")))</f>
        <v>0.230799273901858</v>
      </c>
      <c r="AF61" s="447">
        <f t="shared" si="18"/>
        <v>-205865.07302499999</v>
      </c>
      <c r="AG61" s="251">
        <v>79034.490000000005</v>
      </c>
      <c r="AH61" s="446">
        <f>IF(_epmOfflineCondition_,0.235713784029188,IF(AG61=0,"",IFERROR(AG61/_xll.EVGTS($B$1,1,_xll.EVPRO($B$1,$H61,"COSBASIS"),$B$3,$B$5,$B$6,$B$7,$B$9,AG$16,AG$17,AG$18),"")))</f>
        <v>0.23571378402918799</v>
      </c>
      <c r="AI61" s="448">
        <f t="shared" si="19"/>
        <v>-29413.98000000001</v>
      </c>
      <c r="AJ61" s="449">
        <f t="shared" si="20"/>
        <v>2.886255816658911</v>
      </c>
      <c r="AK61" s="450">
        <f t="shared" si="21"/>
        <v>3.2680820587520465</v>
      </c>
      <c r="AL61" s="451">
        <f t="shared" si="22"/>
        <v>2.3088571762437557</v>
      </c>
      <c r="AM61" s="452" t="str">
        <f t="shared" si="23"/>
        <v>1.65 pts.</v>
      </c>
      <c r="AN61" s="453" t="str">
        <f t="shared" si="24"/>
        <v>1.16 pts.</v>
      </c>
      <c r="AO61" s="11"/>
      <c r="AP61" s="11"/>
    </row>
    <row r="62" spans="1:42" x14ac:dyDescent="0.35">
      <c r="A62" s="11" t="s">
        <v>100</v>
      </c>
      <c r="B62" s="11"/>
      <c r="C62" s="53" t="s">
        <v>101</v>
      </c>
      <c r="D62" s="11" t="s">
        <v>106</v>
      </c>
      <c r="E62" s="11"/>
      <c r="F62" s="11" t="s">
        <v>98</v>
      </c>
      <c r="G62" s="11"/>
      <c r="H62" s="396" t="s">
        <v>286</v>
      </c>
      <c r="I62" s="188" t="str">
        <f>IF(_epmOfflineCondition_,"T4",_xll.EVPRO($B$1,$H62,"STYLE"))</f>
        <v>T4</v>
      </c>
      <c r="J62" s="188" t="str">
        <f>IF(_epmOfflineCondition_,"Y",_xll.EVPRO($B$1,$H62,"CALC"))</f>
        <v>Y</v>
      </c>
      <c r="K62" s="189" t="str">
        <f t="shared" si="16"/>
        <v/>
      </c>
      <c r="L62" s="190" t="str">
        <f>IF(_epmOfflineCondition_,"",_xll.EVPRO($B$1,H62,"JDEID"))</f>
        <v/>
      </c>
      <c r="M62" s="190" t="str">
        <f>IF(_epmOfflineCondition_,"",IF(AND(I62="N",J62="N"),_xll.EVPRO($B$1,H62,"PSFTID"),""))</f>
        <v/>
      </c>
      <c r="N62" s="190" t="str">
        <f>IF(_epmOfflineCondition_,"Total Cost of Food &amp; Beverage Sales",IF(_xll.EVDES(H62,$B$1)="#NODATA","",_xll.EVDES(H62,$B$1)))</f>
        <v>Total Cost of Food &amp; Beverage Sales</v>
      </c>
      <c r="O62" s="454">
        <v>50781.78</v>
      </c>
      <c r="P62" s="225">
        <v>58002.13</v>
      </c>
      <c r="Q62" s="225">
        <v>27307.57</v>
      </c>
      <c r="R62" s="225">
        <v>-145</v>
      </c>
      <c r="S62" s="225">
        <v>-3040.95</v>
      </c>
      <c r="T62" s="225">
        <v>688.78</v>
      </c>
      <c r="U62" s="225">
        <v>10142.77</v>
      </c>
      <c r="V62" s="225">
        <v>3084.37</v>
      </c>
      <c r="W62" s="225">
        <v>4687.75</v>
      </c>
      <c r="X62" s="225">
        <v>7114.81</v>
      </c>
      <c r="Y62" s="225">
        <v>5318.57</v>
      </c>
      <c r="Z62" s="225">
        <v>11478.88</v>
      </c>
      <c r="AA62" s="225">
        <f t="shared" si="17"/>
        <v>175421.46</v>
      </c>
      <c r="AB62" s="226">
        <f>IF(_epmOfflineCondition_,0.356619898456267,IF(AA62=0,"",IFERROR(AA62/_xll.EVGTS($B$1,1,_xll.EVPRO($B$1,$H62,"COSBASIS"),$B$3,$B$5,$B$6,$B$7,$B$9,AA$16,AA$17,AA$11),"")))</f>
        <v>0.35661989845626701</v>
      </c>
      <c r="AC62" s="227"/>
      <c r="AD62" s="225">
        <v>711263.26198499999</v>
      </c>
      <c r="AE62" s="226">
        <f>IF(_epmOfflineCondition_,0.255062230862814,IF(AD62=0,"",IFERROR(AD62/_xll.EVGTS($B$1,1,_xll.EVPRO($B$1,$H62,"COSBASIS"),$B$3,$B$5,$B$6,$B$7,$B$9,AD$16,AD$17,AD$18),"")))</f>
        <v>0.25506223086281399</v>
      </c>
      <c r="AF62" s="228">
        <f t="shared" si="18"/>
        <v>-535841.80198500003</v>
      </c>
      <c r="AG62" s="225">
        <v>317298.09999999998</v>
      </c>
      <c r="AH62" s="226">
        <f>IF(_epmOfflineCondition_,0.39324266009667,IF(AG62=0,"",IFERROR(AG62/_xll.EVGTS($B$1,1,_xll.EVPRO($B$1,$H62,"COSBASIS"),$B$3,$B$5,$B$6,$B$7,$B$9,AG$16,AG$17,AG$18),"")))</f>
        <v>0.39324266009667003</v>
      </c>
      <c r="AI62" s="455">
        <f t="shared" si="19"/>
        <v>-141876.63999999998</v>
      </c>
      <c r="AJ62" s="229">
        <f t="shared" si="20"/>
        <v>10.203667985109353</v>
      </c>
      <c r="AK62" s="230">
        <f t="shared" si="21"/>
        <v>9.0982304285842197</v>
      </c>
      <c r="AL62" s="232">
        <f t="shared" si="22"/>
        <v>9.2693202068300664</v>
      </c>
      <c r="AM62" s="427" t="str">
        <f t="shared" si="23"/>
        <v>10.16 pts.</v>
      </c>
      <c r="AN62" s="456" t="str">
        <f t="shared" si="24"/>
        <v>-3.66 pts.</v>
      </c>
      <c r="AO62" s="11"/>
      <c r="AP62" s="11"/>
    </row>
    <row r="63" spans="1:42" x14ac:dyDescent="0.35">
      <c r="A63" s="11" t="s">
        <v>102</v>
      </c>
      <c r="B63" s="11"/>
      <c r="C63" s="106" t="s">
        <v>101</v>
      </c>
      <c r="D63" s="11" t="s">
        <v>106</v>
      </c>
      <c r="E63" s="11"/>
      <c r="F63" s="11" t="s">
        <v>98</v>
      </c>
      <c r="G63" s="11"/>
      <c r="H63" s="396" t="s">
        <v>287</v>
      </c>
      <c r="I63" s="188" t="str">
        <f>IF(_epmOfflineCondition_,"B1",_xll.EVPRO($B$1,$H63,"STYLE"))</f>
        <v>B1</v>
      </c>
      <c r="J63" s="188" t="str">
        <f>IF(_epmOfflineCondition_,"Y",_xll.EVPRO($B$1,$H63,"CALC"))</f>
        <v>Y</v>
      </c>
      <c r="K63" s="189" t="str">
        <f t="shared" si="16"/>
        <v/>
      </c>
      <c r="L63" s="190" t="str">
        <f>IF(_epmOfflineCondition_,"",_xll.EVPRO($B$1,H63,"JDEID"))</f>
        <v/>
      </c>
      <c r="M63" s="190" t="str">
        <f>IF(_epmOfflineCondition_,"",IF(AND(I63="N",J63="N"),_xll.EVPRO($B$1,H63,"PSFTID"),""))</f>
        <v/>
      </c>
      <c r="N63" s="190" t="str">
        <f>IF(_epmOfflineCondition_,"Cost of Other Revenue",IF(_xll.EVDES(H63,$B$1)="#NODATA","",_xll.EVDES(H63,$B$1)))</f>
        <v>Cost of Other Revenue</v>
      </c>
      <c r="O63" s="457"/>
      <c r="P63" s="252"/>
      <c r="Q63" s="252"/>
      <c r="R63" s="252"/>
      <c r="S63" s="252"/>
      <c r="T63" s="252"/>
      <c r="U63" s="252"/>
      <c r="V63" s="252"/>
      <c r="W63" s="252"/>
      <c r="X63" s="252"/>
      <c r="Y63" s="252"/>
      <c r="Z63" s="252"/>
      <c r="AA63" s="252" t="str">
        <f t="shared" si="17"/>
        <v/>
      </c>
      <c r="AB63" s="458" t="str">
        <f>IF(_epmOfflineCondition_,"",IF(AA63=0,"",IFERROR(AA63/_xll.EVGTS($B$1,1,_xll.EVPRO($B$1,$H63,"COSBASIS"),$B$3,$B$5,$B$6,$B$7,$B$9,AA$16,AA$17,AA$11),"")))</f>
        <v/>
      </c>
      <c r="AC63" s="459"/>
      <c r="AD63" s="252"/>
      <c r="AE63" s="458" t="str">
        <f>IF(_epmOfflineCondition_,"",IF(AD63=0,"",IFERROR(AD63/_xll.EVGTS($B$1,1,_xll.EVPRO($B$1,$H63,"COSBASIS"),$B$3,$B$5,$B$6,$B$7,$B$9,AD$16,AD$17,AD$18),"")))</f>
        <v/>
      </c>
      <c r="AF63" s="460" t="str">
        <f t="shared" si="18"/>
        <v/>
      </c>
      <c r="AG63" s="252"/>
      <c r="AH63" s="458" t="str">
        <f>IF(_epmOfflineCondition_,"",IF(AG63=0,"",IFERROR(AG63/_xll.EVGTS($B$1,1,_xll.EVPRO($B$1,$H63,"COSBASIS"),$B$3,$B$5,$B$6,$B$7,$B$9,AG$16,AG$17,AG$18),"")))</f>
        <v/>
      </c>
      <c r="AI63" s="461" t="str">
        <f t="shared" si="19"/>
        <v/>
      </c>
      <c r="AJ63" s="234">
        <f t="shared" si="20"/>
        <v>0</v>
      </c>
      <c r="AK63" s="235">
        <f t="shared" si="21"/>
        <v>0</v>
      </c>
      <c r="AL63" s="237">
        <f t="shared" si="22"/>
        <v>0</v>
      </c>
      <c r="AM63" s="429">
        <f t="shared" si="23"/>
        <v>0</v>
      </c>
      <c r="AN63" s="462">
        <f t="shared" si="24"/>
        <v>0</v>
      </c>
      <c r="AO63" s="11"/>
      <c r="AP63" s="11"/>
    </row>
    <row r="64" spans="1:42" x14ac:dyDescent="0.35">
      <c r="A64" s="11" t="s">
        <v>102</v>
      </c>
      <c r="B64" s="11"/>
      <c r="C64" s="196" t="s">
        <v>101</v>
      </c>
      <c r="D64" s="11" t="s">
        <v>107</v>
      </c>
      <c r="E64" s="11"/>
      <c r="F64" s="11" t="s">
        <v>99</v>
      </c>
      <c r="G64" s="11"/>
      <c r="H64" s="396" t="s">
        <v>637</v>
      </c>
      <c r="I64" s="122" t="str">
        <f>IF(_epmOfflineCondition_,"N",_xll.EVPRO($B$1,$H64,"STYLE"))</f>
        <v>N</v>
      </c>
      <c r="J64" s="122" t="str">
        <f>IF(_epmOfflineCondition_,"N",_xll.EVPRO($B$1,$H64,"CALC"))</f>
        <v>N</v>
      </c>
      <c r="K64" s="179" t="str">
        <f t="shared" si="16"/>
        <v/>
      </c>
      <c r="L64" s="90" t="str">
        <f>IF(_epmOfflineCondition_,"568300",_xll.EVPRO($B$1,H64,"JDEID"))</f>
        <v>568300</v>
      </c>
      <c r="M64" s="90" t="str">
        <f>IF(_epmOfflineCondition_,"306005",IF(AND(I64="N",J64="N"),_xll.EVPRO($B$1,H64,"PSFTID"),""))</f>
        <v>306005</v>
      </c>
      <c r="N64" s="90" t="str">
        <f>IF(_epmOfflineCondition_,"A/V Cost of Sales",IF(_xll.EVDES(H64,$B$1)="#NODATA","",_xll.EVDES(H64,$B$1)))</f>
        <v>A/V Cost of Sales</v>
      </c>
      <c r="O64" s="435"/>
      <c r="P64" s="250"/>
      <c r="Q64" s="250"/>
      <c r="R64" s="250"/>
      <c r="S64" s="250"/>
      <c r="T64" s="250"/>
      <c r="U64" s="250"/>
      <c r="V64" s="250"/>
      <c r="W64" s="250"/>
      <c r="X64" s="250"/>
      <c r="Y64" s="250"/>
      <c r="Z64" s="250">
        <v>471</v>
      </c>
      <c r="AA64" s="250">
        <f t="shared" si="17"/>
        <v>471</v>
      </c>
      <c r="AB64" s="436">
        <f>IF(_epmOfflineCondition_,0.0681253100714086,IF(AA64=0,"",IFERROR(AA64/_xll.EVGTS($B$1,1,_xll.EVPRO($B$1,$H64,"COSBASIS"),$B$3,$B$5,$B$6,$B$7,$B$9,AA$16,AA$17,AA$11),"")))</f>
        <v>6.8125310071408596E-2</v>
      </c>
      <c r="AC64" s="437"/>
      <c r="AD64" s="250"/>
      <c r="AE64" s="436" t="str">
        <f>IF(_epmOfflineCondition_,"",IF(AD64=0,"",IFERROR(AD64/_xll.EVGTS($B$1,1,_xll.EVPRO($B$1,$H64,"COSBASIS"),$B$3,$B$5,$B$6,$B$7,$B$9,AD$16,AD$17,AD$18),"")))</f>
        <v/>
      </c>
      <c r="AF64" s="438">
        <f t="shared" si="18"/>
        <v>471</v>
      </c>
      <c r="AG64" s="250"/>
      <c r="AH64" s="436" t="str">
        <f>IF(_epmOfflineCondition_,"",IF(AG64=0,"",IFERROR(AG64/_xll.EVGTS($B$1,1,_xll.EVPRO($B$1,$H64,"COSBASIS"),$B$3,$B$5,$B$6,$B$7,$B$9,AG$16,AG$17,AG$18),"")))</f>
        <v/>
      </c>
      <c r="AI64" s="439">
        <f t="shared" si="19"/>
        <v>471</v>
      </c>
      <c r="AJ64" s="440">
        <f t="shared" si="20"/>
        <v>2.7396463471382037E-2</v>
      </c>
      <c r="AK64" s="441">
        <f t="shared" si="21"/>
        <v>0</v>
      </c>
      <c r="AL64" s="442">
        <f t="shared" si="22"/>
        <v>0</v>
      </c>
      <c r="AM64" s="443">
        <f t="shared" si="23"/>
        <v>0</v>
      </c>
      <c r="AN64" s="444">
        <f t="shared" si="24"/>
        <v>0</v>
      </c>
      <c r="AO64" s="11"/>
      <c r="AP64" s="11"/>
    </row>
    <row r="65" spans="1:42" x14ac:dyDescent="0.35">
      <c r="A65" s="11" t="s">
        <v>108</v>
      </c>
      <c r="B65" s="11"/>
      <c r="C65" s="106" t="s">
        <v>101</v>
      </c>
      <c r="D65" s="11" t="s">
        <v>106</v>
      </c>
      <c r="E65" s="11"/>
      <c r="F65" s="11" t="s">
        <v>98</v>
      </c>
      <c r="G65" s="11"/>
      <c r="H65" s="396" t="s">
        <v>638</v>
      </c>
      <c r="I65" s="122" t="str">
        <f>IF(_epmOfflineCondition_,"N",_xll.EVPRO($B$1,$H65,"STYLE"))</f>
        <v>N</v>
      </c>
      <c r="J65" s="122" t="str">
        <f>IF(_epmOfflineCondition_,"N",_xll.EVPRO($B$1,$H65,"CALC"))</f>
        <v>N</v>
      </c>
      <c r="K65" s="179" t="str">
        <f t="shared" si="16"/>
        <v/>
      </c>
      <c r="L65" s="90" t="str">
        <f>IF(_epmOfflineCondition_,"568350",_xll.EVPRO($B$1,H65,"JDEID"))</f>
        <v>568350</v>
      </c>
      <c r="M65" s="90" t="str">
        <f>IF(_epmOfflineCondition_,"306099",IF(AND(I65="N",J65="N"),_xll.EVPRO($B$1,H65,"PSFTID"),""))</f>
        <v>306099</v>
      </c>
      <c r="N65" s="90" t="str">
        <f>IF(_epmOfflineCondition_,"Public Room Rental",IF(_xll.EVDES(H65,$B$1)="#NODATA","",_xll.EVDES(H65,$B$1)))</f>
        <v>Public Room Rental</v>
      </c>
      <c r="O65" s="435"/>
      <c r="P65" s="250"/>
      <c r="Q65" s="250"/>
      <c r="R65" s="250"/>
      <c r="S65" s="250"/>
      <c r="T65" s="250"/>
      <c r="U65" s="250"/>
      <c r="V65" s="250"/>
      <c r="W65" s="250"/>
      <c r="X65" s="250"/>
      <c r="Y65" s="250"/>
      <c r="Z65" s="250"/>
      <c r="AA65" s="250">
        <f t="shared" si="17"/>
        <v>0</v>
      </c>
      <c r="AB65" s="436" t="str">
        <f>IF(_epmOfflineCondition_,"",IF(AA65=0,"",IFERROR(AA65/_xll.EVGTS($B$1,1,_xll.EVPRO($B$1,$H65,"COSBASIS"),$B$3,$B$5,$B$6,$B$7,$B$9,AA$16,AA$17,AA$11),"")))</f>
        <v/>
      </c>
      <c r="AC65" s="437"/>
      <c r="AD65" s="250"/>
      <c r="AE65" s="436" t="str">
        <f>IF(_epmOfflineCondition_,"",IF(AD65=0,"",IFERROR(AD65/_xll.EVGTS($B$1,1,_xll.EVPRO($B$1,$H65,"COSBASIS"),$B$3,$B$5,$B$6,$B$7,$B$9,AD$16,AD$17,AD$18),"")))</f>
        <v/>
      </c>
      <c r="AF65" s="438">
        <f t="shared" si="18"/>
        <v>0</v>
      </c>
      <c r="AG65" s="250"/>
      <c r="AH65" s="436" t="str">
        <f>IF(_epmOfflineCondition_,"",IF(AG65=0,"",IFERROR(AG65/_xll.EVGTS($B$1,1,_xll.EVPRO($B$1,$H65,"COSBASIS"),$B$3,$B$5,$B$6,$B$7,$B$9,AG$16,AG$17,AG$18),"")))</f>
        <v/>
      </c>
      <c r="AI65" s="439">
        <f t="shared" si="19"/>
        <v>0</v>
      </c>
      <c r="AJ65" s="440">
        <f t="shared" si="20"/>
        <v>0</v>
      </c>
      <c r="AK65" s="441">
        <f t="shared" si="21"/>
        <v>0</v>
      </c>
      <c r="AL65" s="442">
        <f t="shared" si="22"/>
        <v>0</v>
      </c>
      <c r="AM65" s="443">
        <f t="shared" si="23"/>
        <v>0</v>
      </c>
      <c r="AN65" s="444">
        <f t="shared" si="24"/>
        <v>0</v>
      </c>
      <c r="AO65" s="11"/>
      <c r="AP65" s="11"/>
    </row>
    <row r="66" spans="1:42" x14ac:dyDescent="0.35">
      <c r="A66" s="11" t="s">
        <v>108</v>
      </c>
      <c r="B66" s="11"/>
      <c r="C66" s="196" t="s">
        <v>101</v>
      </c>
      <c r="D66" s="11" t="s">
        <v>107</v>
      </c>
      <c r="E66" s="11"/>
      <c r="F66" s="11" t="s">
        <v>99</v>
      </c>
      <c r="G66" s="11"/>
      <c r="H66" s="396" t="s">
        <v>639</v>
      </c>
      <c r="I66" s="122" t="str">
        <f>IF(_epmOfflineCondition_,"T5",_xll.EVPRO($B$1,$H66,"STYLE"))</f>
        <v>T5</v>
      </c>
      <c r="J66" s="122" t="str">
        <f>IF(_epmOfflineCondition_,"Y",_xll.EVPRO($B$1,$H66,"CALC"))</f>
        <v>Y</v>
      </c>
      <c r="K66" s="179" t="str">
        <f t="shared" si="16"/>
        <v>&gt;</v>
      </c>
      <c r="L66" s="90" t="str">
        <f>IF(_epmOfflineCondition_,"",_xll.EVPRO($B$1,H66,"JDEID"))</f>
        <v/>
      </c>
      <c r="M66" s="90" t="str">
        <f>IF(_epmOfflineCondition_,"",IF(AND(I66="N",J66="N"),_xll.EVPRO($B$1,H66,"PSFTID"),""))</f>
        <v/>
      </c>
      <c r="N66" s="90" t="str">
        <f>IF(_epmOfflineCondition_,"Miscellaneous Cost",IF(_xll.EVDES(H66,$B$1)="#NODATA","",_xll.EVDES(H66,$B$1)))</f>
        <v>Miscellaneous Cost</v>
      </c>
      <c r="O66" s="445">
        <v>685.36</v>
      </c>
      <c r="P66" s="251">
        <v>279.73</v>
      </c>
      <c r="Q66" s="251">
        <v>515.84</v>
      </c>
      <c r="R66" s="251"/>
      <c r="S66" s="251"/>
      <c r="T66" s="251">
        <v>4</v>
      </c>
      <c r="U66" s="251"/>
      <c r="V66" s="251">
        <v>-241.16</v>
      </c>
      <c r="W66" s="251">
        <v>245.63</v>
      </c>
      <c r="X66" s="251"/>
      <c r="Y66" s="251"/>
      <c r="Z66" s="251"/>
      <c r="AA66" s="251">
        <f t="shared" si="17"/>
        <v>1489.4</v>
      </c>
      <c r="AB66" s="446">
        <f>IF(_epmOfflineCondition_,0.299891673344797,IF(AA66=0,"",IFERROR(AA66/_xll.EVGTS($B$1,1,_xll.EVPRO($B$1,$H66,"COSBASIS"),$B$3,$B$5,$B$6,$B$7,$B$9,AA$16,AA$17,AA$11),"")))</f>
        <v>0.29989167334479699</v>
      </c>
      <c r="AC66" s="437"/>
      <c r="AD66" s="251">
        <v>1330.384</v>
      </c>
      <c r="AE66" s="446">
        <f>IF(_epmOfflineCondition_,0.172610136945423,IF(AD66=0,"",IFERROR(AD66/_xll.EVGTS($B$1,1,_xll.EVPRO($B$1,$H66,"COSBASIS"),$B$3,$B$5,$B$6,$B$7,$B$9,AD$16,AD$17,AD$18),"")))</f>
        <v>0.17261013694542299</v>
      </c>
      <c r="AF66" s="447">
        <f t="shared" si="18"/>
        <v>159.01600000000008</v>
      </c>
      <c r="AG66" s="251">
        <v>4209.7</v>
      </c>
      <c r="AH66" s="446">
        <f>IF(_epmOfflineCondition_,0.436199920214282,IF(AG66=0,"",IFERROR(AG66/_xll.EVGTS($B$1,1,_xll.EVPRO($B$1,$H66,"COSBASIS"),$B$3,$B$5,$B$6,$B$7,$B$9,AG$16,AG$17,AG$18),"")))</f>
        <v>0.436199920214282</v>
      </c>
      <c r="AI66" s="448">
        <f t="shared" si="19"/>
        <v>-2720.2999999999997</v>
      </c>
      <c r="AJ66" s="449">
        <f t="shared" si="20"/>
        <v>8.6633317822242914E-2</v>
      </c>
      <c r="AK66" s="450">
        <f t="shared" si="21"/>
        <v>1.7017805976258699E-2</v>
      </c>
      <c r="AL66" s="451">
        <f t="shared" si="22"/>
        <v>0.12297917092693757</v>
      </c>
      <c r="AM66" s="452" t="str">
        <f t="shared" si="23"/>
        <v>12.73 pts.</v>
      </c>
      <c r="AN66" s="453" t="str">
        <f t="shared" si="24"/>
        <v>-13.63 pts.</v>
      </c>
      <c r="AO66" s="11"/>
      <c r="AP66" s="11"/>
    </row>
    <row r="67" spans="1:42" x14ac:dyDescent="0.35">
      <c r="A67" s="11"/>
      <c r="B67" s="11"/>
      <c r="C67" s="11"/>
      <c r="D67" s="11"/>
      <c r="E67" s="11"/>
      <c r="F67" s="11"/>
      <c r="G67" s="11"/>
      <c r="H67" s="396" t="s">
        <v>288</v>
      </c>
      <c r="I67" s="188" t="str">
        <f>IF(_epmOfflineCondition_,"T4",_xll.EVPRO($B$1,$H67,"STYLE"))</f>
        <v>T4</v>
      </c>
      <c r="J67" s="188" t="str">
        <f>IF(_epmOfflineCondition_,"Y",_xll.EVPRO($B$1,$H67,"CALC"))</f>
        <v>Y</v>
      </c>
      <c r="K67" s="189" t="str">
        <f t="shared" si="16"/>
        <v/>
      </c>
      <c r="L67" s="190" t="str">
        <f>IF(_epmOfflineCondition_,"",_xll.EVPRO($B$1,H67,"JDEID"))</f>
        <v/>
      </c>
      <c r="M67" s="190" t="str">
        <f>IF(_epmOfflineCondition_,"",IF(AND(I67="N",J67="N"),_xll.EVPRO($B$1,H67,"PSFTID"),""))</f>
        <v/>
      </c>
      <c r="N67" s="190" t="str">
        <f>IF(_epmOfflineCondition_,"Total Cost of Other Revenue",IF(_xll.EVDES(H67,$B$1)="#NODATA","",_xll.EVDES(H67,$B$1)))</f>
        <v>Total Cost of Other Revenue</v>
      </c>
      <c r="O67" s="463">
        <v>685.36</v>
      </c>
      <c r="P67" s="238">
        <v>279.73</v>
      </c>
      <c r="Q67" s="238">
        <v>515.84</v>
      </c>
      <c r="R67" s="238"/>
      <c r="S67" s="238"/>
      <c r="T67" s="238">
        <v>4</v>
      </c>
      <c r="U67" s="238"/>
      <c r="V67" s="238">
        <v>-241.16</v>
      </c>
      <c r="W67" s="238">
        <v>245.63</v>
      </c>
      <c r="X67" s="238"/>
      <c r="Y67" s="238"/>
      <c r="Z67" s="238">
        <v>471</v>
      </c>
      <c r="AA67" s="238">
        <f t="shared" si="17"/>
        <v>1960.4</v>
      </c>
      <c r="AB67" s="239">
        <f>IF(_epmOfflineCondition_,0.016156851678717,IF(AA67=0,"",IFERROR(AA67/_xll.EVGTS($B$1,1,_xll.EVPRO($B$1,$H67,"COSBASIS"),$B$3,$B$5,$B$6,$B$7,$B$9,AA$16,AA$17,AA$11),"")))</f>
        <v>1.6156851678716999E-2</v>
      </c>
      <c r="AC67" s="240"/>
      <c r="AD67" s="238">
        <v>1330.384</v>
      </c>
      <c r="AE67" s="239">
        <f>IF(_epmOfflineCondition_,0.0022038814616784,IF(AD67=0,"",IFERROR(AD67/_xll.EVGTS($B$1,1,_xll.EVPRO($B$1,$H67,"COSBASIS"),$B$3,$B$5,$B$6,$B$7,$B$9,AD$16,AD$17,AD$18),"")))</f>
        <v>2.2038814616783999E-3</v>
      </c>
      <c r="AF67" s="241">
        <f t="shared" si="18"/>
        <v>630.01600000000008</v>
      </c>
      <c r="AG67" s="238">
        <v>4209.7</v>
      </c>
      <c r="AH67" s="239">
        <f>IF(_epmOfflineCondition_,0.01902795650089,IF(AG67=0,"",IFERROR(AG67/_xll.EVGTS($B$1,1,_xll.EVPRO($B$1,$H67,"COSBASIS"),$B$3,$B$5,$B$6,$B$7,$B$9,AG$16,AG$17,AG$18),"")))</f>
        <v>1.9027956500890002E-2</v>
      </c>
      <c r="AI67" s="464">
        <f t="shared" si="19"/>
        <v>-2249.2999999999997</v>
      </c>
      <c r="AJ67" s="242">
        <f t="shared" si="20"/>
        <v>0.11402978129362494</v>
      </c>
      <c r="AK67" s="243">
        <f t="shared" si="21"/>
        <v>1.7017805976258699E-2</v>
      </c>
      <c r="AL67" s="245">
        <f t="shared" si="22"/>
        <v>0.12297917092693757</v>
      </c>
      <c r="AM67" s="431" t="str">
        <f t="shared" si="23"/>
        <v>1.4 pts.</v>
      </c>
      <c r="AN67" s="465" t="str">
        <f t="shared" si="24"/>
        <v>-0.29 pts.</v>
      </c>
      <c r="AO67" s="11"/>
      <c r="AP67" s="11"/>
    </row>
    <row r="68" spans="1:42" x14ac:dyDescent="0.35">
      <c r="A68" s="11"/>
      <c r="B68" s="11"/>
      <c r="C68" s="208"/>
      <c r="D68" s="11"/>
      <c r="E68" s="11"/>
      <c r="F68" s="11"/>
      <c r="G68" s="11"/>
      <c r="H68" s="396" t="s">
        <v>289</v>
      </c>
      <c r="I68" s="188" t="str">
        <f>IF(_epmOfflineCondition_,"T3",_xll.EVPRO($B$1,$H68,"STYLE"))</f>
        <v>T3</v>
      </c>
      <c r="J68" s="188" t="str">
        <f>IF(_epmOfflineCondition_,"Y",_xll.EVPRO($B$1,$H68,"CALC"))</f>
        <v>Y</v>
      </c>
      <c r="K68" s="189" t="str">
        <f t="shared" si="16"/>
        <v/>
      </c>
      <c r="L68" s="190" t="str">
        <f>IF(_epmOfflineCondition_,"500001",_xll.EVPRO($B$1,H68,"JDEID"))</f>
        <v>500001</v>
      </c>
      <c r="M68" s="190" t="str">
        <f>IF(_epmOfflineCondition_,"",IF(AND(I68="N",J68="N"),_xll.EVPRO($B$1,H68,"PSFTID"),""))</f>
        <v/>
      </c>
      <c r="N68" s="190" t="str">
        <f>IF(_epmOfflineCondition_,"Total Cost of Sales",IF(_xll.EVDES(H68,$B$1)="#NODATA","",_xll.EVDES(H68,$B$1)))</f>
        <v>Total Cost of Sales</v>
      </c>
      <c r="O68" s="454">
        <v>51467.14</v>
      </c>
      <c r="P68" s="225">
        <v>58281.86</v>
      </c>
      <c r="Q68" s="225">
        <v>27823.41</v>
      </c>
      <c r="R68" s="225">
        <v>-145</v>
      </c>
      <c r="S68" s="225">
        <v>-3040.95</v>
      </c>
      <c r="T68" s="225">
        <v>692.78</v>
      </c>
      <c r="U68" s="225">
        <v>10142.77</v>
      </c>
      <c r="V68" s="225">
        <v>2843.21</v>
      </c>
      <c r="W68" s="225">
        <v>4933.38</v>
      </c>
      <c r="X68" s="225">
        <v>7114.81</v>
      </c>
      <c r="Y68" s="225">
        <v>5318.57</v>
      </c>
      <c r="Z68" s="225">
        <v>11949.88</v>
      </c>
      <c r="AA68" s="225">
        <f t="shared" si="17"/>
        <v>177381.86</v>
      </c>
      <c r="AB68" s="226">
        <f>IF(_epmOfflineCondition_,0.289255509816948,IF(AA68=0,"",IFERROR(AA68/_xll.EVGTS($B$1,1,_xll.EVPRO($B$1,$H68,"COSBASIS"),$B$3,$B$5,$B$6,$B$7,$B$9,AA$16,AA$17,AA$11),"")))</f>
        <v>0.28925550981694798</v>
      </c>
      <c r="AC68" s="227"/>
      <c r="AD68" s="225">
        <v>712593.64598499995</v>
      </c>
      <c r="AE68" s="226">
        <f>IF(_epmOfflineCondition_,0.210065678819745,IF(AD68=0,"",IFERROR(AD68/_xll.EVGTS($B$1,1,_xll.EVPRO($B$1,$H68,"COSBASIS"),$B$3,$B$5,$B$6,$B$7,$B$9,AD$16,AD$17,AD$18),"")))</f>
        <v>0.210065678819745</v>
      </c>
      <c r="AF68" s="228">
        <f t="shared" si="18"/>
        <v>-535211.78598499997</v>
      </c>
      <c r="AG68" s="225">
        <v>321507.8</v>
      </c>
      <c r="AH68" s="226">
        <f>IF(_epmOfflineCondition_,0.312716184742676,IF(AG68=0,"",IFERROR(AG68/_xll.EVGTS($B$1,1,_xll.EVPRO($B$1,$H68,"COSBASIS"),$B$3,$B$5,$B$6,$B$7,$B$9,AG$16,AG$17,AG$18),"")))</f>
        <v>0.31271618474267598</v>
      </c>
      <c r="AI68" s="455">
        <f t="shared" si="19"/>
        <v>-144125.94</v>
      </c>
      <c r="AJ68" s="229">
        <f t="shared" si="20"/>
        <v>10.317697766402977</v>
      </c>
      <c r="AK68" s="230">
        <f t="shared" si="21"/>
        <v>9.1152482345604788</v>
      </c>
      <c r="AL68" s="232">
        <f t="shared" si="22"/>
        <v>9.3922993777570039</v>
      </c>
      <c r="AM68" s="427" t="str">
        <f t="shared" si="23"/>
        <v>7.92 pts.</v>
      </c>
      <c r="AN68" s="456" t="str">
        <f t="shared" si="24"/>
        <v>-2.35 pts.</v>
      </c>
      <c r="AO68" s="11"/>
      <c r="AP68" s="11"/>
    </row>
    <row r="69" spans="1:42" x14ac:dyDescent="0.35">
      <c r="A69" s="61" t="str">
        <f>IF(_epmOfflineCondition_,"Evdre:Ok",_xll.EVDRE($B$1,A72:B79,A82:B88))</f>
        <v>Evdre:Ok</v>
      </c>
      <c r="B69" s="11"/>
      <c r="C69" s="11"/>
      <c r="D69" s="11"/>
      <c r="E69" s="11"/>
      <c r="F69" s="11"/>
      <c r="G69" s="11"/>
      <c r="H69" s="396" t="s">
        <v>175</v>
      </c>
      <c r="I69" s="89" t="str">
        <f>IF(_epmOfflineCondition_,"B1",_xll.EVPRO($B$1,$H69,"STYLE"))</f>
        <v>B1</v>
      </c>
      <c r="J69" s="89" t="str">
        <f>IF(_epmOfflineCondition_,"Y",_xll.EVPRO($B$1,$H69,"CALC"))</f>
        <v>Y</v>
      </c>
      <c r="K69" s="265" t="str">
        <f t="shared" si="16"/>
        <v/>
      </c>
      <c r="L69" s="265"/>
      <c r="M69" s="265"/>
      <c r="N69" s="106" t="str">
        <f>IF(_epmOfflineCondition_,"BLANKROW",IF(_xll.EVDES(H69,$B$1)="#NODATA","",_xll.EVDES(H69,$B$1)))</f>
        <v>BLANKROW</v>
      </c>
      <c r="O69" s="205"/>
      <c r="P69" s="205"/>
      <c r="Q69" s="205"/>
      <c r="R69" s="205"/>
      <c r="S69" s="205"/>
      <c r="T69" s="205"/>
      <c r="U69" s="205"/>
      <c r="V69" s="205"/>
      <c r="W69" s="205"/>
      <c r="X69" s="205"/>
      <c r="Y69" s="205"/>
      <c r="Z69" s="205"/>
      <c r="AA69" s="205"/>
      <c r="AB69" s="206" t="str">
        <f>IF(_epmOfflineCondition_,"",IF(O69=0,"",IFERROR(O69/_xll.EVGTS($B$1,1,INDEX($C$141:$C$164,MATCH($H69,$A$141:$A$164,0)),$B$3,$B$5,$B$6,$B$7,$B$9,O$16,O$17,O$18),"")))</f>
        <v/>
      </c>
      <c r="AC69" s="11"/>
      <c r="AD69" s="205"/>
      <c r="AE69" s="206" t="str">
        <f>IF(_epmOfflineCondition_,"",IF(AD69=0,"",IFERROR(AD69/_xll.EVGTS($B$1,1,INDEX($C$141:$C$164,MATCH($H69,$A$141:$A$164,0)),$B$3,$B$5,$B$6,$B$7,$B$9,AD$16,AD$17,AD$18),"")))</f>
        <v/>
      </c>
      <c r="AF69" s="207" t="str">
        <f t="shared" si="18"/>
        <v/>
      </c>
      <c r="AG69" s="205"/>
      <c r="AH69" s="206" t="str">
        <f>IF(_epmOfflineCondition_,"",IF(AG69=0,"",IFERROR(AG69/_xll.EVGTS($B$1,1,INDEX($C$141:$C$164,MATCH($H69,$A$141:$A$164,0)),$B$3,$B$5,$B$6,$B$7,$B$9,AG$16,AG$17,AG$18),"")))</f>
        <v/>
      </c>
      <c r="AI69" s="207" t="str">
        <f t="shared" si="19"/>
        <v/>
      </c>
      <c r="AJ69" s="11"/>
      <c r="AK69" s="11"/>
      <c r="AL69" s="11"/>
      <c r="AM69" s="11"/>
      <c r="AN69" s="11"/>
      <c r="AO69" s="11"/>
      <c r="AP69" s="11"/>
    </row>
    <row r="70" spans="1:42" x14ac:dyDescent="0.35">
      <c r="A70" s="11"/>
      <c r="B70" s="11"/>
      <c r="C70" s="11"/>
      <c r="D70" s="11"/>
      <c r="E70" s="11"/>
      <c r="F70" s="11"/>
      <c r="G70" s="11"/>
      <c r="H70" s="396" t="s">
        <v>292</v>
      </c>
      <c r="I70" s="89" t="str">
        <f>IF(_epmOfflineCondition_,"T3",_xll.EVPRO($B$1,$H70,"STYLE"))</f>
        <v>T3</v>
      </c>
      <c r="J70" s="89" t="str">
        <f>IF(_epmOfflineCondition_,"Y",_xll.EVPRO($B$1,$H70,"CALC"))</f>
        <v>Y</v>
      </c>
      <c r="K70" s="265" t="str">
        <f t="shared" si="16"/>
        <v/>
      </c>
      <c r="L70" s="265"/>
      <c r="M70" s="265"/>
      <c r="N70" s="106" t="str">
        <f>IF(_epmOfflineCondition_,"Gross Profit",IF(_xll.EVDES(H70,$B$1)="#NODATA","",_xll.EVDES(H70,$B$1)))</f>
        <v>Gross Profit</v>
      </c>
      <c r="O70" s="123">
        <f t="shared" ref="O70:Z70" si="25">SUMIF($H$35:$H$68,"400000",O35:O68)-SUMIF($H$35:$H$68,"500001",O35:O68)</f>
        <v>141335.74</v>
      </c>
      <c r="P70" s="123">
        <f t="shared" si="25"/>
        <v>163967.24</v>
      </c>
      <c r="Q70" s="123">
        <f t="shared" si="25"/>
        <v>51557.86</v>
      </c>
      <c r="R70" s="123">
        <f t="shared" si="25"/>
        <v>145</v>
      </c>
      <c r="S70" s="123">
        <f t="shared" si="25"/>
        <v>-12081.54</v>
      </c>
      <c r="T70" s="123">
        <f t="shared" si="25"/>
        <v>218.22000000000003</v>
      </c>
      <c r="U70" s="123">
        <f t="shared" si="25"/>
        <v>-5302.2400000000007</v>
      </c>
      <c r="V70" s="123">
        <f t="shared" si="25"/>
        <v>6544.6500000000005</v>
      </c>
      <c r="W70" s="123">
        <f t="shared" si="25"/>
        <v>10264.919999999998</v>
      </c>
      <c r="X70" s="123">
        <f t="shared" si="25"/>
        <v>17910.469999999998</v>
      </c>
      <c r="Y70" s="123">
        <f t="shared" si="25"/>
        <v>22271.96</v>
      </c>
      <c r="Z70" s="123">
        <f t="shared" si="25"/>
        <v>39021.75</v>
      </c>
      <c r="AA70" s="123">
        <f>SUM(O70:Z70)</f>
        <v>435854.02999999997</v>
      </c>
      <c r="AB70" s="192">
        <f>IF(AA70=0,"",IFERROR(AA70/AA$19,""))</f>
        <v>0.71074449018305164</v>
      </c>
      <c r="AC70" s="11"/>
      <c r="AD70" s="123">
        <f>SUMIF($H$35:$H$68,"400000",AD35:AD68)-SUMIF($H$35:$H$68,"500001",AD35:AD68)</f>
        <v>2679648.4850890003</v>
      </c>
      <c r="AE70" s="192">
        <f>IF(AD70=0,"",IFERROR(AD70/AD$19,""))</f>
        <v>0.78993432118025453</v>
      </c>
      <c r="AF70" s="125">
        <f t="shared" si="18"/>
        <v>-2243794.4550890005</v>
      </c>
      <c r="AG70" s="123">
        <f>SUMIF($H$35:$H$68,"400000",AG35:AG68)-SUMIF($H$35:$H$68,"500001",AG35:AG68)</f>
        <v>706605.91999999993</v>
      </c>
      <c r="AH70" s="192">
        <f>IF(AG70=0,"",IFERROR(AG70/AG$19,""))</f>
        <v>0.68728381525732385</v>
      </c>
      <c r="AI70" s="125">
        <f t="shared" si="19"/>
        <v>-270751.88999999996</v>
      </c>
      <c r="AJ70" s="193">
        <f>IFERROR(AA70/AA$20,0)</f>
        <v>25.352142275476965</v>
      </c>
      <c r="AK70" s="194">
        <f>IFERROR(AD70/AD$20,0)</f>
        <v>34.27712450226413</v>
      </c>
      <c r="AL70" s="195">
        <f>IFERROR(AG70/AG$20,0)</f>
        <v>20.642280973386693</v>
      </c>
      <c r="AM70" s="407" t="str">
        <f>+IFERROR(ROUND(($AB70-AE70)*100,2)&amp;" pts.",0)</f>
        <v>-7.92 pts.</v>
      </c>
      <c r="AN70" s="408" t="str">
        <f>+IFERROR(ROUND(($AB70-AH70)*100,2)&amp;" pts.",0)</f>
        <v>2.35 pts.</v>
      </c>
      <c r="AO70" s="11"/>
      <c r="AP70" s="11"/>
    </row>
    <row r="71" spans="1:42" x14ac:dyDescent="0.35">
      <c r="A71" s="62" t="s">
        <v>0</v>
      </c>
      <c r="B71" s="63" t="s">
        <v>1</v>
      </c>
      <c r="C71" s="11"/>
      <c r="D71" s="11"/>
      <c r="E71" s="11"/>
      <c r="F71" s="11"/>
      <c r="G71" s="11"/>
      <c r="H71" s="11"/>
      <c r="I71" s="59"/>
      <c r="J71" s="59"/>
      <c r="K71" s="11"/>
      <c r="L71" s="11"/>
      <c r="M71" s="11"/>
      <c r="N71" s="11"/>
      <c r="O71" s="393"/>
      <c r="P71" s="394"/>
      <c r="Q71" s="394"/>
      <c r="R71" s="394"/>
      <c r="S71" s="394"/>
      <c r="T71" s="394"/>
      <c r="U71" s="394"/>
      <c r="V71" s="394"/>
      <c r="W71" s="394"/>
      <c r="X71" s="394"/>
      <c r="Y71" s="394"/>
      <c r="Z71" s="394"/>
      <c r="AA71" s="394"/>
      <c r="AB71" s="118"/>
      <c r="AC71" s="11"/>
      <c r="AD71" s="393"/>
      <c r="AE71" s="204"/>
      <c r="AF71" s="118"/>
      <c r="AG71" s="393"/>
      <c r="AH71" s="204"/>
      <c r="AI71" s="118"/>
      <c r="AJ71" s="11"/>
      <c r="AK71" s="11"/>
      <c r="AL71" s="11"/>
      <c r="AM71" s="11"/>
      <c r="AN71" s="11"/>
      <c r="AO71" s="11"/>
      <c r="AP71" s="11"/>
    </row>
    <row r="72" spans="1:42" x14ac:dyDescent="0.35">
      <c r="A72" s="65" t="s">
        <v>2</v>
      </c>
      <c r="B72" s="66" t="str">
        <f>IF(_epmOfflineCondition_,"'FB_Cons'!$B$2:$B$10",_xll.EVRNG($B$2:$B$10))</f>
        <v>'FB_Cons'!$B$2:$B$10</v>
      </c>
      <c r="C72" s="11"/>
      <c r="D72" s="11"/>
      <c r="E72" s="11"/>
      <c r="F72" s="11"/>
      <c r="G72" s="11"/>
      <c r="H72" s="11" t="s">
        <v>73</v>
      </c>
      <c r="I72" s="59" t="str">
        <f>IF(_epmOfflineCondition_,"B1",_xll.EVPRO($B$1,$H72,"STYLE"))</f>
        <v>B1</v>
      </c>
      <c r="J72" s="59" t="str">
        <f>IF(_epmOfflineCondition_,"Y",_xll.EVPRO($B$1,$H72,"CALC"))</f>
        <v>Y</v>
      </c>
      <c r="K72" s="11"/>
      <c r="L72" s="11"/>
      <c r="M72" s="11"/>
      <c r="N72" s="105" t="str">
        <f>IF(_epmOfflineCondition_,"Labor &amp; Related Expenses",IF(_xll.EVDES(H72,$B$1)="#NODATA","",_xll.EVDES(H72,$B$1)))</f>
        <v>Labor &amp; Related Expenses</v>
      </c>
      <c r="O72" s="203"/>
      <c r="P72" s="204"/>
      <c r="Q72" s="204"/>
      <c r="R72" s="204"/>
      <c r="S72" s="204"/>
      <c r="T72" s="204"/>
      <c r="U72" s="204"/>
      <c r="V72" s="204"/>
      <c r="W72" s="204"/>
      <c r="X72" s="204"/>
      <c r="Y72" s="204"/>
      <c r="Z72" s="204"/>
      <c r="AA72" s="204"/>
      <c r="AB72" s="410"/>
      <c r="AC72" s="11"/>
      <c r="AD72" s="411"/>
      <c r="AE72" s="412"/>
      <c r="AF72" s="118"/>
      <c r="AG72" s="204"/>
      <c r="AH72" s="412"/>
      <c r="AI72" s="118"/>
      <c r="AJ72" s="11"/>
      <c r="AK72" s="11"/>
      <c r="AL72" s="11"/>
      <c r="AM72" s="11"/>
      <c r="AN72" s="11"/>
      <c r="AO72" s="11"/>
      <c r="AP72" s="11"/>
    </row>
    <row r="73" spans="1:42" x14ac:dyDescent="0.35">
      <c r="A73" s="65" t="s">
        <v>3</v>
      </c>
      <c r="B73" s="66" t="str">
        <f>IF(_epmOfflineCondition_,"'FB_Cons'!$O$16:$AN$18",_xll.EVRNG($O$16:$AN$18))</f>
        <v>'FB_Cons'!$O$16:$AN$18</v>
      </c>
      <c r="C73" s="11"/>
      <c r="D73" s="11"/>
      <c r="E73" s="11"/>
      <c r="F73" s="11"/>
      <c r="G73" s="11"/>
      <c r="H73" s="11" t="s">
        <v>74</v>
      </c>
      <c r="I73" s="59" t="str">
        <f>IF(_epmOfflineCondition_,"B1",_xll.EVPRO($B$1,$H73,"STYLE"))</f>
        <v>B1</v>
      </c>
      <c r="J73" s="59" t="str">
        <f>IF(_epmOfflineCondition_,"Y",_xll.EVPRO($B$1,$H73,"CALC"))</f>
        <v>Y</v>
      </c>
      <c r="K73" s="11"/>
      <c r="L73" s="11"/>
      <c r="M73" s="11"/>
      <c r="N73" s="53" t="str">
        <f>IF(_epmOfflineCondition_,"Salaries &amp; Wages",IF(_xll.EVDES(H73,$B$1)="#NODATA","",_xll.EVDES(H73,$B$1)))</f>
        <v>Salaries &amp; Wages</v>
      </c>
      <c r="O73" s="119"/>
      <c r="P73" s="120"/>
      <c r="Q73" s="120"/>
      <c r="R73" s="120"/>
      <c r="S73" s="120"/>
      <c r="T73" s="120"/>
      <c r="U73" s="120"/>
      <c r="V73" s="120"/>
      <c r="W73" s="120"/>
      <c r="X73" s="120"/>
      <c r="Y73" s="120"/>
      <c r="Z73" s="120"/>
      <c r="AA73" s="120"/>
      <c r="AB73" s="121"/>
      <c r="AC73" s="11"/>
      <c r="AD73" s="119"/>
      <c r="AE73" s="120"/>
      <c r="AF73" s="121"/>
      <c r="AG73" s="120"/>
      <c r="AH73" s="120"/>
      <c r="AI73" s="121"/>
      <c r="AJ73" s="11"/>
      <c r="AK73" s="11"/>
      <c r="AL73" s="11"/>
      <c r="AM73" s="11"/>
      <c r="AN73" s="11"/>
      <c r="AO73" s="11"/>
      <c r="AP73" s="11"/>
    </row>
    <row r="74" spans="1:42" x14ac:dyDescent="0.35">
      <c r="A74" s="65" t="s">
        <v>4</v>
      </c>
      <c r="B74" s="66" t="str">
        <f>IF(_epmOfflineCondition_,"'FB_Cons'!$H$74:$H$75,'FB_Cons'!$H$77:$H$89,'FB_Cons'!$H$92:$H$116",_xll.EVRNG(H74:H75,H77:H89,H92:H116))</f>
        <v>'FB_Cons'!$H$74:$H$75,'FB_Cons'!$H$77:$H$89,'FB_Cons'!$H$92:$H$116</v>
      </c>
      <c r="C74" s="11"/>
      <c r="D74" s="11"/>
      <c r="E74" s="11"/>
      <c r="F74" s="11"/>
      <c r="G74" s="11"/>
      <c r="H74" s="396" t="s">
        <v>881</v>
      </c>
      <c r="I74" s="122" t="str">
        <f>IF(_epmOfflineCondition_,"T3",_xll.EVPRO($B$1,$H74,"STYLE"))</f>
        <v>T3</v>
      </c>
      <c r="J74" s="122" t="str">
        <f>IF(_epmOfflineCondition_,"Y",_xll.EVPRO($B$1,$H74,"CALC"))</f>
        <v>Y</v>
      </c>
      <c r="K74" s="179" t="str">
        <f t="shared" ref="K74:K89" si="26">IF(AND(I74&gt;="T3"),"&gt;","")</f>
        <v>&gt;</v>
      </c>
      <c r="L74" s="90" t="str">
        <f>IF(_epmOfflineCondition_,"",_xll.EVPRO($B$1,H74,"JDEID"))</f>
        <v/>
      </c>
      <c r="M74" s="90" t="str">
        <f>IF(_epmOfflineCondition_,"",IF(AND(I74="N",J74="N"),_xll.EVPRO($B$1,H74,"PSFTID"),""))</f>
        <v/>
      </c>
      <c r="N74" s="90" t="str">
        <f>IF(_epmOfflineCondition_,"Management - F&amp;B Service",IF(_xll.EVDES(H74,$B$1)="#NODATA","",_xll.EVDES(H74,$B$1)))</f>
        <v>Management - F&amp;B Service</v>
      </c>
      <c r="O74" s="210">
        <v>9277.84</v>
      </c>
      <c r="P74" s="210">
        <v>13949.61</v>
      </c>
      <c r="Q74" s="210">
        <v>8169.33</v>
      </c>
      <c r="R74" s="210"/>
      <c r="S74" s="210"/>
      <c r="T74" s="210">
        <v>2583.33</v>
      </c>
      <c r="U74" s="210"/>
      <c r="V74" s="210"/>
      <c r="W74" s="210"/>
      <c r="X74" s="210"/>
      <c r="Y74" s="210"/>
      <c r="Z74" s="210"/>
      <c r="AA74" s="250">
        <f t="shared" ref="AA74:AA89" si="27">IF($I74="B1","",SUM(O74:Z74))</f>
        <v>33980.11</v>
      </c>
      <c r="AB74" s="211">
        <f t="shared" ref="AB74:AB89" si="28">IF(AA74=0,"",IFERROR(AA74/AA$19,""))</f>
        <v>5.5411156708391612E-2</v>
      </c>
      <c r="AC74" s="140"/>
      <c r="AD74" s="210">
        <v>134870.35758898701</v>
      </c>
      <c r="AE74" s="211">
        <f t="shared" ref="AE74:AE89" si="29">IF(AD74=0,"",IFERROR(AD74/AD$19,""))</f>
        <v>3.9758470173320563E-2</v>
      </c>
      <c r="AF74" s="253">
        <f t="shared" ref="AF74:AF89" si="30">IF(AND($AA74="",AD74=""),"",$AA74-AD74)</f>
        <v>-100890.24758898701</v>
      </c>
      <c r="AG74" s="210">
        <v>138065.67000000001</v>
      </c>
      <c r="AH74" s="211">
        <f t="shared" ref="AH74:AH89" si="31">IF(AG74=0,"",IFERROR(AG74/AG$19,""))</f>
        <v>0.13429027092450435</v>
      </c>
      <c r="AI74" s="253">
        <f t="shared" ref="AI74:AI89" si="32">IF(AND($AA74="",AG74=""),"",$AA74-AG74)</f>
        <v>-104085.56000000001</v>
      </c>
      <c r="AJ74" s="212">
        <f t="shared" ref="AJ74:AJ89" si="33">IFERROR(AA74/AA$20,0)</f>
        <v>1.9765070963238716</v>
      </c>
      <c r="AK74" s="213">
        <f t="shared" ref="AK74:AK89" si="34">IFERROR(AD74/AD$20,0)</f>
        <v>1.7252143572066492</v>
      </c>
      <c r="AL74" s="215">
        <f t="shared" ref="AL74:AL89" si="35">IFERROR(AG74/AG$20,0)</f>
        <v>4.0333519324588822</v>
      </c>
      <c r="AM74" s="423" t="str">
        <f t="shared" ref="AM74:AM89" si="36">+IFERROR(ROUND(($AB74-AE74)*100,2)&amp;" pts.",0)</f>
        <v>1.57 pts.</v>
      </c>
      <c r="AN74" s="424" t="str">
        <f t="shared" ref="AN74:AN89" si="37">+IFERROR(ROUND(($AB74-AH74)*100,2)&amp;" pts.",0)</f>
        <v>-7.89 pts.</v>
      </c>
      <c r="AO74" s="11"/>
      <c r="AP74" s="11"/>
    </row>
    <row r="75" spans="1:42" x14ac:dyDescent="0.35">
      <c r="A75" s="65" t="s">
        <v>5</v>
      </c>
      <c r="B75" s="66"/>
      <c r="C75" s="11"/>
      <c r="D75" s="11"/>
      <c r="E75" s="11"/>
      <c r="F75" s="11"/>
      <c r="G75" s="11"/>
      <c r="H75" s="396" t="s">
        <v>882</v>
      </c>
      <c r="I75" s="122" t="str">
        <f>IF(_epmOfflineCondition_,"T3",_xll.EVPRO($B$1,$H75,"STYLE"))</f>
        <v>T3</v>
      </c>
      <c r="J75" s="122" t="str">
        <f>IF(_epmOfflineCondition_,"Y",_xll.EVPRO($B$1,$H75,"CALC"))</f>
        <v>Y</v>
      </c>
      <c r="K75" s="179" t="str">
        <f t="shared" si="26"/>
        <v>&gt;</v>
      </c>
      <c r="L75" s="90" t="str">
        <f>IF(_epmOfflineCondition_,"",_xll.EVPRO($B$1,H75,"JDEID"))</f>
        <v/>
      </c>
      <c r="M75" s="90" t="str">
        <f>IF(_epmOfflineCondition_,"",IF(AND(I75="N",J75="N"),_xll.EVPRO($B$1,H75,"PSFTID"),""))</f>
        <v/>
      </c>
      <c r="N75" s="90" t="str">
        <f>IF(_epmOfflineCondition_,"Management - F&amp;B Kitchen",IF(_xll.EVDES(H75,$B$1)="#NODATA","",_xll.EVDES(H75,$B$1)))</f>
        <v>Management - F&amp;B Kitchen</v>
      </c>
      <c r="O75" s="210">
        <v>11676.62</v>
      </c>
      <c r="P75" s="210">
        <v>11239.32</v>
      </c>
      <c r="Q75" s="210">
        <v>11477.65</v>
      </c>
      <c r="R75" s="210"/>
      <c r="S75" s="210"/>
      <c r="T75" s="210">
        <v>1800.32</v>
      </c>
      <c r="U75" s="210">
        <v>5397.21</v>
      </c>
      <c r="V75" s="210">
        <v>7072.94</v>
      </c>
      <c r="W75" s="210">
        <v>6746.5</v>
      </c>
      <c r="X75" s="210">
        <v>7072.94</v>
      </c>
      <c r="Y75" s="210">
        <v>6746.36</v>
      </c>
      <c r="Z75" s="210">
        <v>6276.05</v>
      </c>
      <c r="AA75" s="250">
        <f t="shared" si="27"/>
        <v>75505.91</v>
      </c>
      <c r="AB75" s="211">
        <f t="shared" si="28"/>
        <v>0.123127023762422</v>
      </c>
      <c r="AC75" s="140"/>
      <c r="AD75" s="210">
        <v>124440.80385481501</v>
      </c>
      <c r="AE75" s="211">
        <f t="shared" si="29"/>
        <v>3.6683939131260203E-2</v>
      </c>
      <c r="AF75" s="253">
        <f t="shared" si="30"/>
        <v>-48934.893854815004</v>
      </c>
      <c r="AG75" s="210">
        <v>93461.93</v>
      </c>
      <c r="AH75" s="211">
        <f t="shared" si="31"/>
        <v>9.0906218039770934E-2</v>
      </c>
      <c r="AI75" s="253">
        <f t="shared" si="32"/>
        <v>-17956.01999999999</v>
      </c>
      <c r="AJ75" s="212">
        <f t="shared" si="33"/>
        <v>4.391921242438344</v>
      </c>
      <c r="AK75" s="213">
        <f t="shared" si="34"/>
        <v>1.5918031602386282</v>
      </c>
      <c r="AL75" s="215">
        <f t="shared" si="35"/>
        <v>2.7303301101340889</v>
      </c>
      <c r="AM75" s="423" t="str">
        <f t="shared" si="36"/>
        <v>8.64 pts.</v>
      </c>
      <c r="AN75" s="424" t="str">
        <f t="shared" si="37"/>
        <v>3.22 pts.</v>
      </c>
      <c r="AO75" s="11"/>
      <c r="AP75" s="11"/>
    </row>
    <row r="76" spans="1:42" x14ac:dyDescent="0.35">
      <c r="A76" s="65" t="s">
        <v>6</v>
      </c>
      <c r="B76" s="66"/>
      <c r="C76" s="11"/>
      <c r="D76" s="11"/>
      <c r="E76" s="11"/>
      <c r="F76" s="11"/>
      <c r="G76" s="11"/>
      <c r="H76" s="396" t="s">
        <v>75</v>
      </c>
      <c r="I76" s="89" t="str">
        <f>IF(_epmOfflineCondition_,"B1",_xll.EVPRO($B$1,$H76,"STYLE"))</f>
        <v>B1</v>
      </c>
      <c r="J76" s="89" t="str">
        <f>IF(_epmOfflineCondition_,"Y",_xll.EVPRO($B$1,$H76,"CALC"))</f>
        <v>Y</v>
      </c>
      <c r="K76" s="265" t="str">
        <f t="shared" si="26"/>
        <v/>
      </c>
      <c r="L76" s="106" t="str">
        <f>IF(_epmOfflineCondition_,"",_xll.EVPRO($B$1,H76,"JDEID"))</f>
        <v/>
      </c>
      <c r="M76" s="90" t="str">
        <f>IF(_epmOfflineCondition_,"",IF(AND(I76="N",J76="N"),_xll.EVPRO($B$1,H76,"PSFTID"),""))</f>
        <v/>
      </c>
      <c r="N76" s="106" t="str">
        <f>IF(_epmOfflineCondition_,"Non-Management",IF(_xll.EVDES(H76,$B$1)="#NODATA","",_xll.EVDES(H76,$B$1)))</f>
        <v>Non-Management</v>
      </c>
      <c r="O76" s="197"/>
      <c r="P76" s="197"/>
      <c r="Q76" s="197"/>
      <c r="R76" s="197"/>
      <c r="S76" s="197"/>
      <c r="T76" s="197"/>
      <c r="U76" s="197"/>
      <c r="V76" s="197"/>
      <c r="W76" s="197"/>
      <c r="X76" s="197"/>
      <c r="Y76" s="197"/>
      <c r="Z76" s="197"/>
      <c r="AA76" s="180" t="str">
        <f t="shared" si="27"/>
        <v/>
      </c>
      <c r="AB76" s="198" t="str">
        <f t="shared" si="28"/>
        <v/>
      </c>
      <c r="AC76" s="11"/>
      <c r="AD76" s="197"/>
      <c r="AE76" s="198" t="str">
        <f t="shared" si="29"/>
        <v/>
      </c>
      <c r="AF76" s="199" t="str">
        <f t="shared" si="30"/>
        <v/>
      </c>
      <c r="AG76" s="197"/>
      <c r="AH76" s="198" t="str">
        <f t="shared" si="31"/>
        <v/>
      </c>
      <c r="AI76" s="199" t="str">
        <f t="shared" si="32"/>
        <v/>
      </c>
      <c r="AJ76" s="181">
        <f t="shared" si="33"/>
        <v>0</v>
      </c>
      <c r="AK76" s="182">
        <f t="shared" si="34"/>
        <v>0</v>
      </c>
      <c r="AL76" s="184">
        <f t="shared" si="35"/>
        <v>0</v>
      </c>
      <c r="AM76" s="385">
        <f t="shared" si="36"/>
        <v>0</v>
      </c>
      <c r="AN76" s="386">
        <f t="shared" si="37"/>
        <v>0</v>
      </c>
      <c r="AO76" s="11"/>
      <c r="AP76" s="11"/>
    </row>
    <row r="77" spans="1:42" x14ac:dyDescent="0.35">
      <c r="A77" s="65" t="s">
        <v>7</v>
      </c>
      <c r="B77" s="66" t="str">
        <f>IF(_epmOfflineCondition_,"'FB_Cons'!$A$91:$F$97",_xll.EVRNG(A91:F97))</f>
        <v>'FB_Cons'!$A$91:$F$97</v>
      </c>
      <c r="C77" s="11"/>
      <c r="D77" s="11"/>
      <c r="E77" s="11"/>
      <c r="F77" s="11"/>
      <c r="G77" s="11"/>
      <c r="H77" s="396" t="s">
        <v>870</v>
      </c>
      <c r="I77" s="122" t="str">
        <f>IF(_epmOfflineCondition_,"T3",_xll.EVPRO($B$1,$H77,"STYLE"))</f>
        <v>T3</v>
      </c>
      <c r="J77" s="122" t="str">
        <f>IF(_epmOfflineCondition_,"Y",_xll.EVPRO($B$1,$H77,"CALC"))</f>
        <v>Y</v>
      </c>
      <c r="K77" s="179" t="str">
        <f t="shared" si="26"/>
        <v>&gt;</v>
      </c>
      <c r="L77" s="90" t="str">
        <f>IF(_epmOfflineCondition_,"",_xll.EVPRO($B$1,H77,"JDEID"))</f>
        <v/>
      </c>
      <c r="M77" s="90" t="str">
        <f>IF(_epmOfflineCondition_,"",IF(AND(I77="N",J77="N"),_xll.EVPRO($B$1,H77,"PSFTID"),""))</f>
        <v/>
      </c>
      <c r="N77" s="90" t="str">
        <f>IF(_epmOfflineCondition_,"Banquet &amp; Conf/Catering Service",IF(_xll.EVDES(H77,$B$1)="#NODATA","",_xll.EVDES(H77,$B$1)))</f>
        <v>Banquet &amp; Conf/Catering Service</v>
      </c>
      <c r="O77" s="216">
        <v>1098.43</v>
      </c>
      <c r="P77" s="216">
        <v>387.23</v>
      </c>
      <c r="Q77" s="216"/>
      <c r="R77" s="216"/>
      <c r="S77" s="216"/>
      <c r="T77" s="216"/>
      <c r="U77" s="216"/>
      <c r="V77" s="216"/>
      <c r="W77" s="216"/>
      <c r="X77" s="216"/>
      <c r="Y77" s="216">
        <v>560.79999999999995</v>
      </c>
      <c r="Z77" s="216"/>
      <c r="AA77" s="251">
        <f t="shared" si="27"/>
        <v>2046.46</v>
      </c>
      <c r="AB77" s="218">
        <f t="shared" si="28"/>
        <v>3.3371497548846988E-3</v>
      </c>
      <c r="AC77" s="140"/>
      <c r="AD77" s="216">
        <v>27696</v>
      </c>
      <c r="AE77" s="218">
        <f t="shared" si="29"/>
        <v>8.1645115324451532E-3</v>
      </c>
      <c r="AF77" s="233">
        <f t="shared" si="30"/>
        <v>-25649.54</v>
      </c>
      <c r="AG77" s="216">
        <v>12683.58</v>
      </c>
      <c r="AH77" s="218">
        <f t="shared" si="31"/>
        <v>1.2336748117708225E-2</v>
      </c>
      <c r="AI77" s="233">
        <f t="shared" si="32"/>
        <v>-10637.119999999999</v>
      </c>
      <c r="AJ77" s="212">
        <f t="shared" si="33"/>
        <v>0.11903559795253607</v>
      </c>
      <c r="AK77" s="213">
        <f t="shared" si="34"/>
        <v>0.35427752762996317</v>
      </c>
      <c r="AL77" s="215">
        <f t="shared" si="35"/>
        <v>0.37052905261312846</v>
      </c>
      <c r="AM77" s="423" t="str">
        <f t="shared" si="36"/>
        <v>-0.48 pts.</v>
      </c>
      <c r="AN77" s="424" t="str">
        <f t="shared" si="37"/>
        <v>-0.9 pts.</v>
      </c>
      <c r="AO77" s="11"/>
      <c r="AP77" s="11"/>
    </row>
    <row r="78" spans="1:42" x14ac:dyDescent="0.35">
      <c r="A78" s="65" t="s">
        <v>47</v>
      </c>
      <c r="B78" s="66" t="str">
        <f>IF(_epmOfflineCondition_,"'FB_Cons'!$A$114:$B$135",_xll.EVRNG($A$114:$B$135))</f>
        <v>'FB_Cons'!$A$114:$B$135</v>
      </c>
      <c r="C78" s="11"/>
      <c r="D78" s="11"/>
      <c r="E78" s="11"/>
      <c r="F78" s="11"/>
      <c r="G78" s="11"/>
      <c r="H78" s="396" t="s">
        <v>871</v>
      </c>
      <c r="I78" s="122" t="str">
        <f>IF(_epmOfflineCondition_,"T3",_xll.EVPRO($B$1,$H78,"STYLE"))</f>
        <v>T3</v>
      </c>
      <c r="J78" s="122" t="str">
        <f>IF(_epmOfflineCondition_,"Y",_xll.EVPRO($B$1,$H78,"CALC"))</f>
        <v>Y</v>
      </c>
      <c r="K78" s="179" t="str">
        <f t="shared" si="26"/>
        <v>&gt;</v>
      </c>
      <c r="L78" s="90" t="str">
        <f>IF(_epmOfflineCondition_,"",_xll.EVPRO($B$1,H78,"JDEID"))</f>
        <v/>
      </c>
      <c r="M78" s="90" t="str">
        <f>IF(_epmOfflineCondition_,"",IF(AND(I78="N",J78="N"),_xll.EVPRO($B$1,H78,"PSFTID"),""))</f>
        <v/>
      </c>
      <c r="N78" s="90" t="str">
        <f>IF(_epmOfflineCondition_,"F&amp;B Kitchen",IF(_xll.EVDES(H78,$B$1)="#NODATA","",_xll.EVDES(H78,$B$1)))</f>
        <v>F&amp;B Kitchen</v>
      </c>
      <c r="O78" s="216">
        <v>20677.78</v>
      </c>
      <c r="P78" s="216">
        <v>13652.04</v>
      </c>
      <c r="Q78" s="216">
        <v>6396</v>
      </c>
      <c r="R78" s="216"/>
      <c r="S78" s="216"/>
      <c r="T78" s="216"/>
      <c r="U78" s="216"/>
      <c r="V78" s="216"/>
      <c r="W78" s="216"/>
      <c r="X78" s="216">
        <v>1280</v>
      </c>
      <c r="Y78" s="216">
        <v>5996.51</v>
      </c>
      <c r="Z78" s="216">
        <v>8606.57</v>
      </c>
      <c r="AA78" s="251">
        <f t="shared" si="27"/>
        <v>56608.9</v>
      </c>
      <c r="AB78" s="218">
        <f t="shared" si="28"/>
        <v>9.2311785600154614E-2</v>
      </c>
      <c r="AC78" s="140"/>
      <c r="AD78" s="216">
        <v>249057.84107142899</v>
      </c>
      <c r="AE78" s="218">
        <f t="shared" si="29"/>
        <v>7.3419830144193177E-2</v>
      </c>
      <c r="AF78" s="233">
        <f t="shared" si="30"/>
        <v>-192448.941071429</v>
      </c>
      <c r="AG78" s="216">
        <v>131778.1</v>
      </c>
      <c r="AH78" s="218">
        <f t="shared" si="31"/>
        <v>0.12817463422236988</v>
      </c>
      <c r="AI78" s="233">
        <f t="shared" si="32"/>
        <v>-75169.200000000012</v>
      </c>
      <c r="AJ78" s="212">
        <f t="shared" si="33"/>
        <v>3.2927466263378316</v>
      </c>
      <c r="AK78" s="213">
        <f t="shared" si="34"/>
        <v>3.1858606358911814</v>
      </c>
      <c r="AL78" s="215">
        <f t="shared" si="35"/>
        <v>3.8496713505302211</v>
      </c>
      <c r="AM78" s="423" t="str">
        <f t="shared" si="36"/>
        <v>1.89 pts.</v>
      </c>
      <c r="AN78" s="424" t="str">
        <f t="shared" si="37"/>
        <v>-3.59 pts.</v>
      </c>
      <c r="AO78" s="11"/>
      <c r="AP78" s="11"/>
    </row>
    <row r="79" spans="1:42" x14ac:dyDescent="0.35">
      <c r="A79" s="65" t="s">
        <v>8</v>
      </c>
      <c r="B79" s="66"/>
      <c r="C79" s="11"/>
      <c r="D79" s="11"/>
      <c r="E79" s="11"/>
      <c r="F79" s="11"/>
      <c r="G79" s="11"/>
      <c r="H79" s="396" t="s">
        <v>872</v>
      </c>
      <c r="I79" s="122" t="str">
        <f>IF(_epmOfflineCondition_,"T3",_xll.EVPRO($B$1,$H79,"STYLE"))</f>
        <v>T3</v>
      </c>
      <c r="J79" s="122" t="str">
        <f>IF(_epmOfflineCondition_,"Y",_xll.EVPRO($B$1,$H79,"CALC"))</f>
        <v>Y</v>
      </c>
      <c r="K79" s="179" t="str">
        <f t="shared" si="26"/>
        <v>&gt;</v>
      </c>
      <c r="L79" s="90" t="str">
        <f>IF(_epmOfflineCondition_,"",_xll.EVPRO($B$1,H79,"JDEID"))</f>
        <v/>
      </c>
      <c r="M79" s="90" t="str">
        <f>IF(_epmOfflineCondition_,"",IF(AND(I79="N",J79="N"),_xll.EVPRO($B$1,H79,"PSFTID"),""))</f>
        <v/>
      </c>
      <c r="N79" s="90" t="str">
        <f>IF(_epmOfflineCondition_,"F&amp;B Venues",IF(_xll.EVDES(H79,$B$1)="#NODATA","",_xll.EVDES(H79,$B$1)))</f>
        <v>F&amp;B Venues</v>
      </c>
      <c r="O79" s="216">
        <v>29317.54</v>
      </c>
      <c r="P79" s="216">
        <v>32364.9</v>
      </c>
      <c r="Q79" s="216">
        <v>16074.71</v>
      </c>
      <c r="R79" s="216"/>
      <c r="S79" s="216"/>
      <c r="T79" s="216">
        <v>67.680000000000007</v>
      </c>
      <c r="U79" s="216">
        <v>550.82000000000005</v>
      </c>
      <c r="V79" s="216">
        <v>37.26</v>
      </c>
      <c r="W79" s="216">
        <v>1848</v>
      </c>
      <c r="X79" s="216">
        <v>2550.14</v>
      </c>
      <c r="Y79" s="216">
        <v>3494.1</v>
      </c>
      <c r="Z79" s="216">
        <v>6729.27</v>
      </c>
      <c r="AA79" s="251">
        <f t="shared" si="27"/>
        <v>93034.42</v>
      </c>
      <c r="AB79" s="218">
        <f t="shared" si="28"/>
        <v>0.15171065737851711</v>
      </c>
      <c r="AC79" s="140"/>
      <c r="AD79" s="216">
        <v>299973.48571428598</v>
      </c>
      <c r="AE79" s="218">
        <f t="shared" si="29"/>
        <v>8.8429267170062803E-2</v>
      </c>
      <c r="AF79" s="233">
        <f t="shared" si="30"/>
        <v>-206939.065714286</v>
      </c>
      <c r="AG79" s="216">
        <v>204642.61</v>
      </c>
      <c r="AH79" s="218">
        <f t="shared" si="31"/>
        <v>0.19904666771687474</v>
      </c>
      <c r="AI79" s="233">
        <f t="shared" si="32"/>
        <v>-111608.18999999999</v>
      </c>
      <c r="AJ79" s="221">
        <f t="shared" si="33"/>
        <v>5.4114948813401584</v>
      </c>
      <c r="AK79" s="222">
        <f t="shared" si="34"/>
        <v>3.8371557218876124</v>
      </c>
      <c r="AL79" s="224">
        <f t="shared" si="35"/>
        <v>5.9782831351698746</v>
      </c>
      <c r="AM79" s="425" t="str">
        <f t="shared" si="36"/>
        <v>6.33 pts.</v>
      </c>
      <c r="AN79" s="426" t="str">
        <f t="shared" si="37"/>
        <v>-4.73 pts.</v>
      </c>
      <c r="AO79" s="11"/>
      <c r="AP79" s="11"/>
    </row>
    <row r="80" spans="1:42" x14ac:dyDescent="0.35">
      <c r="A80" s="11"/>
      <c r="B80" s="11"/>
      <c r="C80" s="11"/>
      <c r="D80" s="11"/>
      <c r="E80" s="11"/>
      <c r="F80" s="11"/>
      <c r="G80" s="11"/>
      <c r="H80" s="396" t="s">
        <v>852</v>
      </c>
      <c r="I80" s="188" t="str">
        <f>IF(_epmOfflineCondition_,"T2",_xll.EVPRO($B$1,$H80,"STYLE"))</f>
        <v>T2</v>
      </c>
      <c r="J80" s="188" t="str">
        <f>IF(_epmOfflineCondition_,"Y",_xll.EVPRO($B$1,$H80,"CALC"))</f>
        <v>Y</v>
      </c>
      <c r="K80" s="189" t="str">
        <f t="shared" si="26"/>
        <v/>
      </c>
      <c r="L80" s="190" t="str">
        <f>IF(_epmOfflineCondition_,"",_xll.EVPRO($B$1,H80,"JDEID"))</f>
        <v/>
      </c>
      <c r="M80" s="190" t="str">
        <f>IF(_epmOfflineCondition_,"",IF(AND(I80="N",J80="N"),_xll.EVPRO($B$1,H80,"PSFTID"),""))</f>
        <v/>
      </c>
      <c r="N80" s="190" t="str">
        <f>IF(_epmOfflineCondition_,"Total Salaries and Wages",IF(_xll.EVDES(H80,$B$1)="#NODATA","",_xll.EVDES(H80,$B$1)))</f>
        <v>Total Salaries and Wages</v>
      </c>
      <c r="O80" s="225">
        <v>72048.210000000006</v>
      </c>
      <c r="P80" s="225">
        <v>71593.100000000006</v>
      </c>
      <c r="Q80" s="225">
        <v>42117.69</v>
      </c>
      <c r="R80" s="225"/>
      <c r="S80" s="225"/>
      <c r="T80" s="225">
        <v>4451.33</v>
      </c>
      <c r="U80" s="225">
        <v>5948.03</v>
      </c>
      <c r="V80" s="225">
        <v>7110.2</v>
      </c>
      <c r="W80" s="225">
        <v>8594.5</v>
      </c>
      <c r="X80" s="225">
        <v>10903.08</v>
      </c>
      <c r="Y80" s="225">
        <v>16797.77</v>
      </c>
      <c r="Z80" s="225">
        <v>21611.89</v>
      </c>
      <c r="AA80" s="225">
        <f t="shared" si="27"/>
        <v>261175.8</v>
      </c>
      <c r="AB80" s="226">
        <f t="shared" si="28"/>
        <v>0.42589777320437</v>
      </c>
      <c r="AC80" s="227"/>
      <c r="AD80" s="225">
        <v>836038.48822951701</v>
      </c>
      <c r="AE80" s="226">
        <f t="shared" si="29"/>
        <v>0.2464560181512819</v>
      </c>
      <c r="AF80" s="228">
        <f t="shared" si="30"/>
        <v>-574862.68822951708</v>
      </c>
      <c r="AG80" s="225">
        <v>580631.89</v>
      </c>
      <c r="AH80" s="226">
        <f t="shared" si="31"/>
        <v>0.56475453902122819</v>
      </c>
      <c r="AI80" s="228">
        <f t="shared" si="32"/>
        <v>-319456.09000000003</v>
      </c>
      <c r="AJ80" s="229">
        <f t="shared" si="33"/>
        <v>15.19170544439274</v>
      </c>
      <c r="AK80" s="230">
        <f t="shared" si="34"/>
        <v>10.694311402854035</v>
      </c>
      <c r="AL80" s="232">
        <f t="shared" si="35"/>
        <v>16.962165580906195</v>
      </c>
      <c r="AM80" s="427" t="str">
        <f t="shared" si="36"/>
        <v>17.94 pts.</v>
      </c>
      <c r="AN80" s="428" t="str">
        <f t="shared" si="37"/>
        <v>-13.89 pts.</v>
      </c>
      <c r="AO80" s="11"/>
      <c r="AP80" s="11"/>
    </row>
    <row r="81" spans="1:42" x14ac:dyDescent="0.35">
      <c r="A81" s="62" t="s">
        <v>9</v>
      </c>
      <c r="B81" s="63" t="s">
        <v>10</v>
      </c>
      <c r="C81" s="11"/>
      <c r="D81" s="11"/>
      <c r="E81" s="11"/>
      <c r="F81" s="11"/>
      <c r="G81" s="11"/>
      <c r="H81" s="396" t="s">
        <v>873</v>
      </c>
      <c r="I81" s="122" t="str">
        <f>IF(_epmOfflineCondition_,"T3",_xll.EVPRO($B$1,$H81,"STYLE"))</f>
        <v>T3</v>
      </c>
      <c r="J81" s="122" t="str">
        <f>IF(_epmOfflineCondition_,"Y",_xll.EVPRO($B$1,$H81,"CALC"))</f>
        <v>Y</v>
      </c>
      <c r="K81" s="179" t="str">
        <f t="shared" si="26"/>
        <v>&gt;</v>
      </c>
      <c r="L81" s="90" t="str">
        <f>IF(_epmOfflineCondition_,"",_xll.EVPRO($B$1,H81,"JDEID"))</f>
        <v/>
      </c>
      <c r="M81" s="90" t="str">
        <f>IF(_epmOfflineCondition_,"",IF(AND(I81="N",J81="N"),_xll.EVPRO($B$1,H81,"PSFTID"),""))</f>
        <v/>
      </c>
      <c r="N81" s="90" t="str">
        <f>IF(_epmOfflineCondition_,"Service Charge Distribution",IF(_xll.EVDES(H81,$B$1)="#NODATA","",_xll.EVDES(H81,$B$1)))</f>
        <v>Service Charge Distribution</v>
      </c>
      <c r="O81" s="216">
        <v>25171.48</v>
      </c>
      <c r="P81" s="216">
        <v>30742.82</v>
      </c>
      <c r="Q81" s="216">
        <v>11324.73</v>
      </c>
      <c r="R81" s="216"/>
      <c r="S81" s="216">
        <v>-2005.03</v>
      </c>
      <c r="T81" s="216"/>
      <c r="U81" s="216">
        <v>601.38</v>
      </c>
      <c r="V81" s="216">
        <v>944.1</v>
      </c>
      <c r="W81" s="216">
        <v>1833.57</v>
      </c>
      <c r="X81" s="216">
        <v>3054.95</v>
      </c>
      <c r="Y81" s="216">
        <v>3736.1</v>
      </c>
      <c r="Z81" s="216">
        <v>7379.86</v>
      </c>
      <c r="AA81" s="216">
        <f t="shared" si="27"/>
        <v>82783.960000000021</v>
      </c>
      <c r="AB81" s="218">
        <f t="shared" si="28"/>
        <v>0.13499529520361248</v>
      </c>
      <c r="AC81" s="140"/>
      <c r="AD81" s="216">
        <v>487906.61365800002</v>
      </c>
      <c r="AE81" s="218">
        <f t="shared" si="29"/>
        <v>0.14383012615421012</v>
      </c>
      <c r="AF81" s="233">
        <f t="shared" si="30"/>
        <v>-405122.653658</v>
      </c>
      <c r="AG81" s="216">
        <v>133139.04</v>
      </c>
      <c r="AH81" s="218">
        <f t="shared" si="31"/>
        <v>0.12949835938382381</v>
      </c>
      <c r="AI81" s="233">
        <f t="shared" si="32"/>
        <v>-50355.079999999987</v>
      </c>
      <c r="AJ81" s="234">
        <f t="shared" si="33"/>
        <v>4.8152605863192193</v>
      </c>
      <c r="AK81" s="235">
        <f t="shared" si="34"/>
        <v>6.2411304448679905</v>
      </c>
      <c r="AL81" s="237">
        <f t="shared" si="35"/>
        <v>3.8894288802547399</v>
      </c>
      <c r="AM81" s="429" t="str">
        <f t="shared" si="36"/>
        <v>-0.88 pts.</v>
      </c>
      <c r="AN81" s="430" t="str">
        <f t="shared" si="37"/>
        <v>0.55 pts.</v>
      </c>
      <c r="AO81" s="11"/>
      <c r="AP81" s="11"/>
    </row>
    <row r="82" spans="1:42" x14ac:dyDescent="0.35">
      <c r="A82" s="65" t="s">
        <v>11</v>
      </c>
      <c r="B82" s="66" t="s">
        <v>21</v>
      </c>
      <c r="C82" s="11"/>
      <c r="D82" s="11"/>
      <c r="E82" s="11"/>
      <c r="F82" s="11"/>
      <c r="G82" s="11"/>
      <c r="H82" s="396" t="s">
        <v>874</v>
      </c>
      <c r="I82" s="122" t="str">
        <f>IF(_epmOfflineCondition_,"T3",_xll.EVPRO($B$1,$H82,"STYLE"))</f>
        <v>T3</v>
      </c>
      <c r="J82" s="122" t="str">
        <f>IF(_epmOfflineCondition_,"Y",_xll.EVPRO($B$1,$H82,"CALC"))</f>
        <v>Y</v>
      </c>
      <c r="K82" s="179" t="str">
        <f t="shared" si="26"/>
        <v>&gt;</v>
      </c>
      <c r="L82" s="90" t="str">
        <f>IF(_epmOfflineCondition_,"",_xll.EVPRO($B$1,H82,"JDEID"))</f>
        <v/>
      </c>
      <c r="M82" s="90" t="str">
        <f>IF(_epmOfflineCondition_,"",IF(AND(I82="N",J82="N"),_xll.EVPRO($B$1,H82,"PSFTID"),""))</f>
        <v/>
      </c>
      <c r="N82" s="90" t="str">
        <f>IF(_epmOfflineCondition_,"Contracted &amp; Leased Labor",IF(_xll.EVDES(H82,$B$1)="#NODATA","",_xll.EVDES(H82,$B$1)))</f>
        <v>Contracted &amp; Leased Labor</v>
      </c>
      <c r="O82" s="216">
        <v>6789.24</v>
      </c>
      <c r="P82" s="216">
        <v>39113.230000000003</v>
      </c>
      <c r="Q82" s="216">
        <v>42116.6</v>
      </c>
      <c r="R82" s="216"/>
      <c r="S82" s="216"/>
      <c r="T82" s="216"/>
      <c r="U82" s="216"/>
      <c r="V82" s="216"/>
      <c r="W82" s="216"/>
      <c r="X82" s="216">
        <v>350</v>
      </c>
      <c r="Y82" s="216">
        <v>603.08000000000004</v>
      </c>
      <c r="Z82" s="216">
        <v>0</v>
      </c>
      <c r="AA82" s="251">
        <f t="shared" si="27"/>
        <v>88972.150000000009</v>
      </c>
      <c r="AB82" s="218">
        <f t="shared" si="28"/>
        <v>0.145086338635529</v>
      </c>
      <c r="AC82" s="140"/>
      <c r="AD82" s="216"/>
      <c r="AE82" s="218" t="str">
        <f t="shared" si="29"/>
        <v/>
      </c>
      <c r="AF82" s="233">
        <f t="shared" si="30"/>
        <v>88972.150000000009</v>
      </c>
      <c r="AG82" s="216"/>
      <c r="AH82" s="218" t="str">
        <f t="shared" si="31"/>
        <v/>
      </c>
      <c r="AI82" s="233">
        <f t="shared" si="32"/>
        <v>88972.150000000009</v>
      </c>
      <c r="AJ82" s="212">
        <f t="shared" si="33"/>
        <v>5.1752064913913456</v>
      </c>
      <c r="AK82" s="213">
        <f t="shared" si="34"/>
        <v>0</v>
      </c>
      <c r="AL82" s="215">
        <f t="shared" si="35"/>
        <v>0</v>
      </c>
      <c r="AM82" s="423">
        <f t="shared" si="36"/>
        <v>0</v>
      </c>
      <c r="AN82" s="424">
        <f t="shared" si="37"/>
        <v>0</v>
      </c>
      <c r="AO82" s="11"/>
      <c r="AP82" s="11"/>
    </row>
    <row r="83" spans="1:42" x14ac:dyDescent="0.35">
      <c r="A83" s="65" t="s">
        <v>12</v>
      </c>
      <c r="B83" s="66" t="s">
        <v>22</v>
      </c>
      <c r="C83" s="11"/>
      <c r="D83" s="11"/>
      <c r="E83" s="11"/>
      <c r="F83" s="11"/>
      <c r="G83" s="11"/>
      <c r="H83" s="396" t="s">
        <v>853</v>
      </c>
      <c r="I83" s="122" t="str">
        <f>IF(_epmOfflineCondition_,"T3",_xll.EVPRO($B$1,$H83,"STYLE"))</f>
        <v>T3</v>
      </c>
      <c r="J83" s="122" t="str">
        <f>IF(_epmOfflineCondition_,"Y",_xll.EVPRO($B$1,$H83,"CALC"))</f>
        <v>Y</v>
      </c>
      <c r="K83" s="179" t="str">
        <f t="shared" si="26"/>
        <v>&gt;</v>
      </c>
      <c r="L83" s="90" t="str">
        <f>IF(_epmOfflineCondition_,"",_xll.EVPRO($B$1,H83,"JDEID"))</f>
        <v/>
      </c>
      <c r="M83" s="90" t="str">
        <f>IF(_epmOfflineCondition_,"",IF(AND(I83="N",J83="N"),_xll.EVPRO($B$1,H83,"PSFTID"),""))</f>
        <v/>
      </c>
      <c r="N83" s="90" t="str">
        <f>IF(_epmOfflineCondition_,"Bonuses &amp; Incentives",IF(_xll.EVDES(H83,$B$1)="#NODATA","",_xll.EVDES(H83,$B$1)))</f>
        <v>Bonuses &amp; Incentives</v>
      </c>
      <c r="O83" s="216">
        <v>4740.8599999999997</v>
      </c>
      <c r="P83" s="216">
        <v>4579.6099999999997</v>
      </c>
      <c r="Q83" s="216">
        <v>5090.37</v>
      </c>
      <c r="R83" s="216"/>
      <c r="S83" s="216"/>
      <c r="T83" s="216"/>
      <c r="U83" s="216"/>
      <c r="V83" s="216"/>
      <c r="W83" s="216"/>
      <c r="X83" s="216">
        <v>-10921.35</v>
      </c>
      <c r="Y83" s="216"/>
      <c r="Z83" s="216">
        <v>-1730.34</v>
      </c>
      <c r="AA83" s="251">
        <f t="shared" si="27"/>
        <v>1759.1499999999999</v>
      </c>
      <c r="AB83" s="218">
        <f t="shared" si="28"/>
        <v>2.8686351022279531E-3</v>
      </c>
      <c r="AC83" s="140"/>
      <c r="AD83" s="216">
        <v>55793.869067738102</v>
      </c>
      <c r="AE83" s="218">
        <f t="shared" si="29"/>
        <v>1.6447490158986233E-2</v>
      </c>
      <c r="AF83" s="233">
        <f t="shared" si="30"/>
        <v>-54034.7190677381</v>
      </c>
      <c r="AG83" s="216">
        <v>56623.839999999997</v>
      </c>
      <c r="AH83" s="218">
        <f t="shared" si="31"/>
        <v>5.5075463830985542E-2</v>
      </c>
      <c r="AI83" s="233">
        <f t="shared" si="32"/>
        <v>-54864.689999999995</v>
      </c>
      <c r="AJ83" s="221">
        <f t="shared" si="33"/>
        <v>0.10232375523499301</v>
      </c>
      <c r="AK83" s="222">
        <f t="shared" si="34"/>
        <v>0.71369562356398508</v>
      </c>
      <c r="AL83" s="224">
        <f t="shared" si="35"/>
        <v>1.6541684438082438</v>
      </c>
      <c r="AM83" s="425" t="str">
        <f t="shared" si="36"/>
        <v>-1.36 pts.</v>
      </c>
      <c r="AN83" s="426" t="str">
        <f t="shared" si="37"/>
        <v>-5.22 pts.</v>
      </c>
      <c r="AO83" s="11"/>
      <c r="AP83" s="11"/>
    </row>
    <row r="84" spans="1:42" x14ac:dyDescent="0.35">
      <c r="A84" s="65" t="s">
        <v>13</v>
      </c>
      <c r="B84" s="66" t="s">
        <v>737</v>
      </c>
      <c r="C84" s="11"/>
      <c r="D84" s="11"/>
      <c r="E84" s="11"/>
      <c r="F84" s="11"/>
      <c r="G84" s="11"/>
      <c r="H84" s="396" t="s">
        <v>854</v>
      </c>
      <c r="I84" s="188" t="str">
        <f>IF(_epmOfflineCondition_,"T2",_xll.EVPRO($B$1,$H84,"STYLE"))</f>
        <v>T2</v>
      </c>
      <c r="J84" s="188" t="str">
        <f>IF(_epmOfflineCondition_,"Y",_xll.EVPRO($B$1,$H84,"CALC"))</f>
        <v>Y</v>
      </c>
      <c r="K84" s="189" t="str">
        <f t="shared" si="26"/>
        <v/>
      </c>
      <c r="L84" s="190" t="str">
        <f>IF(_epmOfflineCondition_,"",_xll.EVPRO($B$1,H84,"JDEID"))</f>
        <v/>
      </c>
      <c r="M84" s="190" t="str">
        <f>IF(_epmOfflineCondition_,"",IF(AND(I84="N",J84="N"),_xll.EVPRO($B$1,H84,"PSFTID"),""))</f>
        <v/>
      </c>
      <c r="N84" s="190" t="str">
        <f>IF(_epmOfflineCondition_,"Total Labor Expense",IF(_xll.EVDES(H84,$B$1)="#NODATA","",_xll.EVDES(H84,$B$1)))</f>
        <v>Total Labor Expense</v>
      </c>
      <c r="O84" s="225">
        <v>108749.79</v>
      </c>
      <c r="P84" s="225">
        <v>146028.76</v>
      </c>
      <c r="Q84" s="225">
        <v>100649.39</v>
      </c>
      <c r="R84" s="225"/>
      <c r="S84" s="225">
        <v>-2005.03</v>
      </c>
      <c r="T84" s="225">
        <v>4451.33</v>
      </c>
      <c r="U84" s="225">
        <v>6549.41</v>
      </c>
      <c r="V84" s="225">
        <v>8054.3</v>
      </c>
      <c r="W84" s="225">
        <v>10428.07</v>
      </c>
      <c r="X84" s="225">
        <v>3386.68</v>
      </c>
      <c r="Y84" s="225">
        <v>21136.95</v>
      </c>
      <c r="Z84" s="225">
        <v>27261.41</v>
      </c>
      <c r="AA84" s="225">
        <f t="shared" si="27"/>
        <v>434691.05999999994</v>
      </c>
      <c r="AB84" s="226">
        <f t="shared" si="28"/>
        <v>0.70884804214573927</v>
      </c>
      <c r="AC84" s="227"/>
      <c r="AD84" s="225">
        <v>1379738.9709552501</v>
      </c>
      <c r="AE84" s="226">
        <f t="shared" si="29"/>
        <v>0.4067336344644768</v>
      </c>
      <c r="AF84" s="228">
        <f t="shared" si="30"/>
        <v>-945047.91095525015</v>
      </c>
      <c r="AG84" s="225">
        <v>770394.77</v>
      </c>
      <c r="AH84" s="226">
        <f t="shared" si="31"/>
        <v>0.74932836223603749</v>
      </c>
      <c r="AI84" s="228">
        <f t="shared" si="32"/>
        <v>-335703.71000000008</v>
      </c>
      <c r="AJ84" s="229">
        <f t="shared" si="33"/>
        <v>25.284496277338292</v>
      </c>
      <c r="AK84" s="230">
        <f t="shared" si="34"/>
        <v>17.649137471285947</v>
      </c>
      <c r="AL84" s="232">
        <f t="shared" si="35"/>
        <v>22.505762904969181</v>
      </c>
      <c r="AM84" s="427" t="str">
        <f t="shared" si="36"/>
        <v>30.21 pts.</v>
      </c>
      <c r="AN84" s="428" t="str">
        <f t="shared" si="37"/>
        <v>-4.05 pts.</v>
      </c>
      <c r="AO84" s="11"/>
      <c r="AP84" s="11"/>
    </row>
    <row r="85" spans="1:42" x14ac:dyDescent="0.35">
      <c r="A85" s="65" t="s">
        <v>14</v>
      </c>
      <c r="B85" s="66"/>
      <c r="C85" s="11"/>
      <c r="D85" s="11"/>
      <c r="E85" s="11"/>
      <c r="F85" s="11"/>
      <c r="G85" s="11"/>
      <c r="H85" s="396" t="s">
        <v>855</v>
      </c>
      <c r="I85" s="122" t="str">
        <f>IF(_epmOfflineCondition_,"T3",_xll.EVPRO($B$1,$H85,"STYLE"))</f>
        <v>T3</v>
      </c>
      <c r="J85" s="122" t="str">
        <f>IF(_epmOfflineCondition_,"Y",_xll.EVPRO($B$1,$H85,"CALC"))</f>
        <v>Y</v>
      </c>
      <c r="K85" s="179" t="str">
        <f t="shared" si="26"/>
        <v>&gt;</v>
      </c>
      <c r="L85" s="90" t="str">
        <f>IF(_epmOfflineCondition_,"",_xll.EVPRO($B$1,H85,"JDEID"))</f>
        <v/>
      </c>
      <c r="M85" s="90" t="str">
        <f>IF(_epmOfflineCondition_,"",IF(AND(I85="N",J85="N"),_xll.EVPRO($B$1,H85,"PSFTID"),""))</f>
        <v/>
      </c>
      <c r="N85" s="90" t="str">
        <f>IF(_epmOfflineCondition_,"Payroll Taxes",IF(_xll.EVDES(H85,$B$1)="#NODATA","",_xll.EVDES(H85,$B$1)))</f>
        <v>Payroll Taxes</v>
      </c>
      <c r="O85" s="216">
        <v>9114.01</v>
      </c>
      <c r="P85" s="216">
        <v>12944.69</v>
      </c>
      <c r="Q85" s="216">
        <v>6360.64</v>
      </c>
      <c r="R85" s="216"/>
      <c r="S85" s="216"/>
      <c r="T85" s="216">
        <v>143.30000000000001</v>
      </c>
      <c r="U85" s="216">
        <v>464.31</v>
      </c>
      <c r="V85" s="216">
        <v>615.4</v>
      </c>
      <c r="W85" s="216">
        <v>806.98</v>
      </c>
      <c r="X85" s="216">
        <v>495.3</v>
      </c>
      <c r="Y85" s="216">
        <v>1643.37</v>
      </c>
      <c r="Z85" s="216">
        <v>1969.07</v>
      </c>
      <c r="AA85" s="216">
        <f t="shared" si="27"/>
        <v>34557.07</v>
      </c>
      <c r="AB85" s="218">
        <f t="shared" si="28"/>
        <v>5.635200183733538E-2</v>
      </c>
      <c r="AC85" s="140"/>
      <c r="AD85" s="216">
        <v>113311.67191758699</v>
      </c>
      <c r="AE85" s="218">
        <f t="shared" si="29"/>
        <v>3.3403179236416114E-2</v>
      </c>
      <c r="AF85" s="233">
        <f t="shared" si="30"/>
        <v>-78754.601917586988</v>
      </c>
      <c r="AG85" s="216">
        <v>58815.28</v>
      </c>
      <c r="AH85" s="218">
        <f t="shared" si="31"/>
        <v>5.7206979010065148E-2</v>
      </c>
      <c r="AI85" s="233">
        <f t="shared" si="32"/>
        <v>-24258.21</v>
      </c>
      <c r="AJ85" s="234">
        <f t="shared" si="33"/>
        <v>2.0100668915774778</v>
      </c>
      <c r="AK85" s="235">
        <f t="shared" si="34"/>
        <v>1.4494432040215284</v>
      </c>
      <c r="AL85" s="237">
        <f t="shared" si="35"/>
        <v>1.7181876077239928</v>
      </c>
      <c r="AM85" s="429" t="str">
        <f t="shared" si="36"/>
        <v>2.29 pts.</v>
      </c>
      <c r="AN85" s="430" t="str">
        <f t="shared" si="37"/>
        <v>-0.09 pts.</v>
      </c>
      <c r="AO85" s="11"/>
      <c r="AP85" s="11"/>
    </row>
    <row r="86" spans="1:42" x14ac:dyDescent="0.35">
      <c r="A86" s="65" t="s">
        <v>15</v>
      </c>
      <c r="B86" s="66"/>
      <c r="C86" s="11"/>
      <c r="D86" s="11"/>
      <c r="E86" s="11"/>
      <c r="F86" s="11"/>
      <c r="G86" s="11"/>
      <c r="H86" s="396" t="s">
        <v>856</v>
      </c>
      <c r="I86" s="122" t="str">
        <f>IF(_epmOfflineCondition_,"T3",_xll.EVPRO($B$1,$H86,"STYLE"))</f>
        <v>T3</v>
      </c>
      <c r="J86" s="122" t="str">
        <f>IF(_epmOfflineCondition_,"Y",_xll.EVPRO($B$1,$H86,"CALC"))</f>
        <v>Y</v>
      </c>
      <c r="K86" s="179" t="str">
        <f t="shared" si="26"/>
        <v>&gt;</v>
      </c>
      <c r="L86" s="90" t="str">
        <f>IF(_epmOfflineCondition_,"",_xll.EVPRO($B$1,H86,"JDEID"))</f>
        <v/>
      </c>
      <c r="M86" s="90" t="str">
        <f>IF(_epmOfflineCondition_,"",IF(AND(I86="N",J86="N"),_xll.EVPRO($B$1,H86,"PSFTID"),""))</f>
        <v/>
      </c>
      <c r="N86" s="90" t="str">
        <f>IF(_epmOfflineCondition_,"Supplemental Pay",IF(_xll.EVDES(H86,$B$1)="#NODATA","",_xll.EVDES(H86,$B$1)))</f>
        <v>Supplemental Pay</v>
      </c>
      <c r="O86" s="216">
        <v>2574.7800000000002</v>
      </c>
      <c r="P86" s="216">
        <v>-1300.1300000000001</v>
      </c>
      <c r="Q86" s="216">
        <v>131.97999999999999</v>
      </c>
      <c r="R86" s="216">
        <v>25.87</v>
      </c>
      <c r="S86" s="216"/>
      <c r="T86" s="216"/>
      <c r="U86" s="216">
        <v>281.31</v>
      </c>
      <c r="V86" s="216"/>
      <c r="W86" s="216">
        <v>593.16</v>
      </c>
      <c r="X86" s="216">
        <v>-0.16</v>
      </c>
      <c r="Y86" s="216">
        <v>602.74</v>
      </c>
      <c r="Z86" s="216">
        <v>900.74</v>
      </c>
      <c r="AA86" s="251">
        <f t="shared" si="27"/>
        <v>3810.29</v>
      </c>
      <c r="AB86" s="218">
        <f t="shared" si="28"/>
        <v>6.2134165043732188E-3</v>
      </c>
      <c r="AC86" s="140"/>
      <c r="AD86" s="216">
        <v>30498.600348572902</v>
      </c>
      <c r="AE86" s="218">
        <f t="shared" si="29"/>
        <v>8.9906908676111799E-3</v>
      </c>
      <c r="AF86" s="233">
        <f t="shared" si="30"/>
        <v>-26688.310348572901</v>
      </c>
      <c r="AG86" s="216">
        <v>27483.3</v>
      </c>
      <c r="AH86" s="218">
        <f t="shared" si="31"/>
        <v>2.6731770489357928E-2</v>
      </c>
      <c r="AI86" s="233">
        <f t="shared" si="32"/>
        <v>-23673.01</v>
      </c>
      <c r="AJ86" s="212">
        <f t="shared" si="33"/>
        <v>0.22163157282456958</v>
      </c>
      <c r="AK86" s="213">
        <f t="shared" si="34"/>
        <v>0.39012740928894929</v>
      </c>
      <c r="AL86" s="215">
        <f t="shared" si="35"/>
        <v>0.80287750869095265</v>
      </c>
      <c r="AM86" s="423" t="str">
        <f t="shared" si="36"/>
        <v>-0.28 pts.</v>
      </c>
      <c r="AN86" s="424" t="str">
        <f t="shared" si="37"/>
        <v>-2.05 pts.</v>
      </c>
      <c r="AO86" s="11"/>
      <c r="AP86" s="11"/>
    </row>
    <row r="87" spans="1:42" x14ac:dyDescent="0.35">
      <c r="A87" s="65" t="s">
        <v>16</v>
      </c>
      <c r="B87" s="66" t="s">
        <v>78</v>
      </c>
      <c r="C87" s="11"/>
      <c r="D87" s="11"/>
      <c r="E87" s="11"/>
      <c r="F87" s="11"/>
      <c r="G87" s="11"/>
      <c r="H87" s="396" t="s">
        <v>857</v>
      </c>
      <c r="I87" s="122" t="str">
        <f>IF(_epmOfflineCondition_,"T3",_xll.EVPRO($B$1,$H87,"STYLE"))</f>
        <v>T3</v>
      </c>
      <c r="J87" s="122" t="str">
        <f>IF(_epmOfflineCondition_,"Y",_xll.EVPRO($B$1,$H87,"CALC"))</f>
        <v>Y</v>
      </c>
      <c r="K87" s="179" t="str">
        <f t="shared" si="26"/>
        <v>&gt;</v>
      </c>
      <c r="L87" s="90" t="str">
        <f>IF(_epmOfflineCondition_,"",_xll.EVPRO($B$1,H87,"JDEID"))</f>
        <v/>
      </c>
      <c r="M87" s="90" t="str">
        <f>IF(_epmOfflineCondition_,"",IF(AND(I87="N",J87="N"),_xll.EVPRO($B$1,H87,"PSFTID"),""))</f>
        <v/>
      </c>
      <c r="N87" s="90" t="str">
        <f>IF(_epmOfflineCondition_,"Employee Benefits",IF(_xll.EVDES(H87,$B$1)="#NODATA","",_xll.EVDES(H87,$B$1)))</f>
        <v>Employee Benefits</v>
      </c>
      <c r="O87" s="216">
        <v>5862.28</v>
      </c>
      <c r="P87" s="216">
        <v>6348.08</v>
      </c>
      <c r="Q87" s="216">
        <v>2006.67</v>
      </c>
      <c r="R87" s="216">
        <v>6773.56</v>
      </c>
      <c r="S87" s="216">
        <v>4014.45</v>
      </c>
      <c r="T87" s="216">
        <v>-2486.61</v>
      </c>
      <c r="U87" s="216">
        <v>2175.44</v>
      </c>
      <c r="V87" s="216">
        <v>3382.05</v>
      </c>
      <c r="W87" s="216">
        <v>1104.52</v>
      </c>
      <c r="X87" s="216">
        <v>2318.7800000000002</v>
      </c>
      <c r="Y87" s="216">
        <v>2195.8200000000002</v>
      </c>
      <c r="Z87" s="216">
        <v>1787.51</v>
      </c>
      <c r="AA87" s="251">
        <f t="shared" si="27"/>
        <v>35482.550000000003</v>
      </c>
      <c r="AB87" s="218">
        <f t="shared" si="28"/>
        <v>5.7861176390051144E-2</v>
      </c>
      <c r="AC87" s="140"/>
      <c r="AD87" s="216">
        <v>77305.569912336403</v>
      </c>
      <c r="AE87" s="218">
        <f t="shared" si="29"/>
        <v>2.2788930425747967E-2</v>
      </c>
      <c r="AF87" s="233">
        <f t="shared" si="30"/>
        <v>-41823.0199123364</v>
      </c>
      <c r="AG87" s="216">
        <v>43859.19</v>
      </c>
      <c r="AH87" s="218">
        <f t="shared" si="31"/>
        <v>4.2659862568510419E-2</v>
      </c>
      <c r="AI87" s="233">
        <f t="shared" si="32"/>
        <v>-8376.64</v>
      </c>
      <c r="AJ87" s="221">
        <f t="shared" si="33"/>
        <v>2.063898906468125</v>
      </c>
      <c r="AK87" s="222">
        <f t="shared" si="34"/>
        <v>0.98886576330761877</v>
      </c>
      <c r="AL87" s="224">
        <f t="shared" si="35"/>
        <v>1.2812710700826737</v>
      </c>
      <c r="AM87" s="425" t="str">
        <f t="shared" si="36"/>
        <v>3.51 pts.</v>
      </c>
      <c r="AN87" s="426" t="str">
        <f t="shared" si="37"/>
        <v>1.52 pts.</v>
      </c>
      <c r="AO87" s="11"/>
      <c r="AP87" s="11"/>
    </row>
    <row r="88" spans="1:42" x14ac:dyDescent="0.35">
      <c r="A88" s="65" t="s">
        <v>17</v>
      </c>
      <c r="B88" s="66"/>
      <c r="C88" s="11"/>
      <c r="D88" s="11"/>
      <c r="E88" s="11"/>
      <c r="F88" s="11"/>
      <c r="G88" s="11"/>
      <c r="H88" s="396" t="s">
        <v>858</v>
      </c>
      <c r="I88" s="188" t="str">
        <f>IF(_epmOfflineCondition_,"T2",_xll.EVPRO($B$1,$H88,"STYLE"))</f>
        <v>T2</v>
      </c>
      <c r="J88" s="188" t="str">
        <f>IF(_epmOfflineCondition_,"Y",_xll.EVPRO($B$1,$H88,"CALC"))</f>
        <v>Y</v>
      </c>
      <c r="K88" s="189" t="str">
        <f t="shared" si="26"/>
        <v/>
      </c>
      <c r="L88" s="190" t="str">
        <f>IF(_epmOfflineCondition_,"",_xll.EVPRO($B$1,H88,"JDEID"))</f>
        <v/>
      </c>
      <c r="M88" s="190" t="str">
        <f>IF(_epmOfflineCondition_,"",IF(AND(I88="N",J88="N"),_xll.EVPRO($B$1,H88,"PSFTID"),""))</f>
        <v/>
      </c>
      <c r="N88" s="190" t="str">
        <f>IF(_epmOfflineCondition_,"Total Payroll Related",IF(_xll.EVDES(H88,$B$1)="#NODATA","",_xll.EVDES(H88,$B$1)))</f>
        <v>Total Payroll Related</v>
      </c>
      <c r="O88" s="238">
        <v>17551.07</v>
      </c>
      <c r="P88" s="238">
        <v>17992.64</v>
      </c>
      <c r="Q88" s="238">
        <v>8499.2900000000009</v>
      </c>
      <c r="R88" s="238">
        <v>6799.43</v>
      </c>
      <c r="S88" s="238">
        <v>4014.45</v>
      </c>
      <c r="T88" s="238">
        <v>-2343.31</v>
      </c>
      <c r="U88" s="238">
        <v>2921.06</v>
      </c>
      <c r="V88" s="238">
        <v>3997.45</v>
      </c>
      <c r="W88" s="238">
        <v>2504.66</v>
      </c>
      <c r="X88" s="238">
        <v>2813.92</v>
      </c>
      <c r="Y88" s="238">
        <v>4441.93</v>
      </c>
      <c r="Z88" s="238">
        <v>4657.32</v>
      </c>
      <c r="AA88" s="238">
        <f t="shared" si="27"/>
        <v>73849.91</v>
      </c>
      <c r="AB88" s="239">
        <f t="shared" si="28"/>
        <v>0.12042659473175975</v>
      </c>
      <c r="AC88" s="240"/>
      <c r="AD88" s="238">
        <v>221115.842178497</v>
      </c>
      <c r="AE88" s="239">
        <f t="shared" si="29"/>
        <v>6.5182800529775473E-2</v>
      </c>
      <c r="AF88" s="241">
        <f t="shared" si="30"/>
        <v>-147265.93217849699</v>
      </c>
      <c r="AG88" s="238">
        <v>130157.77</v>
      </c>
      <c r="AH88" s="239">
        <f t="shared" si="31"/>
        <v>0.12659861206793349</v>
      </c>
      <c r="AI88" s="241">
        <f t="shared" si="32"/>
        <v>-56307.86</v>
      </c>
      <c r="AJ88" s="242">
        <f t="shared" si="33"/>
        <v>4.2955973708701727</v>
      </c>
      <c r="AK88" s="243">
        <f t="shared" si="34"/>
        <v>2.8284363766181051</v>
      </c>
      <c r="AL88" s="245">
        <f t="shared" si="35"/>
        <v>3.8023361864976191</v>
      </c>
      <c r="AM88" s="431" t="str">
        <f t="shared" si="36"/>
        <v>5.52 pts.</v>
      </c>
      <c r="AN88" s="432" t="str">
        <f t="shared" si="37"/>
        <v>-0.62 pts.</v>
      </c>
      <c r="AO88" s="11"/>
      <c r="AP88" s="11"/>
    </row>
    <row r="89" spans="1:42" x14ac:dyDescent="0.35">
      <c r="A89" s="11"/>
      <c r="B89" s="11"/>
      <c r="C89" s="11"/>
      <c r="D89" s="11"/>
      <c r="E89" s="11"/>
      <c r="F89" s="11"/>
      <c r="G89" s="11"/>
      <c r="H89" s="396" t="s">
        <v>76</v>
      </c>
      <c r="I89" s="188" t="str">
        <f>IF(_epmOfflineCondition_,"T1",_xll.EVPRO($B$1,$H89,"STYLE"))</f>
        <v>T1</v>
      </c>
      <c r="J89" s="188" t="str">
        <f>IF(_epmOfflineCondition_,"Y",_xll.EVPRO($B$1,$H89,"CALC"))</f>
        <v>Y</v>
      </c>
      <c r="K89" s="189" t="str">
        <f t="shared" si="26"/>
        <v/>
      </c>
      <c r="L89" s="190" t="str">
        <f>IF(_epmOfflineCondition_,"600000",_xll.EVPRO($B$1,H89,"JDEID"))</f>
        <v>600000</v>
      </c>
      <c r="M89" s="190" t="str">
        <f>IF(_epmOfflineCondition_,"",IF(AND(I89="N",J89="N"),_xll.EVPRO($B$1,H89,"PSFTID"),""))</f>
        <v/>
      </c>
      <c r="N89" s="190" t="str">
        <f>IF(_epmOfflineCondition_,"Total Labor &amp; Related Exp",IF(_xll.EVDES(H89,$B$1)="#NODATA","",_xll.EVDES(H89,$B$1)))</f>
        <v>Total Labor &amp; Related Exp</v>
      </c>
      <c r="O89" s="238">
        <v>126300.86</v>
      </c>
      <c r="P89" s="238">
        <v>164021.4</v>
      </c>
      <c r="Q89" s="238">
        <v>109148.68</v>
      </c>
      <c r="R89" s="238">
        <v>6799.43</v>
      </c>
      <c r="S89" s="238">
        <v>2009.42</v>
      </c>
      <c r="T89" s="238">
        <v>2108.02</v>
      </c>
      <c r="U89" s="238">
        <v>9470.4699999999993</v>
      </c>
      <c r="V89" s="238">
        <v>12051.75</v>
      </c>
      <c r="W89" s="238">
        <v>12932.73</v>
      </c>
      <c r="X89" s="238">
        <v>6200.6</v>
      </c>
      <c r="Y89" s="238">
        <v>25578.880000000001</v>
      </c>
      <c r="Z89" s="238">
        <v>31918.73</v>
      </c>
      <c r="AA89" s="238">
        <f t="shared" si="27"/>
        <v>508540.96999999991</v>
      </c>
      <c r="AB89" s="239">
        <f t="shared" si="28"/>
        <v>0.82927463687749892</v>
      </c>
      <c r="AC89" s="240"/>
      <c r="AD89" s="238">
        <v>1600854.8131337501</v>
      </c>
      <c r="AE89" s="239">
        <f t="shared" si="29"/>
        <v>0.47191643499425312</v>
      </c>
      <c r="AF89" s="241">
        <f t="shared" si="30"/>
        <v>-1092313.8431337501</v>
      </c>
      <c r="AG89" s="238">
        <v>900552.54</v>
      </c>
      <c r="AH89" s="239">
        <f t="shared" si="31"/>
        <v>0.87592697430397104</v>
      </c>
      <c r="AI89" s="241">
        <f t="shared" si="32"/>
        <v>-392011.57000000012</v>
      </c>
      <c r="AJ89" s="246">
        <f t="shared" si="33"/>
        <v>29.580093648208464</v>
      </c>
      <c r="AK89" s="247">
        <f t="shared" si="34"/>
        <v>20.47757384790409</v>
      </c>
      <c r="AL89" s="249">
        <f t="shared" si="35"/>
        <v>26.308099091466801</v>
      </c>
      <c r="AM89" s="433" t="str">
        <f t="shared" si="36"/>
        <v>35.74 pts.</v>
      </c>
      <c r="AN89" s="434" t="str">
        <f t="shared" si="37"/>
        <v>-4.67 pts.</v>
      </c>
      <c r="AO89" s="11"/>
      <c r="AP89" s="11"/>
    </row>
    <row r="90" spans="1:42" x14ac:dyDescent="0.35">
      <c r="A90" s="97" t="s">
        <v>92</v>
      </c>
      <c r="B90" s="98" t="s">
        <v>93</v>
      </c>
      <c r="C90" s="98" t="s">
        <v>94</v>
      </c>
      <c r="D90" s="98" t="s">
        <v>95</v>
      </c>
      <c r="E90" s="98" t="s">
        <v>96</v>
      </c>
      <c r="F90" s="99" t="s">
        <v>97</v>
      </c>
      <c r="G90" s="11"/>
      <c r="H90" s="11"/>
      <c r="I90" s="59"/>
      <c r="J90" s="59"/>
      <c r="K90" s="11"/>
      <c r="L90" s="11"/>
      <c r="M90" s="11"/>
      <c r="N90" s="11"/>
      <c r="O90" s="413"/>
      <c r="P90" s="414"/>
      <c r="Q90" s="414"/>
      <c r="R90" s="414"/>
      <c r="S90" s="414"/>
      <c r="T90" s="414"/>
      <c r="U90" s="414"/>
      <c r="V90" s="414"/>
      <c r="W90" s="414"/>
      <c r="X90" s="414"/>
      <c r="Y90" s="414"/>
      <c r="Z90" s="414"/>
      <c r="AA90" s="414"/>
      <c r="AB90" s="131"/>
      <c r="AC90" s="11"/>
      <c r="AD90" s="413"/>
      <c r="AE90" s="130"/>
      <c r="AF90" s="131"/>
      <c r="AG90" s="413"/>
      <c r="AH90" s="130"/>
      <c r="AI90" s="131"/>
      <c r="AJ90" s="11"/>
      <c r="AK90" s="11"/>
      <c r="AL90" s="11"/>
      <c r="AM90" s="11"/>
      <c r="AN90" s="11"/>
      <c r="AO90" s="11"/>
      <c r="AP90" s="11"/>
    </row>
    <row r="91" spans="1:42" x14ac:dyDescent="0.35">
      <c r="A91" s="11"/>
      <c r="B91" s="11"/>
      <c r="C91" s="11"/>
      <c r="D91" s="11"/>
      <c r="E91" s="11"/>
      <c r="F91" s="11"/>
      <c r="G91" s="11"/>
      <c r="H91" s="11" t="s">
        <v>82</v>
      </c>
      <c r="I91" s="59" t="str">
        <f>IF(_epmOfflineCondition_,"B1",_xll.EVPRO($B$1,$H91,"STYLE"))</f>
        <v>B1</v>
      </c>
      <c r="J91" s="59" t="str">
        <f>IF(_epmOfflineCondition_,"Y",_xll.EVPRO($B$1,$H91,"CALC"))</f>
        <v>Y</v>
      </c>
      <c r="K91" s="11"/>
      <c r="L91" s="11"/>
      <c r="M91" s="11"/>
      <c r="N91" s="105" t="str">
        <f>IF(_epmOfflineCondition_,"Other Expenses",IF(_xll.EVDES(H91,$B$1)="#NODATA","",_xll.EVDES(H91,$B$1)))</f>
        <v>Other Expenses</v>
      </c>
      <c r="O91" s="119"/>
      <c r="P91" s="120"/>
      <c r="Q91" s="120"/>
      <c r="R91" s="120"/>
      <c r="S91" s="120"/>
      <c r="T91" s="120"/>
      <c r="U91" s="120"/>
      <c r="V91" s="120"/>
      <c r="W91" s="120"/>
      <c r="X91" s="120"/>
      <c r="Y91" s="120"/>
      <c r="Z91" s="120"/>
      <c r="AA91" s="120"/>
      <c r="AB91" s="121"/>
      <c r="AC91" s="11"/>
      <c r="AD91" s="119"/>
      <c r="AE91" s="120"/>
      <c r="AF91" s="121"/>
      <c r="AG91" s="119"/>
      <c r="AH91" s="120"/>
      <c r="AI91" s="121"/>
      <c r="AJ91" s="11"/>
      <c r="AK91" s="11"/>
      <c r="AL91" s="11"/>
      <c r="AM91" s="11"/>
      <c r="AN91" s="11"/>
      <c r="AO91" s="11"/>
      <c r="AP91" s="11"/>
    </row>
    <row r="92" spans="1:42" x14ac:dyDescent="0.35">
      <c r="A92" s="11" t="s">
        <v>108</v>
      </c>
      <c r="B92" s="11"/>
      <c r="C92" s="104" t="s">
        <v>101</v>
      </c>
      <c r="D92" s="11" t="s">
        <v>106</v>
      </c>
      <c r="E92" s="11"/>
      <c r="F92" s="11" t="s">
        <v>98</v>
      </c>
      <c r="G92" s="11"/>
      <c r="H92" s="396" t="s">
        <v>826</v>
      </c>
      <c r="I92" s="122" t="str">
        <f>IF(_epmOfflineCondition_,"N",_xll.EVPRO($B$1,$H92,"STYLE"))</f>
        <v>N</v>
      </c>
      <c r="J92" s="122" t="str">
        <f>IF(_epmOfflineCondition_,"N",_xll.EVPRO($B$1,$H92,"CALC"))</f>
        <v>N</v>
      </c>
      <c r="K92" s="179" t="str">
        <f t="shared" ref="K92:K116" si="38">IF(AND(I92&lt;&gt;"B1",J92="Y"),"&gt;","")</f>
        <v/>
      </c>
      <c r="L92" s="90" t="str">
        <f>IF(_epmOfflineCondition_,"701100",_xll.EVPRO($B$1,H92,"JDEID"))</f>
        <v>701100</v>
      </c>
      <c r="M92" s="90" t="str">
        <f>IF(_epmOfflineCondition_,"690015",IF(AND(I92="N",J92="N"),_xll.EVPRO($B$1,H92,"PSFTID"),""))</f>
        <v>690015</v>
      </c>
      <c r="N92" s="90" t="str">
        <f>IF(_epmOfflineCondition_,"Dues and Subscriptions",IF(_xll.EVDES(H92,$B$1)="#NODATA","",_xll.EVDES(H92,$B$1)))</f>
        <v>Dues and Subscriptions</v>
      </c>
      <c r="O92" s="210">
        <v>30</v>
      </c>
      <c r="P92" s="210">
        <v>30</v>
      </c>
      <c r="Q92" s="210">
        <v>55</v>
      </c>
      <c r="R92" s="210">
        <v>-25</v>
      </c>
      <c r="S92" s="210"/>
      <c r="T92" s="210"/>
      <c r="U92" s="210"/>
      <c r="V92" s="210"/>
      <c r="W92" s="210"/>
      <c r="X92" s="210"/>
      <c r="Y92" s="210"/>
      <c r="Z92" s="210"/>
      <c r="AA92" s="250">
        <f t="shared" ref="AA92:AA117" si="39">IF($I92="B1","",SUM(O92:Z92))</f>
        <v>90</v>
      </c>
      <c r="AB92" s="211">
        <f t="shared" ref="AB92:AB117" si="40">IF(AA92=0,"",IFERROR(AA92/AA$19,""))</f>
        <v>1.4676244731860033E-4</v>
      </c>
      <c r="AC92" s="140"/>
      <c r="AD92" s="210">
        <v>7455</v>
      </c>
      <c r="AE92" s="211">
        <f t="shared" ref="AE92:AE117" si="41">IF(AD92=0,"",IFERROR(AD92/AD$19,""))</f>
        <v>2.19766152059426E-3</v>
      </c>
      <c r="AF92" s="253">
        <f t="shared" ref="AF92:AF117" si="42">IF(AND($AA92="",AD92=""),"",$AA92-AD92)</f>
        <v>-7365</v>
      </c>
      <c r="AG92" s="210">
        <v>2090</v>
      </c>
      <c r="AH92" s="211">
        <f t="shared" ref="AH92:AH117" si="43">IF(AG92=0,"",IFERROR(AG92/AG$19,""))</f>
        <v>2.0328490509785241E-3</v>
      </c>
      <c r="AI92" s="253">
        <f t="shared" ref="AI92:AI117" si="44">IF(AND($AA92="",AG92=""),"",$AA92-AG92)</f>
        <v>-2000</v>
      </c>
      <c r="AJ92" s="212">
        <f t="shared" ref="AJ92:AJ117" si="45">IFERROR(AA92/AA$20,0)</f>
        <v>5.234993020009307E-3</v>
      </c>
      <c r="AK92" s="213">
        <f t="shared" ref="AK92:AK117" si="46">IFERROR(AD92/AD$20,0)</f>
        <v>9.5361747851002862E-2</v>
      </c>
      <c r="AL92" s="215">
        <f t="shared" ref="AL92:AL117" si="47">IFERROR(AG92/AG$20,0)</f>
        <v>6.1055768163360696E-2</v>
      </c>
      <c r="AM92" s="423" t="str">
        <f t="shared" ref="AM92:AM117" si="48">+IFERROR(ROUND(($AB92-AE92)*100,2)&amp;" pts.",0)</f>
        <v>-0.21 pts.</v>
      </c>
      <c r="AN92" s="424" t="str">
        <f t="shared" ref="AN92:AN117" si="49">+IFERROR(ROUND(($AB92-AH92)*100,2)&amp;" pts.",0)</f>
        <v>-0.19 pts.</v>
      </c>
      <c r="AO92" s="11"/>
      <c r="AP92" s="11"/>
    </row>
    <row r="93" spans="1:42" x14ac:dyDescent="0.35">
      <c r="A93" s="11" t="s">
        <v>100</v>
      </c>
      <c r="B93" s="11"/>
      <c r="C93" s="53" t="s">
        <v>101</v>
      </c>
      <c r="D93" s="11" t="s">
        <v>106</v>
      </c>
      <c r="E93" s="11"/>
      <c r="F93" s="11" t="s">
        <v>98</v>
      </c>
      <c r="G93" s="76"/>
      <c r="H93" s="396" t="s">
        <v>860</v>
      </c>
      <c r="I93" s="122" t="str">
        <f>IF(_epmOfflineCondition_,"N",_xll.EVPRO($B$1,$H93,"STYLE"))</f>
        <v>N</v>
      </c>
      <c r="J93" s="122" t="str">
        <f>IF(_epmOfflineCondition_,"N",_xll.EVPRO($B$1,$H93,"CALC"))</f>
        <v>N</v>
      </c>
      <c r="K93" s="179" t="str">
        <f t="shared" si="38"/>
        <v/>
      </c>
      <c r="L93" s="90" t="str">
        <f>IF(_epmOfflineCondition_,"701300",_xll.EVPRO($B$1,H93,"JDEID"))</f>
        <v>701300</v>
      </c>
      <c r="M93" s="90" t="str">
        <f>IF(_epmOfflineCondition_,"690205",IF(AND(I93="N",J93="N"),_xll.EVPRO($B$1,H93,"PSFTID"),""))</f>
        <v>690205</v>
      </c>
      <c r="N93" s="90" t="str">
        <f>IF(_epmOfflineCondition_,"Printing &amp; Stationery",IF(_xll.EVDES(H93,$B$1)="#NODATA","",_xll.EVDES(H93,$B$1)))</f>
        <v>Printing &amp; Stationery</v>
      </c>
      <c r="O93" s="210">
        <v>112.35</v>
      </c>
      <c r="P93" s="210">
        <v>441.53</v>
      </c>
      <c r="Q93" s="210">
        <v>85.6</v>
      </c>
      <c r="R93" s="210"/>
      <c r="S93" s="210"/>
      <c r="T93" s="210"/>
      <c r="U93" s="210">
        <v>56.99</v>
      </c>
      <c r="V93" s="210"/>
      <c r="W93" s="210"/>
      <c r="X93" s="210"/>
      <c r="Y93" s="210"/>
      <c r="Z93" s="210"/>
      <c r="AA93" s="250">
        <f t="shared" si="39"/>
        <v>696.47</v>
      </c>
      <c r="AB93" s="211">
        <f t="shared" si="40"/>
        <v>1.1357293520442844E-3</v>
      </c>
      <c r="AC93" s="140"/>
      <c r="AD93" s="210">
        <v>3444.62</v>
      </c>
      <c r="AE93" s="211">
        <f t="shared" si="41"/>
        <v>1.0154404865284237E-3</v>
      </c>
      <c r="AF93" s="253">
        <f t="shared" si="42"/>
        <v>-2748.1499999999996</v>
      </c>
      <c r="AG93" s="210">
        <v>2134.59</v>
      </c>
      <c r="AH93" s="211">
        <f t="shared" si="43"/>
        <v>2.0762197395828939E-3</v>
      </c>
      <c r="AI93" s="253">
        <f t="shared" si="44"/>
        <v>-1438.1200000000001</v>
      </c>
      <c r="AJ93" s="212">
        <f t="shared" si="45"/>
        <v>4.0511284318287578E-2</v>
      </c>
      <c r="AK93" s="213">
        <f t="shared" si="46"/>
        <v>4.4062372083503887E-2</v>
      </c>
      <c r="AL93" s="215">
        <f t="shared" si="47"/>
        <v>6.2358388595133069E-2</v>
      </c>
      <c r="AM93" s="423" t="str">
        <f t="shared" si="48"/>
        <v>0.01 pts.</v>
      </c>
      <c r="AN93" s="424" t="str">
        <f t="shared" si="49"/>
        <v>-0.09 pts.</v>
      </c>
      <c r="AO93" s="11"/>
      <c r="AP93" s="11"/>
    </row>
    <row r="94" spans="1:42" x14ac:dyDescent="0.35">
      <c r="A94" s="11" t="s">
        <v>109</v>
      </c>
      <c r="B94" s="11"/>
      <c r="C94" s="106" t="s">
        <v>101</v>
      </c>
      <c r="D94" s="11" t="s">
        <v>106</v>
      </c>
      <c r="E94" s="11"/>
      <c r="F94" s="11" t="s">
        <v>98</v>
      </c>
      <c r="G94" s="11"/>
      <c r="H94" s="396" t="s">
        <v>830</v>
      </c>
      <c r="I94" s="122" t="str">
        <f>IF(_epmOfflineCondition_,"T4",_xll.EVPRO($B$1,$H94,"STYLE"))</f>
        <v>T4</v>
      </c>
      <c r="J94" s="122" t="str">
        <f>IF(_epmOfflineCondition_,"Y",_xll.EVPRO($B$1,$H94,"CALC"))</f>
        <v>Y</v>
      </c>
      <c r="K94" s="179" t="str">
        <f t="shared" si="38"/>
        <v>&gt;</v>
      </c>
      <c r="L94" s="90" t="str">
        <f>IF(_epmOfflineCondition_,"701500",_xll.EVPRO($B$1,H94,"JDEID"))</f>
        <v>701500</v>
      </c>
      <c r="M94" s="90" t="str">
        <f>IF(_epmOfflineCondition_,"",IF(AND(I94="N",J94="N"),_xll.EVPRO($B$1,H94,"PSFTID"),""))</f>
        <v/>
      </c>
      <c r="N94" s="90" t="str">
        <f>IF(_epmOfflineCondition_,"Operating Supplies",IF(_xll.EVDES(H94,$B$1)="#NODATA","",_xll.EVDES(H94,$B$1)))</f>
        <v>Operating Supplies</v>
      </c>
      <c r="O94" s="210">
        <v>2370.09</v>
      </c>
      <c r="P94" s="210">
        <v>3245.35</v>
      </c>
      <c r="Q94" s="210">
        <v>1640</v>
      </c>
      <c r="R94" s="210"/>
      <c r="S94" s="210"/>
      <c r="T94" s="210">
        <v>219.01</v>
      </c>
      <c r="U94" s="210">
        <v>627.73</v>
      </c>
      <c r="V94" s="210">
        <v>516.32000000000005</v>
      </c>
      <c r="W94" s="210">
        <v>1173.46</v>
      </c>
      <c r="X94" s="210">
        <v>415.33</v>
      </c>
      <c r="Y94" s="210">
        <v>677.17</v>
      </c>
      <c r="Z94" s="210">
        <v>1057.29</v>
      </c>
      <c r="AA94" s="250">
        <f t="shared" si="39"/>
        <v>11941.75</v>
      </c>
      <c r="AB94" s="211">
        <f t="shared" si="40"/>
        <v>1.9473338391854396E-2</v>
      </c>
      <c r="AC94" s="140"/>
      <c r="AD94" s="210">
        <v>31022.934700000002</v>
      </c>
      <c r="AE94" s="211">
        <f t="shared" si="41"/>
        <v>9.1452595366999911E-3</v>
      </c>
      <c r="AF94" s="253">
        <f t="shared" si="42"/>
        <v>-19081.184700000002</v>
      </c>
      <c r="AG94" s="210">
        <v>19065.66</v>
      </c>
      <c r="AH94" s="211">
        <f t="shared" si="43"/>
        <v>1.8544310448458952E-2</v>
      </c>
      <c r="AI94" s="253">
        <f t="shared" si="44"/>
        <v>-7123.91</v>
      </c>
      <c r="AJ94" s="212">
        <f t="shared" si="45"/>
        <v>0.69461086551884599</v>
      </c>
      <c r="AK94" s="213">
        <f t="shared" si="46"/>
        <v>0.39683451059148589</v>
      </c>
      <c r="AL94" s="215">
        <f t="shared" si="47"/>
        <v>0.55697058222079399</v>
      </c>
      <c r="AM94" s="423" t="str">
        <f t="shared" si="48"/>
        <v>1.03 pts.</v>
      </c>
      <c r="AN94" s="424" t="str">
        <f t="shared" si="49"/>
        <v>0.09 pts.</v>
      </c>
      <c r="AO94" s="11"/>
      <c r="AP94" s="11"/>
    </row>
    <row r="95" spans="1:42" x14ac:dyDescent="0.35">
      <c r="A95" s="11" t="s">
        <v>109</v>
      </c>
      <c r="B95" s="11"/>
      <c r="C95" s="196" t="s">
        <v>101</v>
      </c>
      <c r="D95" s="11" t="s">
        <v>107</v>
      </c>
      <c r="E95" s="11"/>
      <c r="F95" s="11" t="s">
        <v>99</v>
      </c>
      <c r="G95" s="11"/>
      <c r="H95" s="396" t="s">
        <v>861</v>
      </c>
      <c r="I95" s="122" t="str">
        <f>IF(_epmOfflineCondition_,"N",_xll.EVPRO($B$1,$H95,"STYLE"))</f>
        <v>N</v>
      </c>
      <c r="J95" s="122" t="str">
        <f>IF(_epmOfflineCondition_,"N",_xll.EVPRO($B$1,$H95,"CALC"))</f>
        <v>N</v>
      </c>
      <c r="K95" s="179" t="str">
        <f t="shared" si="38"/>
        <v/>
      </c>
      <c r="L95" s="90" t="str">
        <f>IF(_epmOfflineCondition_,"701600",_xll.EVPRO($B$1,H95,"JDEID"))</f>
        <v>701600</v>
      </c>
      <c r="M95" s="90" t="str">
        <f>IF(_epmOfflineCondition_,"590015",IF(AND(I95="N",J95="N"),_xll.EVPRO($B$1,H95,"PSFTID"),""))</f>
        <v>590015</v>
      </c>
      <c r="N95" s="90" t="str">
        <f>IF(_epmOfflineCondition_,"Cleaning Supplies",IF(_xll.EVDES(H95,$B$1)="#NODATA","",_xll.EVDES(H95,$B$1)))</f>
        <v>Cleaning Supplies</v>
      </c>
      <c r="O95" s="210">
        <v>1484.65</v>
      </c>
      <c r="P95" s="210">
        <v>945.91</v>
      </c>
      <c r="Q95" s="210">
        <v>57.84</v>
      </c>
      <c r="R95" s="210"/>
      <c r="S95" s="210"/>
      <c r="T95" s="210"/>
      <c r="U95" s="210">
        <v>155.94999999999999</v>
      </c>
      <c r="V95" s="210"/>
      <c r="W95" s="210">
        <v>35.1</v>
      </c>
      <c r="X95" s="210"/>
      <c r="Y95" s="210">
        <v>244.89</v>
      </c>
      <c r="Z95" s="210">
        <v>855.92</v>
      </c>
      <c r="AA95" s="250">
        <f t="shared" si="39"/>
        <v>3780.2599999999998</v>
      </c>
      <c r="AB95" s="211">
        <f t="shared" si="40"/>
        <v>6.1644467677845795E-3</v>
      </c>
      <c r="AC95" s="140"/>
      <c r="AD95" s="210">
        <v>8598.1215200000006</v>
      </c>
      <c r="AE95" s="211">
        <f t="shared" si="41"/>
        <v>2.534642630972157E-3</v>
      </c>
      <c r="AF95" s="253">
        <f t="shared" si="42"/>
        <v>-4817.8615200000004</v>
      </c>
      <c r="AG95" s="210">
        <v>5778.28</v>
      </c>
      <c r="AH95" s="211">
        <f t="shared" si="43"/>
        <v>5.6202732125780796E-3</v>
      </c>
      <c r="AI95" s="253">
        <f t="shared" si="44"/>
        <v>-1998.02</v>
      </c>
      <c r="AJ95" s="212">
        <f t="shared" si="45"/>
        <v>0.21988483015355978</v>
      </c>
      <c r="AK95" s="213">
        <f t="shared" si="46"/>
        <v>0.10998415779778961</v>
      </c>
      <c r="AL95" s="215">
        <f t="shared" si="47"/>
        <v>0.16880254739855685</v>
      </c>
      <c r="AM95" s="423" t="str">
        <f t="shared" si="48"/>
        <v>0.36 pts.</v>
      </c>
      <c r="AN95" s="424" t="str">
        <f t="shared" si="49"/>
        <v>0.05 pts.</v>
      </c>
      <c r="AO95" s="11"/>
      <c r="AP95" s="11"/>
    </row>
    <row r="96" spans="1:42" x14ac:dyDescent="0.35">
      <c r="A96" s="11" t="s">
        <v>110</v>
      </c>
      <c r="B96" s="11"/>
      <c r="C96" s="106" t="s">
        <v>101</v>
      </c>
      <c r="D96" s="11" t="s">
        <v>106</v>
      </c>
      <c r="E96" s="11"/>
      <c r="F96" s="11" t="s">
        <v>98</v>
      </c>
      <c r="G96" s="11"/>
      <c r="H96" s="396" t="s">
        <v>862</v>
      </c>
      <c r="I96" s="122" t="str">
        <f>IF(_epmOfflineCondition_,"N",_xll.EVPRO($B$1,$H96,"STYLE"))</f>
        <v>N</v>
      </c>
      <c r="J96" s="122" t="str">
        <f>IF(_epmOfflineCondition_,"N",_xll.EVPRO($B$1,$H96,"CALC"))</f>
        <v>N</v>
      </c>
      <c r="K96" s="179" t="str">
        <f t="shared" si="38"/>
        <v/>
      </c>
      <c r="L96" s="90" t="str">
        <f>IF(_epmOfflineCondition_,"701700",_xll.EVPRO($B$1,H96,"JDEID"))</f>
        <v>701700</v>
      </c>
      <c r="M96" s="90" t="str">
        <f>IF(_epmOfflineCondition_,"590026",IF(AND(I96="N",J96="N"),_xll.EVPRO($B$1,H96,"PSFTID"),""))</f>
        <v>590026</v>
      </c>
      <c r="N96" s="90" t="str">
        <f>IF(_epmOfflineCondition_,"Dishwashing Supplies",IF(_xll.EVDES(H96,$B$1)="#NODATA","",_xll.EVDES(H96,$B$1)))</f>
        <v>Dishwashing Supplies</v>
      </c>
      <c r="O96" s="210"/>
      <c r="P96" s="210">
        <v>625.57000000000005</v>
      </c>
      <c r="Q96" s="210">
        <v>-404.62</v>
      </c>
      <c r="R96" s="210"/>
      <c r="S96" s="210"/>
      <c r="T96" s="210"/>
      <c r="U96" s="210">
        <v>289.26</v>
      </c>
      <c r="V96" s="210"/>
      <c r="W96" s="210"/>
      <c r="X96" s="210"/>
      <c r="Y96" s="210">
        <v>163.72999999999999</v>
      </c>
      <c r="Z96" s="210"/>
      <c r="AA96" s="250">
        <f t="shared" si="39"/>
        <v>673.94</v>
      </c>
      <c r="AB96" s="211">
        <f t="shared" si="40"/>
        <v>1.0989898193988613E-3</v>
      </c>
      <c r="AC96" s="140"/>
      <c r="AD96" s="210">
        <v>8038.91</v>
      </c>
      <c r="AE96" s="211">
        <f t="shared" si="41"/>
        <v>2.3697925116727566E-3</v>
      </c>
      <c r="AF96" s="253">
        <f t="shared" si="42"/>
        <v>-7364.9699999999993</v>
      </c>
      <c r="AG96" s="210">
        <v>3262.04</v>
      </c>
      <c r="AH96" s="211">
        <f t="shared" si="43"/>
        <v>3.1728396738057345E-3</v>
      </c>
      <c r="AI96" s="253">
        <f t="shared" si="44"/>
        <v>-2588.1</v>
      </c>
      <c r="AJ96" s="212">
        <f t="shared" si="45"/>
        <v>3.9200791065611917E-2</v>
      </c>
      <c r="AK96" s="213">
        <f t="shared" si="46"/>
        <v>0.10283091997544003</v>
      </c>
      <c r="AL96" s="215">
        <f t="shared" si="47"/>
        <v>9.5294908124214886E-2</v>
      </c>
      <c r="AM96" s="423" t="str">
        <f t="shared" si="48"/>
        <v>-0.13 pts.</v>
      </c>
      <c r="AN96" s="424" t="str">
        <f t="shared" si="49"/>
        <v>-0.21 pts.</v>
      </c>
      <c r="AO96" s="11"/>
      <c r="AP96" s="11"/>
    </row>
    <row r="97" spans="1:42" x14ac:dyDescent="0.35">
      <c r="A97" s="11" t="s">
        <v>110</v>
      </c>
      <c r="B97" s="11"/>
      <c r="C97" s="109" t="s">
        <v>101</v>
      </c>
      <c r="D97" s="11" t="s">
        <v>107</v>
      </c>
      <c r="E97" s="11"/>
      <c r="F97" s="11" t="s">
        <v>99</v>
      </c>
      <c r="G97" s="11"/>
      <c r="H97" s="396" t="s">
        <v>863</v>
      </c>
      <c r="I97" s="122" t="str">
        <f>IF(_epmOfflineCondition_,"N",_xll.EVPRO($B$1,$H97,"STYLE"))</f>
        <v>N</v>
      </c>
      <c r="J97" s="122" t="str">
        <f>IF(_epmOfflineCondition_,"N",_xll.EVPRO($B$1,$H97,"CALC"))</f>
        <v>N</v>
      </c>
      <c r="K97" s="179" t="str">
        <f t="shared" si="38"/>
        <v/>
      </c>
      <c r="L97" s="90" t="str">
        <f>IF(_epmOfflineCondition_,"702000",_xll.EVPRO($B$1,H97,"JDEID"))</f>
        <v>702000</v>
      </c>
      <c r="M97" s="90" t="str">
        <f>IF(_epmOfflineCondition_,"590031",IF(AND(I97="N",J97="N"),_xll.EVPRO($B$1,H97,"PSFTID"),""))</f>
        <v>590031</v>
      </c>
      <c r="N97" s="90" t="str">
        <f>IF(_epmOfflineCondition_,"Paper and Plastics",IF(_xll.EVDES(H97,$B$1)="#NODATA","",_xll.EVDES(H97,$B$1)))</f>
        <v>Paper and Plastics</v>
      </c>
      <c r="O97" s="210">
        <v>1896.42</v>
      </c>
      <c r="P97" s="210">
        <v>1122.1300000000001</v>
      </c>
      <c r="Q97" s="210">
        <v>6.28</v>
      </c>
      <c r="R97" s="210"/>
      <c r="S97" s="210"/>
      <c r="T97" s="210"/>
      <c r="U97" s="210">
        <v>52.95</v>
      </c>
      <c r="V97" s="210"/>
      <c r="W97" s="210">
        <v>97.54</v>
      </c>
      <c r="X97" s="210">
        <v>748.9</v>
      </c>
      <c r="Y97" s="210">
        <v>740.41</v>
      </c>
      <c r="Z97" s="210">
        <v>1239.5999999999999</v>
      </c>
      <c r="AA97" s="250">
        <f t="shared" si="39"/>
        <v>5904.23</v>
      </c>
      <c r="AB97" s="211">
        <f t="shared" si="40"/>
        <v>9.6279916036877741E-3</v>
      </c>
      <c r="AC97" s="140"/>
      <c r="AD97" s="210">
        <v>10866.069474923999</v>
      </c>
      <c r="AE97" s="211">
        <f t="shared" si="41"/>
        <v>3.2032116385170149E-3</v>
      </c>
      <c r="AF97" s="253">
        <f t="shared" si="42"/>
        <v>-4961.8394749239997</v>
      </c>
      <c r="AG97" s="210">
        <v>4972.78</v>
      </c>
      <c r="AH97" s="211">
        <f t="shared" si="43"/>
        <v>4.8367995711602798E-3</v>
      </c>
      <c r="AI97" s="253">
        <f t="shared" si="44"/>
        <v>931.44999999999982</v>
      </c>
      <c r="AJ97" s="212">
        <f t="shared" si="45"/>
        <v>0.34342892042810608</v>
      </c>
      <c r="AK97" s="213">
        <f t="shared" si="46"/>
        <v>0.13899495337346499</v>
      </c>
      <c r="AL97" s="215">
        <f t="shared" si="47"/>
        <v>0.14527124536239081</v>
      </c>
      <c r="AM97" s="423" t="str">
        <f t="shared" si="48"/>
        <v>0.64 pts.</v>
      </c>
      <c r="AN97" s="424" t="str">
        <f t="shared" si="49"/>
        <v>0.48 pts.</v>
      </c>
      <c r="AO97" s="11"/>
      <c r="AP97" s="11"/>
    </row>
    <row r="98" spans="1:42" x14ac:dyDescent="0.35">
      <c r="A98" s="11"/>
      <c r="B98" s="11"/>
      <c r="C98" s="208"/>
      <c r="D98" s="11"/>
      <c r="E98" s="11"/>
      <c r="F98" s="11"/>
      <c r="G98" s="11"/>
      <c r="H98" s="396" t="s">
        <v>831</v>
      </c>
      <c r="I98" s="122" t="str">
        <f>IF(_epmOfflineCondition_,"N",_xll.EVPRO($B$1,$H98,"STYLE"))</f>
        <v>N</v>
      </c>
      <c r="J98" s="122" t="str">
        <f>IF(_epmOfflineCondition_,"N",_xll.EVPRO($B$1,$H98,"CALC"))</f>
        <v>N</v>
      </c>
      <c r="K98" s="179" t="str">
        <f t="shared" si="38"/>
        <v/>
      </c>
      <c r="L98" s="90" t="str">
        <f>IF(_epmOfflineCondition_,"702300",_xll.EVPRO($B$1,H98,"JDEID"))</f>
        <v>702300</v>
      </c>
      <c r="M98" s="90" t="str">
        <f>IF(_epmOfflineCondition_,"590040",IF(AND(I98="N",J98="N"),_xll.EVPRO($B$1,H98,"PSFTID"),""))</f>
        <v>590040</v>
      </c>
      <c r="N98" s="90" t="str">
        <f>IF(_epmOfflineCondition_,"Decorations",IF(_xll.EVDES(H98,$B$1)="#NODATA","",_xll.EVDES(H98,$B$1)))</f>
        <v>Decorations</v>
      </c>
      <c r="O98" s="210">
        <v>631.62</v>
      </c>
      <c r="P98" s="210">
        <v>445.85</v>
      </c>
      <c r="Q98" s="210">
        <v>133.49</v>
      </c>
      <c r="R98" s="210"/>
      <c r="S98" s="210"/>
      <c r="T98" s="210"/>
      <c r="U98" s="210"/>
      <c r="V98" s="210"/>
      <c r="W98" s="210"/>
      <c r="X98" s="210"/>
      <c r="Y98" s="210">
        <v>179.98</v>
      </c>
      <c r="Z98" s="210">
        <v>28.09</v>
      </c>
      <c r="AA98" s="250">
        <f t="shared" si="39"/>
        <v>1419.03</v>
      </c>
      <c r="AB98" s="211">
        <f t="shared" si="40"/>
        <v>2.3140035068723716E-3</v>
      </c>
      <c r="AC98" s="140"/>
      <c r="AD98" s="210">
        <v>10450</v>
      </c>
      <c r="AE98" s="211">
        <f t="shared" si="41"/>
        <v>3.0805584024426579E-3</v>
      </c>
      <c r="AF98" s="253">
        <f t="shared" si="42"/>
        <v>-9030.9699999999993</v>
      </c>
      <c r="AG98" s="210">
        <v>5086.76</v>
      </c>
      <c r="AH98" s="211">
        <f t="shared" si="43"/>
        <v>4.947662793567233E-3</v>
      </c>
      <c r="AI98" s="253">
        <f t="shared" si="44"/>
        <v>-3667.7300000000005</v>
      </c>
      <c r="AJ98" s="212">
        <f t="shared" si="45"/>
        <v>8.2540134946486737E-2</v>
      </c>
      <c r="AK98" s="213">
        <f t="shared" si="46"/>
        <v>0.13367273843634875</v>
      </c>
      <c r="AL98" s="215">
        <f t="shared" si="47"/>
        <v>0.14860097572375916</v>
      </c>
      <c r="AM98" s="423" t="str">
        <f t="shared" si="48"/>
        <v>-0.08 pts.</v>
      </c>
      <c r="AN98" s="424" t="str">
        <f t="shared" si="49"/>
        <v>-0.26 pts.</v>
      </c>
      <c r="AO98" s="11"/>
      <c r="AP98" s="11"/>
    </row>
    <row r="99" spans="1:42" x14ac:dyDescent="0.35">
      <c r="A99" s="11"/>
      <c r="B99" s="11"/>
      <c r="C99" s="208"/>
      <c r="D99" s="11"/>
      <c r="E99" s="11"/>
      <c r="F99" s="11"/>
      <c r="G99" s="11"/>
      <c r="H99" s="396" t="s">
        <v>878</v>
      </c>
      <c r="I99" s="122" t="str">
        <f>IF(_epmOfflineCondition_,"N",_xll.EVPRO($B$1,$H99,"STYLE"))</f>
        <v>N</v>
      </c>
      <c r="J99" s="122" t="str">
        <f>IF(_epmOfflineCondition_,"N",_xll.EVPRO($B$1,$H99,"CALC"))</f>
        <v>N</v>
      </c>
      <c r="K99" s="179" t="str">
        <f t="shared" si="38"/>
        <v/>
      </c>
      <c r="L99" s="90" t="str">
        <f>IF(_epmOfflineCondition_,"702580",_xll.EVPRO($B$1,H99,"JDEID"))</f>
        <v>702580</v>
      </c>
      <c r="M99" s="90" t="str">
        <f>IF(_epmOfflineCondition_,"590166",IF(AND(I99="N",J99="N"),_xll.EVPRO($B$1,H99,"PSFTID"),""))</f>
        <v>590166</v>
      </c>
      <c r="N99" s="90" t="str">
        <f>IF(_epmOfflineCondition_,"Reservations",IF(_xll.EVDES(H99,$B$1)="#NODATA","",_xll.EVDES(H99,$B$1)))</f>
        <v>Reservations</v>
      </c>
      <c r="O99" s="210">
        <v>417.35</v>
      </c>
      <c r="P99" s="210">
        <v>-417.35</v>
      </c>
      <c r="Q99" s="210"/>
      <c r="R99" s="210"/>
      <c r="S99" s="210"/>
      <c r="T99" s="210"/>
      <c r="U99" s="210"/>
      <c r="V99" s="210"/>
      <c r="W99" s="210"/>
      <c r="X99" s="210"/>
      <c r="Y99" s="210"/>
      <c r="Z99" s="210"/>
      <c r="AA99" s="250">
        <f t="shared" si="39"/>
        <v>0</v>
      </c>
      <c r="AB99" s="211" t="str">
        <f t="shared" si="40"/>
        <v/>
      </c>
      <c r="AC99" s="140"/>
      <c r="AD99" s="210"/>
      <c r="AE99" s="211" t="str">
        <f t="shared" si="41"/>
        <v/>
      </c>
      <c r="AF99" s="253">
        <f t="shared" si="42"/>
        <v>0</v>
      </c>
      <c r="AG99" s="210">
        <v>498.02</v>
      </c>
      <c r="AH99" s="211">
        <f t="shared" si="43"/>
        <v>4.8440166716187774E-4</v>
      </c>
      <c r="AI99" s="253">
        <f t="shared" si="44"/>
        <v>-498.02</v>
      </c>
      <c r="AJ99" s="212">
        <f t="shared" si="45"/>
        <v>0</v>
      </c>
      <c r="AK99" s="213">
        <f t="shared" si="46"/>
        <v>0</v>
      </c>
      <c r="AL99" s="215">
        <f t="shared" si="47"/>
        <v>1.4548800794601384E-2</v>
      </c>
      <c r="AM99" s="423">
        <f t="shared" si="48"/>
        <v>0</v>
      </c>
      <c r="AN99" s="424">
        <f t="shared" si="49"/>
        <v>0</v>
      </c>
      <c r="AO99" s="11"/>
      <c r="AP99" s="11"/>
    </row>
    <row r="100" spans="1:42" x14ac:dyDescent="0.35">
      <c r="A100" s="61" t="str">
        <f>IF(_epmOfflineCondition_,"Evdre:Ok",_xll.EVDRE($B$1,A103:B110))</f>
        <v>Evdre:Ok</v>
      </c>
      <c r="B100" s="11" t="s">
        <v>736</v>
      </c>
      <c r="C100" s="11"/>
      <c r="D100" s="11"/>
      <c r="E100" s="11"/>
      <c r="F100" s="11"/>
      <c r="G100" s="11"/>
      <c r="H100" s="396" t="s">
        <v>832</v>
      </c>
      <c r="I100" s="122" t="str">
        <f>IF(_epmOfflineCondition_,"T4",_xll.EVPRO($B$1,$H100,"STYLE"))</f>
        <v>T4</v>
      </c>
      <c r="J100" s="122" t="str">
        <f>IF(_epmOfflineCondition_,"Y",_xll.EVPRO($B$1,$H100,"CALC"))</f>
        <v>Y</v>
      </c>
      <c r="K100" s="179" t="str">
        <f t="shared" si="38"/>
        <v>&gt;</v>
      </c>
      <c r="L100" s="90" t="str">
        <f>IF(_epmOfflineCondition_,"",_xll.EVPRO($B$1,H100,"JDEID"))</f>
        <v/>
      </c>
      <c r="M100" s="90" t="str">
        <f>IF(_epmOfflineCondition_,"",IF(AND(I100="N",J100="N"),_xll.EVPRO($B$1,H100,"PSFTID"),""))</f>
        <v/>
      </c>
      <c r="N100" s="90" t="str">
        <f>IF(_epmOfflineCondition_,"Contract Services",IF(_xll.EVDES(H100,$B$1)="#NODATA","",_xll.EVDES(H100,$B$1)))</f>
        <v>Contract Services</v>
      </c>
      <c r="O100" s="210">
        <v>6851.98</v>
      </c>
      <c r="P100" s="210">
        <v>6039.36</v>
      </c>
      <c r="Q100" s="210">
        <v>9331.09</v>
      </c>
      <c r="R100" s="210"/>
      <c r="S100" s="210"/>
      <c r="T100" s="210"/>
      <c r="U100" s="210"/>
      <c r="V100" s="210"/>
      <c r="W100" s="210"/>
      <c r="X100" s="210">
        <v>1771.5</v>
      </c>
      <c r="Y100" s="210">
        <v>775</v>
      </c>
      <c r="Z100" s="210">
        <v>781.5</v>
      </c>
      <c r="AA100" s="250">
        <f t="shared" si="39"/>
        <v>25550.43</v>
      </c>
      <c r="AB100" s="211">
        <f t="shared" si="40"/>
        <v>4.1664929298250955E-2</v>
      </c>
      <c r="AC100" s="140"/>
      <c r="AD100" s="210">
        <v>72484</v>
      </c>
      <c r="AE100" s="211">
        <f t="shared" si="41"/>
        <v>2.1367578492119964E-2</v>
      </c>
      <c r="AF100" s="253">
        <f t="shared" si="42"/>
        <v>-46933.57</v>
      </c>
      <c r="AG100" s="210">
        <v>29331.42</v>
      </c>
      <c r="AH100" s="211">
        <f t="shared" si="43"/>
        <v>2.8529353737249998E-2</v>
      </c>
      <c r="AI100" s="253">
        <f t="shared" si="44"/>
        <v>-3780.989999999998</v>
      </c>
      <c r="AJ100" s="212">
        <f t="shared" si="45"/>
        <v>1.4861813634248489</v>
      </c>
      <c r="AK100" s="213">
        <f t="shared" si="46"/>
        <v>0.92718993041342612</v>
      </c>
      <c r="AL100" s="215">
        <f t="shared" si="47"/>
        <v>0.85686716718763689</v>
      </c>
      <c r="AM100" s="423" t="str">
        <f t="shared" si="48"/>
        <v>2.03 pts.</v>
      </c>
      <c r="AN100" s="424" t="str">
        <f t="shared" si="49"/>
        <v>1.31 pts.</v>
      </c>
      <c r="AO100" s="11"/>
      <c r="AP100" s="11"/>
    </row>
    <row r="101" spans="1:42" x14ac:dyDescent="0.35">
      <c r="A101" s="11"/>
      <c r="B101" s="11"/>
      <c r="C101" s="11"/>
      <c r="D101" s="11"/>
      <c r="E101" s="11"/>
      <c r="F101" s="11"/>
      <c r="G101" s="11"/>
      <c r="H101" s="396" t="s">
        <v>833</v>
      </c>
      <c r="I101" s="122" t="str">
        <f>IF(_epmOfflineCondition_,"T4",_xll.EVPRO($B$1,$H101,"STYLE"))</f>
        <v>T4</v>
      </c>
      <c r="J101" s="122" t="str">
        <f>IF(_epmOfflineCondition_,"Y",_xll.EVPRO($B$1,$H101,"CALC"))</f>
        <v>Y</v>
      </c>
      <c r="K101" s="179" t="str">
        <f t="shared" si="38"/>
        <v>&gt;</v>
      </c>
      <c r="L101" s="90" t="str">
        <f>IF(_epmOfflineCondition_,"",_xll.EVPRO($B$1,H101,"JDEID"))</f>
        <v/>
      </c>
      <c r="M101" s="90" t="str">
        <f>IF(_epmOfflineCondition_,"",IF(AND(I101="N",J101="N"),_xll.EVPRO($B$1,H101,"PSFTID"),""))</f>
        <v/>
      </c>
      <c r="N101" s="90" t="str">
        <f>IF(_epmOfflineCondition_,"Travel - Other",IF(_xll.EVDES(H101,$B$1)="#NODATA","",_xll.EVDES(H101,$B$1)))</f>
        <v>Travel - Other</v>
      </c>
      <c r="O101" s="210">
        <v>1306.43</v>
      </c>
      <c r="P101" s="210">
        <v>93.89</v>
      </c>
      <c r="Q101" s="210">
        <v>258.76</v>
      </c>
      <c r="R101" s="210">
        <v>-52.89</v>
      </c>
      <c r="S101" s="210"/>
      <c r="T101" s="210"/>
      <c r="U101" s="210">
        <v>194.16</v>
      </c>
      <c r="V101" s="210"/>
      <c r="W101" s="210"/>
      <c r="X101" s="210"/>
      <c r="Y101" s="210"/>
      <c r="Z101" s="210"/>
      <c r="AA101" s="250">
        <f t="shared" si="39"/>
        <v>1800.3500000000001</v>
      </c>
      <c r="AB101" s="211">
        <f t="shared" si="40"/>
        <v>2.9358196892226907E-3</v>
      </c>
      <c r="AC101" s="140"/>
      <c r="AD101" s="210">
        <v>4050</v>
      </c>
      <c r="AE101" s="211">
        <f t="shared" si="41"/>
        <v>1.1939006248701211E-3</v>
      </c>
      <c r="AF101" s="253">
        <f t="shared" si="42"/>
        <v>-2249.6499999999996</v>
      </c>
      <c r="AG101" s="210">
        <v>7534.64</v>
      </c>
      <c r="AH101" s="211">
        <f t="shared" si="43"/>
        <v>7.3286056332367592E-3</v>
      </c>
      <c r="AI101" s="253">
        <f t="shared" si="44"/>
        <v>-5734.29</v>
      </c>
      <c r="AJ101" s="212">
        <f t="shared" si="45"/>
        <v>0.10472021870637506</v>
      </c>
      <c r="AK101" s="213">
        <f t="shared" si="46"/>
        <v>5.18061809250921E-2</v>
      </c>
      <c r="AL101" s="215">
        <f t="shared" si="47"/>
        <v>0.22011159475329381</v>
      </c>
      <c r="AM101" s="423" t="str">
        <f t="shared" si="48"/>
        <v>0.17 pts.</v>
      </c>
      <c r="AN101" s="424" t="str">
        <f t="shared" si="49"/>
        <v>-0.44 pts.</v>
      </c>
      <c r="AO101" s="11"/>
      <c r="AP101" s="11"/>
    </row>
    <row r="102" spans="1:42" x14ac:dyDescent="0.35">
      <c r="A102" s="62" t="s">
        <v>0</v>
      </c>
      <c r="B102" s="63" t="s">
        <v>1</v>
      </c>
      <c r="C102" s="11"/>
      <c r="D102" s="11"/>
      <c r="E102" s="11"/>
      <c r="F102" s="11"/>
      <c r="G102" s="11"/>
      <c r="H102" s="396" t="s">
        <v>834</v>
      </c>
      <c r="I102" s="122" t="str">
        <f>IF(_epmOfflineCondition_,"T4",_xll.EVPRO($B$1,$H102,"STYLE"))</f>
        <v>T4</v>
      </c>
      <c r="J102" s="122" t="str">
        <f>IF(_epmOfflineCondition_,"Y",_xll.EVPRO($B$1,$H102,"CALC"))</f>
        <v>Y</v>
      </c>
      <c r="K102" s="179" t="str">
        <f t="shared" si="38"/>
        <v>&gt;</v>
      </c>
      <c r="L102" s="90" t="str">
        <f>IF(_epmOfflineCondition_,"702900",_xll.EVPRO($B$1,H102,"JDEID"))</f>
        <v>702900</v>
      </c>
      <c r="M102" s="90" t="str">
        <f>IF(_epmOfflineCondition_,"",IF(AND(I102="N",J102="N"),_xll.EVPRO($B$1,H102,"PSFTID"),""))</f>
        <v/>
      </c>
      <c r="N102" s="90" t="str">
        <f>IF(_epmOfflineCondition_,"Travel - Meals &amp; Entertainment",IF(_xll.EVDES(H102,$B$1)="#NODATA","",_xll.EVDES(H102,$B$1)))</f>
        <v>Travel - Meals &amp; Entertainment</v>
      </c>
      <c r="O102" s="210">
        <v>404.68</v>
      </c>
      <c r="P102" s="210">
        <v>186.81</v>
      </c>
      <c r="Q102" s="210">
        <v>557.86</v>
      </c>
      <c r="R102" s="210"/>
      <c r="S102" s="210"/>
      <c r="T102" s="210"/>
      <c r="U102" s="210"/>
      <c r="V102" s="210"/>
      <c r="W102" s="210"/>
      <c r="X102" s="210"/>
      <c r="Y102" s="210"/>
      <c r="Z102" s="210"/>
      <c r="AA102" s="250">
        <f t="shared" si="39"/>
        <v>1149.3499999999999</v>
      </c>
      <c r="AB102" s="211">
        <f t="shared" si="40"/>
        <v>1.874237986951481E-3</v>
      </c>
      <c r="AC102" s="140"/>
      <c r="AD102" s="210">
        <v>1810</v>
      </c>
      <c r="AE102" s="211">
        <f t="shared" si="41"/>
        <v>5.3357040271973313E-4</v>
      </c>
      <c r="AF102" s="253">
        <f t="shared" si="42"/>
        <v>-660.65000000000009</v>
      </c>
      <c r="AG102" s="210">
        <v>4231.75</v>
      </c>
      <c r="AH102" s="211">
        <f t="shared" si="43"/>
        <v>4.1160330007073542E-3</v>
      </c>
      <c r="AI102" s="253">
        <f t="shared" si="44"/>
        <v>-3082.4</v>
      </c>
      <c r="AJ102" s="212">
        <f t="shared" si="45"/>
        <v>6.6853769194974405E-2</v>
      </c>
      <c r="AK102" s="213">
        <f t="shared" si="46"/>
        <v>2.3152885796152271E-2</v>
      </c>
      <c r="AL102" s="215">
        <f t="shared" si="47"/>
        <v>0.12362332388770413</v>
      </c>
      <c r="AM102" s="423" t="str">
        <f t="shared" si="48"/>
        <v>0.13 pts.</v>
      </c>
      <c r="AN102" s="424" t="str">
        <f t="shared" si="49"/>
        <v>-0.22 pts.</v>
      </c>
      <c r="AO102" s="11"/>
      <c r="AP102" s="11"/>
    </row>
    <row r="103" spans="1:42" x14ac:dyDescent="0.35">
      <c r="A103" s="65" t="s">
        <v>2</v>
      </c>
      <c r="B103" s="66" t="str">
        <f>IF(_epmOfflineCondition_,"'FB_Cons'!$B$2:$B$10",_xll.EVRNG($B$2:$B$10))</f>
        <v>'FB_Cons'!$B$2:$B$10</v>
      </c>
      <c r="C103" s="11"/>
      <c r="D103" s="11"/>
      <c r="E103" s="11"/>
      <c r="F103" s="11"/>
      <c r="G103" s="11"/>
      <c r="H103" s="396" t="s">
        <v>835</v>
      </c>
      <c r="I103" s="122" t="str">
        <f>IF(_epmOfflineCondition_,"T4",_xll.EVPRO($B$1,$H103,"STYLE"))</f>
        <v>T4</v>
      </c>
      <c r="J103" s="122" t="str">
        <f>IF(_epmOfflineCondition_,"Y",_xll.EVPRO($B$1,$H103,"CALC"))</f>
        <v>Y</v>
      </c>
      <c r="K103" s="179" t="str">
        <f t="shared" si="38"/>
        <v>&gt;</v>
      </c>
      <c r="L103" s="90" t="str">
        <f>IF(_epmOfflineCondition_,"703000",_xll.EVPRO($B$1,H103,"JDEID"))</f>
        <v>703000</v>
      </c>
      <c r="M103" s="90" t="str">
        <f>IF(_epmOfflineCondition_,"",IF(AND(I103="N",J103="N"),_xll.EVPRO($B$1,H103,"PSFTID"),""))</f>
        <v/>
      </c>
      <c r="N103" s="90" t="str">
        <f>IF(_epmOfflineCondition_,"Complimentary Services &amp; Gifts",IF(_xll.EVDES(H103,$B$1)="#NODATA","",_xll.EVDES(H103,$B$1)))</f>
        <v>Complimentary Services &amp; Gifts</v>
      </c>
      <c r="O103" s="210"/>
      <c r="P103" s="210">
        <v>57.69</v>
      </c>
      <c r="Q103" s="210"/>
      <c r="R103" s="210"/>
      <c r="S103" s="210"/>
      <c r="T103" s="210"/>
      <c r="U103" s="210">
        <v>4.58</v>
      </c>
      <c r="V103" s="210"/>
      <c r="W103" s="210"/>
      <c r="X103" s="210"/>
      <c r="Y103" s="210"/>
      <c r="Z103" s="210"/>
      <c r="AA103" s="250">
        <f t="shared" si="39"/>
        <v>62.269999999999996</v>
      </c>
      <c r="AB103" s="211">
        <f t="shared" si="40"/>
        <v>1.0154330660588048E-4</v>
      </c>
      <c r="AC103" s="140"/>
      <c r="AD103" s="210">
        <v>3720.9079145539999</v>
      </c>
      <c r="AE103" s="211">
        <f t="shared" si="41"/>
        <v>1.0968874775975801E-3</v>
      </c>
      <c r="AF103" s="253">
        <f t="shared" si="42"/>
        <v>-3658.637914554</v>
      </c>
      <c r="AG103" s="210">
        <v>11.53</v>
      </c>
      <c r="AH103" s="211">
        <f t="shared" si="43"/>
        <v>1.121471270707291E-5</v>
      </c>
      <c r="AI103" s="253">
        <f t="shared" si="44"/>
        <v>50.739999999999995</v>
      </c>
      <c r="AJ103" s="212">
        <f t="shared" si="45"/>
        <v>3.6220335039553278E-3</v>
      </c>
      <c r="AK103" s="213">
        <f t="shared" si="46"/>
        <v>4.7596550278269548E-2</v>
      </c>
      <c r="AL103" s="215">
        <f t="shared" si="47"/>
        <v>3.3682918991557358E-4</v>
      </c>
      <c r="AM103" s="423" t="str">
        <f t="shared" si="48"/>
        <v>-0.1 pts.</v>
      </c>
      <c r="AN103" s="424" t="str">
        <f t="shared" si="49"/>
        <v>0.01 pts.</v>
      </c>
      <c r="AO103" s="11"/>
      <c r="AP103" s="11"/>
    </row>
    <row r="104" spans="1:42" x14ac:dyDescent="0.35">
      <c r="A104" s="65" t="s">
        <v>3</v>
      </c>
      <c r="B104" s="66" t="str">
        <f>IF(_epmOfflineCondition_,"'FB_Cons'!$O$16:$AN$18",_xll.EVRNG($O$16:$AN$18))</f>
        <v>'FB_Cons'!$O$16:$AN$18</v>
      </c>
      <c r="C104" s="11"/>
      <c r="D104" s="11"/>
      <c r="E104" s="11"/>
      <c r="F104" s="11"/>
      <c r="G104" s="11"/>
      <c r="H104" s="396" t="s">
        <v>836</v>
      </c>
      <c r="I104" s="122" t="str">
        <f>IF(_epmOfflineCondition_,"N",_xll.EVPRO($B$1,$H104,"STYLE"))</f>
        <v>N</v>
      </c>
      <c r="J104" s="122" t="str">
        <f>IF(_epmOfflineCondition_,"N",_xll.EVPRO($B$1,$H104,"CALC"))</f>
        <v>N</v>
      </c>
      <c r="K104" s="179" t="str">
        <f t="shared" si="38"/>
        <v/>
      </c>
      <c r="L104" s="90" t="str">
        <f>IF(_epmOfflineCondition_,"703100",_xll.EVPRO($B$1,H104,"JDEID"))</f>
        <v>703100</v>
      </c>
      <c r="M104" s="90" t="str">
        <f>IF(_epmOfflineCondition_,"690035",IF(AND(I104="N",J104="N"),_xll.EVPRO($B$1,H104,"PSFTID"),""))</f>
        <v>690035</v>
      </c>
      <c r="N104" s="90" t="str">
        <f>IF(_epmOfflineCondition_,"Training",IF(_xll.EVDES(H104,$B$1)="#NODATA","",_xll.EVDES(H104,$B$1)))</f>
        <v>Training</v>
      </c>
      <c r="O104" s="210"/>
      <c r="P104" s="210"/>
      <c r="Q104" s="210"/>
      <c r="R104" s="210"/>
      <c r="S104" s="210"/>
      <c r="T104" s="210"/>
      <c r="U104" s="210"/>
      <c r="V104" s="210"/>
      <c r="W104" s="210"/>
      <c r="X104" s="210"/>
      <c r="Y104" s="210"/>
      <c r="Z104" s="210"/>
      <c r="AA104" s="250">
        <f t="shared" si="39"/>
        <v>0</v>
      </c>
      <c r="AB104" s="211" t="str">
        <f t="shared" si="40"/>
        <v/>
      </c>
      <c r="AC104" s="140"/>
      <c r="AD104" s="210">
        <v>2200</v>
      </c>
      <c r="AE104" s="211">
        <f t="shared" si="41"/>
        <v>6.4853861104055956E-4</v>
      </c>
      <c r="AF104" s="253">
        <f t="shared" si="42"/>
        <v>-2200</v>
      </c>
      <c r="AG104" s="210"/>
      <c r="AH104" s="211" t="str">
        <f t="shared" si="43"/>
        <v/>
      </c>
      <c r="AI104" s="253">
        <f t="shared" si="44"/>
        <v>0</v>
      </c>
      <c r="AJ104" s="212">
        <f t="shared" si="45"/>
        <v>0</v>
      </c>
      <c r="AK104" s="213">
        <f t="shared" si="46"/>
        <v>2.8141629144494473E-2</v>
      </c>
      <c r="AL104" s="215">
        <f t="shared" si="47"/>
        <v>0</v>
      </c>
      <c r="AM104" s="423">
        <f t="shared" si="48"/>
        <v>0</v>
      </c>
      <c r="AN104" s="424">
        <f t="shared" si="49"/>
        <v>0</v>
      </c>
      <c r="AO104" s="11"/>
      <c r="AP104" s="11"/>
    </row>
    <row r="105" spans="1:42" x14ac:dyDescent="0.35">
      <c r="A105" s="65" t="s">
        <v>4</v>
      </c>
      <c r="B105" s="66" t="str">
        <f>IF(_epmOfflineCondition_,"'FB_Cons'!$H$117:$H$120",_xll.EVRNG(H117:H120))</f>
        <v>'FB_Cons'!$H$117:$H$120</v>
      </c>
      <c r="C105" s="11"/>
      <c r="D105" s="11"/>
      <c r="E105" s="11"/>
      <c r="F105" s="11"/>
      <c r="G105" s="11"/>
      <c r="H105" s="396" t="s">
        <v>837</v>
      </c>
      <c r="I105" s="122" t="str">
        <f>IF(_epmOfflineCondition_,"N",_xll.EVPRO($B$1,$H105,"STYLE"))</f>
        <v>N</v>
      </c>
      <c r="J105" s="122" t="str">
        <f>IF(_epmOfflineCondition_,"N",_xll.EVPRO($B$1,$H105,"CALC"))</f>
        <v>N</v>
      </c>
      <c r="K105" s="179" t="str">
        <f t="shared" si="38"/>
        <v/>
      </c>
      <c r="L105" s="90" t="str">
        <f>IF(_epmOfflineCondition_,"703200",_xll.EVPRO($B$1,H105,"JDEID"))</f>
        <v>703200</v>
      </c>
      <c r="M105" s="90" t="str">
        <f>IF(_epmOfflineCondition_,"590035",IF(AND(I105="N",J105="N"),_xll.EVPRO($B$1,H105,"PSFTID"),""))</f>
        <v>590035</v>
      </c>
      <c r="N105" s="90" t="str">
        <f>IF(_epmOfflineCondition_,"Uniform Costs",IF(_xll.EVDES(H105,$B$1)="#NODATA","",_xll.EVDES(H105,$B$1)))</f>
        <v>Uniform Costs</v>
      </c>
      <c r="O105" s="210">
        <v>69.55</v>
      </c>
      <c r="P105" s="210">
        <v>38</v>
      </c>
      <c r="Q105" s="210">
        <v>782.81</v>
      </c>
      <c r="R105" s="210"/>
      <c r="S105" s="210"/>
      <c r="T105" s="210"/>
      <c r="U105" s="210"/>
      <c r="V105" s="210"/>
      <c r="W105" s="210"/>
      <c r="X105" s="210"/>
      <c r="Y105" s="210"/>
      <c r="Z105" s="210"/>
      <c r="AA105" s="250">
        <f t="shared" si="39"/>
        <v>890.3599999999999</v>
      </c>
      <c r="AB105" s="211">
        <f t="shared" si="40"/>
        <v>1.4519045843843221E-3</v>
      </c>
      <c r="AC105" s="140"/>
      <c r="AD105" s="210">
        <v>3600</v>
      </c>
      <c r="AE105" s="211">
        <f t="shared" si="41"/>
        <v>1.0612449998845521E-3</v>
      </c>
      <c r="AF105" s="253">
        <f t="shared" si="42"/>
        <v>-2709.6400000000003</v>
      </c>
      <c r="AG105" s="210">
        <v>3894.32</v>
      </c>
      <c r="AH105" s="211">
        <f t="shared" si="43"/>
        <v>3.7878300077543955E-3</v>
      </c>
      <c r="AI105" s="253">
        <f t="shared" si="44"/>
        <v>-3003.96</v>
      </c>
      <c r="AJ105" s="212">
        <f t="shared" si="45"/>
        <v>5.1789204281060951E-2</v>
      </c>
      <c r="AK105" s="213">
        <f t="shared" si="46"/>
        <v>4.6049938600081865E-2</v>
      </c>
      <c r="AL105" s="215">
        <f t="shared" si="47"/>
        <v>0.11376588472437264</v>
      </c>
      <c r="AM105" s="423" t="str">
        <f t="shared" si="48"/>
        <v>0.04 pts.</v>
      </c>
      <c r="AN105" s="424" t="str">
        <f t="shared" si="49"/>
        <v>-0.23 pts.</v>
      </c>
      <c r="AO105" s="11"/>
      <c r="AP105" s="11"/>
    </row>
    <row r="106" spans="1:42" x14ac:dyDescent="0.35">
      <c r="A106" s="65" t="s">
        <v>5</v>
      </c>
      <c r="B106" s="66"/>
      <c r="C106" s="11"/>
      <c r="D106" s="11"/>
      <c r="E106" s="11"/>
      <c r="F106" s="11"/>
      <c r="G106" s="11"/>
      <c r="H106" s="396" t="s">
        <v>838</v>
      </c>
      <c r="I106" s="122" t="str">
        <f>IF(_epmOfflineCondition_,"N",_xll.EVPRO($B$1,$H106,"STYLE"))</f>
        <v>N</v>
      </c>
      <c r="J106" s="122" t="str">
        <f>IF(_epmOfflineCondition_,"N",_xll.EVPRO($B$1,$H106,"CALC"))</f>
        <v>N</v>
      </c>
      <c r="K106" s="179" t="str">
        <f t="shared" si="38"/>
        <v/>
      </c>
      <c r="L106" s="90" t="str">
        <f>IF(_epmOfflineCondition_,"703300",_xll.EVPRO($B$1,H106,"JDEID"))</f>
        <v>703300</v>
      </c>
      <c r="M106" s="90" t="str">
        <f>IF(_epmOfflineCondition_,"590115",IF(AND(I106="N",J106="N"),_xll.EVPRO($B$1,H106,"PSFTID"),""))</f>
        <v>590115</v>
      </c>
      <c r="N106" s="90" t="str">
        <f>IF(_epmOfflineCondition_,"Uniforms Laundry",IF(_xll.EVDES(H106,$B$1)="#NODATA","",_xll.EVDES(H106,$B$1)))</f>
        <v>Uniforms Laundry</v>
      </c>
      <c r="O106" s="210">
        <v>851.64</v>
      </c>
      <c r="P106" s="210">
        <v>181.5</v>
      </c>
      <c r="Q106" s="210">
        <v>290.5</v>
      </c>
      <c r="R106" s="210"/>
      <c r="S106" s="210"/>
      <c r="T106" s="210">
        <v>66</v>
      </c>
      <c r="U106" s="210">
        <v>105.6</v>
      </c>
      <c r="V106" s="210">
        <v>95.7</v>
      </c>
      <c r="W106" s="210">
        <v>125.4</v>
      </c>
      <c r="X106" s="210">
        <v>178.6</v>
      </c>
      <c r="Y106" s="210">
        <v>257.39999999999998</v>
      </c>
      <c r="Z106" s="210">
        <v>283.8</v>
      </c>
      <c r="AA106" s="250">
        <f t="shared" si="39"/>
        <v>2436.14</v>
      </c>
      <c r="AB106" s="211">
        <f t="shared" si="40"/>
        <v>3.9725985378970558E-3</v>
      </c>
      <c r="AC106" s="140"/>
      <c r="AD106" s="210">
        <v>6695.4888749439997</v>
      </c>
      <c r="AE106" s="211">
        <f t="shared" si="41"/>
        <v>1.9737650250880459E-3</v>
      </c>
      <c r="AF106" s="253">
        <f t="shared" si="42"/>
        <v>-4259.3488749440003</v>
      </c>
      <c r="AG106" s="210">
        <v>4450.2</v>
      </c>
      <c r="AH106" s="211">
        <f t="shared" si="43"/>
        <v>4.3285094960117832E-3</v>
      </c>
      <c r="AI106" s="253">
        <f t="shared" si="44"/>
        <v>-2014.06</v>
      </c>
      <c r="AJ106" s="212">
        <f t="shared" si="45"/>
        <v>0.14170195439739414</v>
      </c>
      <c r="AK106" s="213">
        <f t="shared" si="46"/>
        <v>8.5646347663528438E-2</v>
      </c>
      <c r="AL106" s="215">
        <f t="shared" si="47"/>
        <v>0.13000496625865443</v>
      </c>
      <c r="AM106" s="423" t="str">
        <f t="shared" si="48"/>
        <v>0.2 pts.</v>
      </c>
      <c r="AN106" s="424" t="str">
        <f t="shared" si="49"/>
        <v>-0.04 pts.</v>
      </c>
      <c r="AO106" s="11"/>
      <c r="AP106" s="11"/>
    </row>
    <row r="107" spans="1:42" x14ac:dyDescent="0.35">
      <c r="A107" s="65" t="s">
        <v>6</v>
      </c>
      <c r="B107" s="66"/>
      <c r="C107" s="11"/>
      <c r="D107" s="11"/>
      <c r="E107" s="11"/>
      <c r="F107" s="11"/>
      <c r="G107" s="11"/>
      <c r="H107" s="396" t="s">
        <v>864</v>
      </c>
      <c r="I107" s="122" t="str">
        <f>IF(_epmOfflineCondition_,"N",_xll.EVPRO($B$1,$H107,"STYLE"))</f>
        <v>N</v>
      </c>
      <c r="J107" s="122" t="str">
        <f>IF(_epmOfflineCondition_,"N",_xll.EVPRO($B$1,$H107,"CALC"))</f>
        <v>N</v>
      </c>
      <c r="K107" s="179" t="str">
        <f t="shared" si="38"/>
        <v/>
      </c>
      <c r="L107" s="90" t="str">
        <f>IF(_epmOfflineCondition_,"703400",_xll.EVPRO($B$1,H107,"JDEID"))</f>
        <v>703400</v>
      </c>
      <c r="M107" s="90" t="str">
        <f>IF(_epmOfflineCondition_,"590010",IF(AND(I107="N",J107="N"),_xll.EVPRO($B$1,H107,"PSFTID"),""))</f>
        <v>590010</v>
      </c>
      <c r="N107" s="90" t="str">
        <f>IF(_epmOfflineCondition_,"Linen",IF(_xll.EVDES(H107,$B$1)="#NODATA","",_xll.EVDES(H107,$B$1)))</f>
        <v>Linen</v>
      </c>
      <c r="O107" s="210">
        <v>2412.15</v>
      </c>
      <c r="P107" s="210">
        <v>2282.4499999999998</v>
      </c>
      <c r="Q107" s="210">
        <v>1194.55</v>
      </c>
      <c r="R107" s="210"/>
      <c r="S107" s="210"/>
      <c r="T107" s="210"/>
      <c r="U107" s="210"/>
      <c r="V107" s="210"/>
      <c r="W107" s="210"/>
      <c r="X107" s="210"/>
      <c r="Y107" s="210"/>
      <c r="Z107" s="210">
        <v>341.99</v>
      </c>
      <c r="AA107" s="250">
        <f t="shared" si="39"/>
        <v>6231.14</v>
      </c>
      <c r="AB107" s="211">
        <f t="shared" si="40"/>
        <v>1.0161081733164705E-2</v>
      </c>
      <c r="AC107" s="140"/>
      <c r="AD107" s="210">
        <v>31409.99</v>
      </c>
      <c r="AE107" s="211">
        <f t="shared" si="41"/>
        <v>9.2593596760899392E-3</v>
      </c>
      <c r="AF107" s="253">
        <f t="shared" si="42"/>
        <v>-25178.850000000002</v>
      </c>
      <c r="AG107" s="210">
        <v>11857.02</v>
      </c>
      <c r="AH107" s="211">
        <f t="shared" si="43"/>
        <v>1.1532790360972909E-2</v>
      </c>
      <c r="AI107" s="253">
        <f t="shared" si="44"/>
        <v>-5625.88</v>
      </c>
      <c r="AJ107" s="212">
        <f t="shared" si="45"/>
        <v>0.36244416007445324</v>
      </c>
      <c r="AK107" s="213">
        <f t="shared" si="46"/>
        <v>0.40178558636921818</v>
      </c>
      <c r="AL107" s="215">
        <f t="shared" si="47"/>
        <v>0.34638251876953641</v>
      </c>
      <c r="AM107" s="423" t="str">
        <f t="shared" si="48"/>
        <v>0.09 pts.</v>
      </c>
      <c r="AN107" s="424" t="str">
        <f t="shared" si="49"/>
        <v>-0.14 pts.</v>
      </c>
      <c r="AO107" s="11"/>
      <c r="AP107" s="11"/>
    </row>
    <row r="108" spans="1:42" x14ac:dyDescent="0.35">
      <c r="A108" s="65" t="s">
        <v>7</v>
      </c>
      <c r="B108" s="66"/>
      <c r="C108" s="11"/>
      <c r="D108" s="11"/>
      <c r="E108" s="11"/>
      <c r="F108" s="11"/>
      <c r="G108" s="76"/>
      <c r="H108" s="396" t="s">
        <v>865</v>
      </c>
      <c r="I108" s="122" t="str">
        <f>IF(_epmOfflineCondition_,"N",_xll.EVPRO($B$1,$H108,"STYLE"))</f>
        <v>N</v>
      </c>
      <c r="J108" s="122" t="str">
        <f>IF(_epmOfflineCondition_,"N",_xll.EVPRO($B$1,$H108,"CALC"))</f>
        <v>N</v>
      </c>
      <c r="K108" s="179" t="str">
        <f t="shared" si="38"/>
        <v/>
      </c>
      <c r="L108" s="90" t="str">
        <f>IF(_epmOfflineCondition_,"703500",_xll.EVPRO($B$1,H108,"JDEID"))</f>
        <v>703500</v>
      </c>
      <c r="M108" s="90" t="str">
        <f>IF(_epmOfflineCondition_,"590004",IF(AND(I108="N",J108="N"),_xll.EVPRO($B$1,H108,"PSFTID"),""))</f>
        <v>590004</v>
      </c>
      <c r="N108" s="90" t="str">
        <f>IF(_epmOfflineCondition_,"China",IF(_xll.EVDES(H108,$B$1)="#NODATA","",_xll.EVDES(H108,$B$1)))</f>
        <v>China</v>
      </c>
      <c r="O108" s="210"/>
      <c r="P108" s="210"/>
      <c r="Q108" s="210"/>
      <c r="R108" s="210"/>
      <c r="S108" s="210"/>
      <c r="T108" s="210"/>
      <c r="U108" s="210"/>
      <c r="V108" s="210"/>
      <c r="W108" s="210"/>
      <c r="X108" s="210"/>
      <c r="Y108" s="210"/>
      <c r="Z108" s="210"/>
      <c r="AA108" s="250">
        <f t="shared" si="39"/>
        <v>0</v>
      </c>
      <c r="AB108" s="211" t="str">
        <f t="shared" si="40"/>
        <v/>
      </c>
      <c r="AC108" s="140"/>
      <c r="AD108" s="210">
        <v>5450</v>
      </c>
      <c r="AE108" s="211">
        <f t="shared" si="41"/>
        <v>1.6066070137141135E-3</v>
      </c>
      <c r="AF108" s="253">
        <f t="shared" si="42"/>
        <v>-5450</v>
      </c>
      <c r="AG108" s="210">
        <v>114.33</v>
      </c>
      <c r="AH108" s="211">
        <f t="shared" si="43"/>
        <v>1.1120365167386347E-4</v>
      </c>
      <c r="AI108" s="253">
        <f t="shared" si="44"/>
        <v>-114.33</v>
      </c>
      <c r="AJ108" s="212">
        <f t="shared" si="45"/>
        <v>0</v>
      </c>
      <c r="AK108" s="213">
        <f t="shared" si="46"/>
        <v>6.9714490380679492E-2</v>
      </c>
      <c r="AL108" s="215">
        <f t="shared" si="47"/>
        <v>3.3399550115392482E-3</v>
      </c>
      <c r="AM108" s="423">
        <f t="shared" si="48"/>
        <v>0</v>
      </c>
      <c r="AN108" s="424">
        <f t="shared" si="49"/>
        <v>0</v>
      </c>
      <c r="AO108" s="11"/>
      <c r="AP108" s="11"/>
    </row>
    <row r="109" spans="1:42" x14ac:dyDescent="0.35">
      <c r="A109" s="65" t="s">
        <v>47</v>
      </c>
      <c r="B109" s="66" t="str">
        <f>IF(_epmOfflineCondition_,"'FB_Cons'!$A$114:$B$135",_xll.EVRNG($A$114:$B$135))</f>
        <v>'FB_Cons'!$A$114:$B$135</v>
      </c>
      <c r="C109" s="11"/>
      <c r="D109" s="11"/>
      <c r="E109" s="11"/>
      <c r="F109" s="11"/>
      <c r="G109" s="11"/>
      <c r="H109" s="396" t="s">
        <v>866</v>
      </c>
      <c r="I109" s="122" t="str">
        <f>IF(_epmOfflineCondition_,"N",_xll.EVPRO($B$1,$H109,"STYLE"))</f>
        <v>N</v>
      </c>
      <c r="J109" s="122" t="str">
        <f>IF(_epmOfflineCondition_,"N",_xll.EVPRO($B$1,$H109,"CALC"))</f>
        <v>N</v>
      </c>
      <c r="K109" s="179" t="str">
        <f t="shared" si="38"/>
        <v/>
      </c>
      <c r="L109" s="90" t="str">
        <f>IF(_epmOfflineCondition_,"703510",_xll.EVPRO($B$1,H109,"JDEID"))</f>
        <v>703510</v>
      </c>
      <c r="M109" s="90" t="str">
        <f>IF(_epmOfflineCondition_,"590003",IF(AND(I109="N",J109="N"),_xll.EVPRO($B$1,H109,"PSFTID"),""))</f>
        <v>590003</v>
      </c>
      <c r="N109" s="90" t="str">
        <f>IF(_epmOfflineCondition_,"Glassware",IF(_xll.EVDES(H109,$B$1)="#NODATA","",_xll.EVDES(H109,$B$1)))</f>
        <v>Glassware</v>
      </c>
      <c r="O109" s="210">
        <v>1081.58</v>
      </c>
      <c r="P109" s="210"/>
      <c r="Q109" s="210">
        <v>-1081.58</v>
      </c>
      <c r="R109" s="210"/>
      <c r="S109" s="210">
        <v>1081.58</v>
      </c>
      <c r="T109" s="210"/>
      <c r="U109" s="210"/>
      <c r="V109" s="210"/>
      <c r="W109" s="210"/>
      <c r="X109" s="210"/>
      <c r="Y109" s="210"/>
      <c r="Z109" s="210"/>
      <c r="AA109" s="250">
        <f t="shared" si="39"/>
        <v>1081.58</v>
      </c>
      <c r="AB109" s="211">
        <f t="shared" si="40"/>
        <v>1.7637258641205751E-3</v>
      </c>
      <c r="AC109" s="140"/>
      <c r="AD109" s="210">
        <v>4400</v>
      </c>
      <c r="AE109" s="211">
        <f t="shared" si="41"/>
        <v>1.2970772220811191E-3</v>
      </c>
      <c r="AF109" s="253">
        <f t="shared" si="42"/>
        <v>-3318.42</v>
      </c>
      <c r="AG109" s="210">
        <v>4401.3</v>
      </c>
      <c r="AH109" s="211">
        <f t="shared" si="43"/>
        <v>4.2809466641491765E-3</v>
      </c>
      <c r="AI109" s="253">
        <f t="shared" si="44"/>
        <v>-3319.7200000000003</v>
      </c>
      <c r="AJ109" s="212">
        <f t="shared" si="45"/>
        <v>6.2911819450907389E-2</v>
      </c>
      <c r="AK109" s="213">
        <f t="shared" si="46"/>
        <v>5.6283258288988947E-2</v>
      </c>
      <c r="AL109" s="215">
        <f t="shared" si="47"/>
        <v>0.12857643656334902</v>
      </c>
      <c r="AM109" s="423" t="str">
        <f t="shared" si="48"/>
        <v>0.05 pts.</v>
      </c>
      <c r="AN109" s="424" t="str">
        <f t="shared" si="49"/>
        <v>-0.25 pts.</v>
      </c>
      <c r="AO109" s="11"/>
      <c r="AP109" s="11"/>
    </row>
    <row r="110" spans="1:42" x14ac:dyDescent="0.35">
      <c r="A110" s="65" t="s">
        <v>8</v>
      </c>
      <c r="B110" s="66"/>
      <c r="C110" s="11"/>
      <c r="D110" s="11"/>
      <c r="E110" s="11"/>
      <c r="F110" s="11"/>
      <c r="G110" s="11"/>
      <c r="H110" s="396" t="s">
        <v>867</v>
      </c>
      <c r="I110" s="122" t="str">
        <f>IF(_epmOfflineCondition_,"N",_xll.EVPRO($B$1,$H110,"STYLE"))</f>
        <v>N</v>
      </c>
      <c r="J110" s="122" t="str">
        <f>IF(_epmOfflineCondition_,"N",_xll.EVPRO($B$1,$H110,"CALC"))</f>
        <v>N</v>
      </c>
      <c r="K110" s="179" t="str">
        <f t="shared" si="38"/>
        <v/>
      </c>
      <c r="L110" s="90" t="str">
        <f>IF(_epmOfflineCondition_,"703520",_xll.EVPRO($B$1,H110,"JDEID"))</f>
        <v>703520</v>
      </c>
      <c r="M110" s="90" t="str">
        <f>IF(_epmOfflineCondition_,"590008",IF(AND(I110="N",J110="N"),_xll.EVPRO($B$1,H110,"PSFTID"),""))</f>
        <v>590008</v>
      </c>
      <c r="N110" s="90" t="str">
        <f>IF(_epmOfflineCondition_,"Flatware",IF(_xll.EVDES(H110,$B$1)="#NODATA","",_xll.EVDES(H110,$B$1)))</f>
        <v>Flatware</v>
      </c>
      <c r="O110" s="210"/>
      <c r="P110" s="210"/>
      <c r="Q110" s="210"/>
      <c r="R110" s="210"/>
      <c r="S110" s="210"/>
      <c r="T110" s="210"/>
      <c r="U110" s="210"/>
      <c r="V110" s="210"/>
      <c r="W110" s="210"/>
      <c r="X110" s="210"/>
      <c r="Y110" s="210"/>
      <c r="Z110" s="210"/>
      <c r="AA110" s="250">
        <f t="shared" si="39"/>
        <v>0</v>
      </c>
      <c r="AB110" s="211" t="str">
        <f t="shared" si="40"/>
        <v/>
      </c>
      <c r="AC110" s="140"/>
      <c r="AD110" s="210">
        <v>2600</v>
      </c>
      <c r="AE110" s="211">
        <f t="shared" si="41"/>
        <v>7.6645472213884315E-4</v>
      </c>
      <c r="AF110" s="253">
        <f t="shared" si="42"/>
        <v>-2600</v>
      </c>
      <c r="AG110" s="210">
        <v>513.79</v>
      </c>
      <c r="AH110" s="211">
        <f t="shared" si="43"/>
        <v>4.9974043727380661E-4</v>
      </c>
      <c r="AI110" s="253">
        <f t="shared" si="44"/>
        <v>-513.79</v>
      </c>
      <c r="AJ110" s="212">
        <f t="shared" si="45"/>
        <v>0</v>
      </c>
      <c r="AK110" s="213">
        <f t="shared" si="46"/>
        <v>3.3258288988948018E-2</v>
      </c>
      <c r="AL110" s="215">
        <f t="shared" si="47"/>
        <v>1.5009494318015832E-2</v>
      </c>
      <c r="AM110" s="423">
        <f t="shared" si="48"/>
        <v>0</v>
      </c>
      <c r="AN110" s="424">
        <f t="shared" si="49"/>
        <v>0</v>
      </c>
      <c r="AO110" s="11"/>
      <c r="AP110" s="11"/>
    </row>
    <row r="111" spans="1:42" x14ac:dyDescent="0.35">
      <c r="A111" s="11"/>
      <c r="B111" s="11"/>
      <c r="C111" s="11"/>
      <c r="D111" s="11"/>
      <c r="E111" s="11"/>
      <c r="F111" s="11"/>
      <c r="G111" s="11"/>
      <c r="H111" s="396" t="s">
        <v>879</v>
      </c>
      <c r="I111" s="122" t="str">
        <f>IF(_epmOfflineCondition_,"N",_xll.EVPRO($B$1,$H111,"STYLE"))</f>
        <v>N</v>
      </c>
      <c r="J111" s="122" t="str">
        <f>IF(_epmOfflineCondition_,"N",_xll.EVPRO($B$1,$H111,"CALC"))</f>
        <v>N</v>
      </c>
      <c r="K111" s="179" t="str">
        <f t="shared" si="38"/>
        <v/>
      </c>
      <c r="L111" s="90" t="str">
        <f>IF(_epmOfflineCondition_,"703700",_xll.EVPRO($B$1,H111,"JDEID"))</f>
        <v>703700</v>
      </c>
      <c r="M111" s="90" t="str">
        <f>IF(_epmOfflineCondition_,"590046",IF(AND(I111="N",J111="N"),_xll.EVPRO($B$1,H111,"PSFTID"),""))</f>
        <v>590046</v>
      </c>
      <c r="N111" s="90" t="str">
        <f>IF(_epmOfflineCondition_,"Menus and Beverage Lists",IF(_xll.EVDES(H111,$B$1)="#NODATA","",_xll.EVDES(H111,$B$1)))</f>
        <v>Menus and Beverage Lists</v>
      </c>
      <c r="O111" s="210">
        <v>384.68</v>
      </c>
      <c r="P111" s="210">
        <v>1293.3900000000001</v>
      </c>
      <c r="Q111" s="210"/>
      <c r="R111" s="210"/>
      <c r="S111" s="210"/>
      <c r="T111" s="210"/>
      <c r="U111" s="210"/>
      <c r="V111" s="210"/>
      <c r="W111" s="210"/>
      <c r="X111" s="210"/>
      <c r="Y111" s="210"/>
      <c r="Z111" s="210"/>
      <c r="AA111" s="250">
        <f t="shared" si="39"/>
        <v>1678.0700000000002</v>
      </c>
      <c r="AB111" s="211">
        <f t="shared" si="40"/>
        <v>2.7364184441324856E-3</v>
      </c>
      <c r="AC111" s="140"/>
      <c r="AD111" s="210"/>
      <c r="AE111" s="211" t="str">
        <f t="shared" si="41"/>
        <v/>
      </c>
      <c r="AF111" s="253">
        <f t="shared" si="42"/>
        <v>1678.0700000000002</v>
      </c>
      <c r="AG111" s="210">
        <v>2132.31</v>
      </c>
      <c r="AH111" s="211">
        <f t="shared" si="43"/>
        <v>2.074002086072735E-3</v>
      </c>
      <c r="AI111" s="253">
        <f t="shared" si="44"/>
        <v>-454.23999999999978</v>
      </c>
      <c r="AJ111" s="212">
        <f t="shared" si="45"/>
        <v>9.7607608189855755E-2</v>
      </c>
      <c r="AK111" s="213">
        <f t="shared" si="46"/>
        <v>0</v>
      </c>
      <c r="AL111" s="215">
        <f t="shared" si="47"/>
        <v>6.229178230259122E-2</v>
      </c>
      <c r="AM111" s="423">
        <f t="shared" si="48"/>
        <v>0</v>
      </c>
      <c r="AN111" s="424" t="str">
        <f t="shared" si="49"/>
        <v>0.07 pts.</v>
      </c>
      <c r="AO111" s="11"/>
      <c r="AP111" s="11"/>
    </row>
    <row r="112" spans="1:42" x14ac:dyDescent="0.35">
      <c r="A112" s="11"/>
      <c r="B112" s="11"/>
      <c r="C112" s="11"/>
      <c r="D112" s="11"/>
      <c r="E112" s="11"/>
      <c r="F112" s="11"/>
      <c r="G112" s="11"/>
      <c r="H112" s="396" t="s">
        <v>868</v>
      </c>
      <c r="I112" s="122" t="str">
        <f>IF(_epmOfflineCondition_,"N",_xll.EVPRO($B$1,$H112,"STYLE"))</f>
        <v>N</v>
      </c>
      <c r="J112" s="122" t="str">
        <f>IF(_epmOfflineCondition_,"N",_xll.EVPRO($B$1,$H112,"CALC"))</f>
        <v>N</v>
      </c>
      <c r="K112" s="179" t="str">
        <f t="shared" si="38"/>
        <v/>
      </c>
      <c r="L112" s="90" t="str">
        <f>IF(_epmOfflineCondition_,"703800",_xll.EVPRO($B$1,H112,"JDEID"))</f>
        <v>703800</v>
      </c>
      <c r="M112" s="90" t="str">
        <f>IF(_epmOfflineCondition_,"690065",IF(AND(I112="N",J112="N"),_xll.EVPRO($B$1,H112,"PSFTID"),""))</f>
        <v>690065</v>
      </c>
      <c r="N112" s="90" t="str">
        <f>IF(_epmOfflineCondition_,"Equipment Rental",IF(_xll.EVDES(H112,$B$1)="#NODATA","",_xll.EVDES(H112,$B$1)))</f>
        <v>Equipment Rental</v>
      </c>
      <c r="O112" s="210">
        <v>2520.75</v>
      </c>
      <c r="P112" s="210">
        <v>1643.75</v>
      </c>
      <c r="Q112" s="210"/>
      <c r="R112" s="210"/>
      <c r="S112" s="210"/>
      <c r="T112" s="210"/>
      <c r="U112" s="210"/>
      <c r="V112" s="210"/>
      <c r="W112" s="210"/>
      <c r="X112" s="210"/>
      <c r="Y112" s="210"/>
      <c r="Z112" s="210"/>
      <c r="AA112" s="250">
        <f t="shared" si="39"/>
        <v>4164.5</v>
      </c>
      <c r="AB112" s="211">
        <f t="shared" si="40"/>
        <v>6.791024576203457E-3</v>
      </c>
      <c r="AC112" s="140"/>
      <c r="AD112" s="210">
        <v>4000</v>
      </c>
      <c r="AE112" s="211">
        <f t="shared" si="41"/>
        <v>1.1791611109828357E-3</v>
      </c>
      <c r="AF112" s="253">
        <f t="shared" si="42"/>
        <v>164.5</v>
      </c>
      <c r="AG112" s="210">
        <v>3717.23</v>
      </c>
      <c r="AH112" s="211">
        <f t="shared" si="43"/>
        <v>3.6155825252482772E-3</v>
      </c>
      <c r="AI112" s="253">
        <f t="shared" si="44"/>
        <v>447.27</v>
      </c>
      <c r="AJ112" s="212">
        <f t="shared" si="45"/>
        <v>0.24223476035365285</v>
      </c>
      <c r="AK112" s="213">
        <f t="shared" si="46"/>
        <v>5.1166598444535409E-2</v>
      </c>
      <c r="AL112" s="215">
        <f t="shared" si="47"/>
        <v>0.10859250387076043</v>
      </c>
      <c r="AM112" s="423" t="str">
        <f t="shared" si="48"/>
        <v>0.56 pts.</v>
      </c>
      <c r="AN112" s="424" t="str">
        <f t="shared" si="49"/>
        <v>0.32 pts.</v>
      </c>
      <c r="AO112" s="11"/>
      <c r="AP112" s="11"/>
    </row>
    <row r="113" spans="1:42" x14ac:dyDescent="0.35">
      <c r="A113" s="62" t="s">
        <v>23</v>
      </c>
      <c r="B113" s="63" t="s">
        <v>24</v>
      </c>
      <c r="C113" s="11"/>
      <c r="D113" s="11"/>
      <c r="E113" s="11"/>
      <c r="F113" s="11"/>
      <c r="G113" s="76"/>
      <c r="H113" s="396" t="s">
        <v>880</v>
      </c>
      <c r="I113" s="122" t="str">
        <f>IF(_epmOfflineCondition_,"N",_xll.EVPRO($B$1,$H113,"STYLE"))</f>
        <v>N</v>
      </c>
      <c r="J113" s="122" t="str">
        <f>IF(_epmOfflineCondition_,"N",_xll.EVPRO($B$1,$H113,"CALC"))</f>
        <v>N</v>
      </c>
      <c r="K113" s="179" t="str">
        <f t="shared" si="38"/>
        <v/>
      </c>
      <c r="L113" s="90" t="str">
        <f>IF(_epmOfflineCondition_,"704100",_xll.EVPRO($B$1,H113,"JDEID"))</f>
        <v>704100</v>
      </c>
      <c r="M113" s="90" t="str">
        <f>IF(_epmOfflineCondition_,"690241",IF(AND(I113="N",J113="N"),_xll.EVPRO($B$1,H113,"PSFTID"),""))</f>
        <v>690241</v>
      </c>
      <c r="N113" s="90" t="str">
        <f>IF(_epmOfflineCondition_,"Music and Entertainment",IF(_xll.EVDES(H113,$B$1)="#NODATA","",_xll.EVDES(H113,$B$1)))</f>
        <v>Music and Entertainment</v>
      </c>
      <c r="O113" s="210"/>
      <c r="P113" s="210">
        <v>1500</v>
      </c>
      <c r="Q113" s="210">
        <v>1150</v>
      </c>
      <c r="R113" s="210"/>
      <c r="S113" s="210"/>
      <c r="T113" s="210"/>
      <c r="U113" s="210">
        <v>450</v>
      </c>
      <c r="V113" s="210">
        <v>450</v>
      </c>
      <c r="W113" s="210">
        <v>650</v>
      </c>
      <c r="X113" s="210"/>
      <c r="Y113" s="210"/>
      <c r="Z113" s="210"/>
      <c r="AA113" s="250">
        <f t="shared" si="39"/>
        <v>4200</v>
      </c>
      <c r="AB113" s="211">
        <f t="shared" si="40"/>
        <v>6.8489142082013496E-3</v>
      </c>
      <c r="AC113" s="140"/>
      <c r="AD113" s="210">
        <v>5700</v>
      </c>
      <c r="AE113" s="211">
        <f t="shared" si="41"/>
        <v>1.6803045831505407E-3</v>
      </c>
      <c r="AF113" s="253">
        <f t="shared" si="42"/>
        <v>-1500</v>
      </c>
      <c r="AG113" s="210">
        <v>4850</v>
      </c>
      <c r="AH113" s="211">
        <f t="shared" si="43"/>
        <v>4.7173769843281543E-3</v>
      </c>
      <c r="AI113" s="253">
        <f t="shared" si="44"/>
        <v>-650</v>
      </c>
      <c r="AJ113" s="212">
        <f t="shared" si="45"/>
        <v>0.24429967426710097</v>
      </c>
      <c r="AK113" s="213">
        <f t="shared" si="46"/>
        <v>7.2912402783462948E-2</v>
      </c>
      <c r="AL113" s="215">
        <f t="shared" si="47"/>
        <v>0.14168443808243988</v>
      </c>
      <c r="AM113" s="423" t="str">
        <f t="shared" si="48"/>
        <v>0.52 pts.</v>
      </c>
      <c r="AN113" s="424" t="str">
        <f t="shared" si="49"/>
        <v>0.21 pts.</v>
      </c>
      <c r="AO113" s="11"/>
      <c r="AP113" s="11"/>
    </row>
    <row r="114" spans="1:42" x14ac:dyDescent="0.35">
      <c r="A114" s="65" t="s">
        <v>25</v>
      </c>
      <c r="B114" s="66"/>
      <c r="C114" s="11"/>
      <c r="D114" s="11"/>
      <c r="E114" s="11"/>
      <c r="F114" s="11"/>
      <c r="G114" s="11"/>
      <c r="H114" s="396" t="s">
        <v>845</v>
      </c>
      <c r="I114" s="122" t="str">
        <f>IF(_epmOfflineCondition_,"N",_xll.EVPRO($B$1,$H114,"STYLE"))</f>
        <v>N</v>
      </c>
      <c r="J114" s="122" t="str">
        <f>IF(_epmOfflineCondition_,"N",_xll.EVPRO($B$1,$H114,"CALC"))</f>
        <v>N</v>
      </c>
      <c r="K114" s="179" t="str">
        <f t="shared" si="38"/>
        <v/>
      </c>
      <c r="L114" s="90" t="str">
        <f>IF(_epmOfflineCondition_,"705500",_xll.EVPRO($B$1,H114,"JDEID"))</f>
        <v>705500</v>
      </c>
      <c r="M114" s="90" t="str">
        <f>IF(_epmOfflineCondition_,"690105",IF(AND(I114="N",J114="N"),_xll.EVPRO($B$1,H114,"PSFTID"),""))</f>
        <v>690105</v>
      </c>
      <c r="N114" s="90" t="str">
        <f>IF(_epmOfflineCondition_,"Licenses &amp; Permits",IF(_xll.EVDES(H114,$B$1)="#NODATA","",_xll.EVDES(H114,$B$1)))</f>
        <v>Licenses &amp; Permits</v>
      </c>
      <c r="O114" s="210"/>
      <c r="P114" s="210"/>
      <c r="Q114" s="210">
        <v>1870</v>
      </c>
      <c r="R114" s="210"/>
      <c r="S114" s="210"/>
      <c r="T114" s="210"/>
      <c r="U114" s="210"/>
      <c r="V114" s="210"/>
      <c r="W114" s="210"/>
      <c r="X114" s="210"/>
      <c r="Y114" s="210"/>
      <c r="Z114" s="210"/>
      <c r="AA114" s="250">
        <f t="shared" si="39"/>
        <v>1870</v>
      </c>
      <c r="AB114" s="211">
        <f t="shared" si="40"/>
        <v>3.0493975165086962E-3</v>
      </c>
      <c r="AC114" s="140"/>
      <c r="AD114" s="210">
        <v>1870</v>
      </c>
      <c r="AE114" s="211">
        <f t="shared" si="41"/>
        <v>5.5125781938447562E-4</v>
      </c>
      <c r="AF114" s="253">
        <f t="shared" si="42"/>
        <v>0</v>
      </c>
      <c r="AG114" s="210">
        <v>6295</v>
      </c>
      <c r="AH114" s="211">
        <f t="shared" si="43"/>
        <v>6.1228635291434496E-3</v>
      </c>
      <c r="AI114" s="253">
        <f t="shared" si="44"/>
        <v>-4425</v>
      </c>
      <c r="AJ114" s="212">
        <f t="shared" si="45"/>
        <v>0.10877152163797114</v>
      </c>
      <c r="AK114" s="213">
        <f t="shared" si="46"/>
        <v>2.3920384772820304E-2</v>
      </c>
      <c r="AL114" s="215">
        <f t="shared" si="47"/>
        <v>0.18389763664514622</v>
      </c>
      <c r="AM114" s="423" t="str">
        <f t="shared" si="48"/>
        <v>0.25 pts.</v>
      </c>
      <c r="AN114" s="424" t="str">
        <f t="shared" si="49"/>
        <v>-0.31 pts.</v>
      </c>
      <c r="AO114" s="11"/>
      <c r="AP114" s="11"/>
    </row>
    <row r="115" spans="1:42" x14ac:dyDescent="0.35">
      <c r="A115" s="65" t="s">
        <v>26</v>
      </c>
      <c r="B115" s="66"/>
      <c r="C115" s="11"/>
      <c r="D115" s="11"/>
      <c r="E115" s="11"/>
      <c r="F115" s="11"/>
      <c r="G115" s="11"/>
      <c r="H115" s="396" t="s">
        <v>848</v>
      </c>
      <c r="I115" s="122" t="str">
        <f>IF(_epmOfflineCondition_,"T4",_xll.EVPRO($B$1,$H115,"STYLE"))</f>
        <v>T4</v>
      </c>
      <c r="J115" s="122" t="str">
        <f>IF(_epmOfflineCondition_,"Y",_xll.EVPRO($B$1,$H115,"CALC"))</f>
        <v>Y</v>
      </c>
      <c r="K115" s="179" t="str">
        <f t="shared" si="38"/>
        <v>&gt;</v>
      </c>
      <c r="L115" s="90" t="str">
        <f>IF(_epmOfflineCondition_,"706100",_xll.EVPRO($B$1,H115,"JDEID"))</f>
        <v>706100</v>
      </c>
      <c r="M115" s="90" t="str">
        <f>IF(_epmOfflineCondition_,"",IF(AND(I115="N",J115="N"),_xll.EVPRO($B$1,H115,"PSFTID"),""))</f>
        <v/>
      </c>
      <c r="N115" s="90" t="str">
        <f>IF(_epmOfflineCondition_,"Miscellaneous",IF(_xll.EVDES(H115,$B$1)="#NODATA","",_xll.EVDES(H115,$B$1)))</f>
        <v>Miscellaneous</v>
      </c>
      <c r="O115" s="210"/>
      <c r="P115" s="210">
        <v>5.14</v>
      </c>
      <c r="Q115" s="210">
        <v>143.63999999999999</v>
      </c>
      <c r="R115" s="210"/>
      <c r="S115" s="210"/>
      <c r="T115" s="210"/>
      <c r="U115" s="210"/>
      <c r="V115" s="210"/>
      <c r="W115" s="210"/>
      <c r="X115" s="210"/>
      <c r="Y115" s="210"/>
      <c r="Z115" s="210"/>
      <c r="AA115" s="250">
        <f t="shared" si="39"/>
        <v>148.77999999999997</v>
      </c>
      <c r="AB115" s="211">
        <f t="shared" si="40"/>
        <v>2.426146323562373E-4</v>
      </c>
      <c r="AC115" s="140"/>
      <c r="AD115" s="210"/>
      <c r="AE115" s="211" t="str">
        <f t="shared" si="41"/>
        <v/>
      </c>
      <c r="AF115" s="253">
        <f t="shared" si="42"/>
        <v>148.77999999999997</v>
      </c>
      <c r="AG115" s="210">
        <v>8331.85</v>
      </c>
      <c r="AH115" s="211">
        <f t="shared" si="43"/>
        <v>8.1040159643040264E-3</v>
      </c>
      <c r="AI115" s="253">
        <f t="shared" si="44"/>
        <v>-8183.0700000000006</v>
      </c>
      <c r="AJ115" s="212">
        <f t="shared" si="45"/>
        <v>8.6540251279664943E-3</v>
      </c>
      <c r="AK115" s="213">
        <f t="shared" si="46"/>
        <v>0</v>
      </c>
      <c r="AL115" s="215">
        <f t="shared" si="47"/>
        <v>0.2434007186468406</v>
      </c>
      <c r="AM115" s="423">
        <f t="shared" si="48"/>
        <v>0</v>
      </c>
      <c r="AN115" s="424" t="str">
        <f t="shared" si="49"/>
        <v>-0.79 pts.</v>
      </c>
      <c r="AO115" s="11"/>
      <c r="AP115" s="11"/>
    </row>
    <row r="116" spans="1:42" x14ac:dyDescent="0.35">
      <c r="A116" s="65" t="s">
        <v>27</v>
      </c>
      <c r="B116" s="66"/>
      <c r="C116" s="11"/>
      <c r="D116" s="11"/>
      <c r="E116" s="11"/>
      <c r="F116" s="11"/>
      <c r="G116" s="11"/>
      <c r="H116" s="396" t="s">
        <v>869</v>
      </c>
      <c r="I116" s="122" t="str">
        <f>IF(_epmOfflineCondition_,"N",_xll.EVPRO($B$1,$H116,"STYLE"))</f>
        <v>N</v>
      </c>
      <c r="J116" s="122" t="str">
        <f>IF(_epmOfflineCondition_,"N",_xll.EVPRO($B$1,$H116,"CALC"))</f>
        <v>N</v>
      </c>
      <c r="K116" s="179" t="str">
        <f t="shared" si="38"/>
        <v/>
      </c>
      <c r="L116" s="90" t="str">
        <f>IF(_epmOfflineCondition_,"706110",_xll.EVPRO($B$1,H116,"JDEID"))</f>
        <v>706110</v>
      </c>
      <c r="M116" s="90" t="str">
        <f>IF(_epmOfflineCondition_,"590056",IF(AND(I116="N",J116="N"),_xll.EVPRO($B$1,H116,"PSFTID"),""))</f>
        <v>590056</v>
      </c>
      <c r="N116" s="90" t="str">
        <f>IF(_epmOfflineCondition_,"Kitchen Fuel",IF(_xll.EVDES(H116,$B$1)="#NODATA","",_xll.EVDES(H116,$B$1)))</f>
        <v>Kitchen Fuel</v>
      </c>
      <c r="O116" s="210"/>
      <c r="P116" s="210"/>
      <c r="Q116" s="210"/>
      <c r="R116" s="210"/>
      <c r="S116" s="210"/>
      <c r="T116" s="210"/>
      <c r="U116" s="210"/>
      <c r="V116" s="210"/>
      <c r="W116" s="210"/>
      <c r="X116" s="210"/>
      <c r="Y116" s="210"/>
      <c r="Z116" s="210"/>
      <c r="AA116" s="250">
        <f t="shared" si="39"/>
        <v>0</v>
      </c>
      <c r="AB116" s="211" t="str">
        <f t="shared" si="40"/>
        <v/>
      </c>
      <c r="AC116" s="140"/>
      <c r="AD116" s="210"/>
      <c r="AE116" s="211" t="str">
        <f t="shared" si="41"/>
        <v/>
      </c>
      <c r="AF116" s="253">
        <f t="shared" si="42"/>
        <v>0</v>
      </c>
      <c r="AG116" s="210">
        <v>217.95</v>
      </c>
      <c r="AH116" s="211">
        <f t="shared" si="43"/>
        <v>2.119901677802724E-4</v>
      </c>
      <c r="AI116" s="253">
        <f t="shared" si="44"/>
        <v>-217.95</v>
      </c>
      <c r="AJ116" s="212">
        <f t="shared" si="45"/>
        <v>0</v>
      </c>
      <c r="AK116" s="213">
        <f t="shared" si="46"/>
        <v>0</v>
      </c>
      <c r="AL116" s="215">
        <f t="shared" si="47"/>
        <v>6.367035727849025E-3</v>
      </c>
      <c r="AM116" s="423">
        <f t="shared" si="48"/>
        <v>0</v>
      </c>
      <c r="AN116" s="424">
        <f t="shared" si="49"/>
        <v>0</v>
      </c>
      <c r="AO116" s="11"/>
      <c r="AP116" s="11"/>
    </row>
    <row r="117" spans="1:42" x14ac:dyDescent="0.35">
      <c r="A117" s="65" t="s">
        <v>28</v>
      </c>
      <c r="B117" s="66"/>
      <c r="C117" s="11"/>
      <c r="D117" s="11"/>
      <c r="E117" s="11"/>
      <c r="F117" s="11"/>
      <c r="G117" s="11"/>
      <c r="H117" s="88" t="s">
        <v>79</v>
      </c>
      <c r="I117" s="136" t="str">
        <f>IF(_epmOfflineCondition_,"T3",_xll.EVPRO($B$1,$H117,"STYLE"))</f>
        <v>T3</v>
      </c>
      <c r="J117" s="136" t="str">
        <f>IF(_epmOfflineCondition_,"Y",_xll.EVPRO($B$1,$H117,"CALC"))</f>
        <v>Y</v>
      </c>
      <c r="K117" s="104"/>
      <c r="L117" s="104"/>
      <c r="M117" s="104"/>
      <c r="N117" s="106" t="str">
        <f>IF(_epmOfflineCondition_,"Total Operations Expense",IF(_xll.EVDES(H117,$B$1)="#NODATA","",_xll.EVDES(H117,$B$1)))</f>
        <v>Total Operations Expense</v>
      </c>
      <c r="O117" s="154">
        <v>22825.919999999998</v>
      </c>
      <c r="P117" s="154">
        <v>19760.97</v>
      </c>
      <c r="Q117" s="154">
        <v>16071.22</v>
      </c>
      <c r="R117" s="154">
        <v>-77.89</v>
      </c>
      <c r="S117" s="154">
        <v>1081.58</v>
      </c>
      <c r="T117" s="154">
        <v>285.01</v>
      </c>
      <c r="U117" s="154">
        <v>1937.22</v>
      </c>
      <c r="V117" s="154">
        <v>1062.02</v>
      </c>
      <c r="W117" s="154">
        <v>2081.5</v>
      </c>
      <c r="X117" s="154">
        <v>3114.33</v>
      </c>
      <c r="Y117" s="154">
        <v>3038.58</v>
      </c>
      <c r="Z117" s="154">
        <v>4588.1899999999996</v>
      </c>
      <c r="AA117" s="154">
        <f t="shared" si="39"/>
        <v>75768.650000000009</v>
      </c>
      <c r="AB117" s="155">
        <f t="shared" si="40"/>
        <v>0.12355547226696077</v>
      </c>
      <c r="AC117" s="140"/>
      <c r="AD117" s="154">
        <v>229866.04248442201</v>
      </c>
      <c r="AE117" s="155">
        <f t="shared" si="41"/>
        <v>6.7762274508289685E-2</v>
      </c>
      <c r="AF117" s="156">
        <f t="shared" si="42"/>
        <v>-154097.39248442202</v>
      </c>
      <c r="AG117" s="154">
        <v>134772.76999999999</v>
      </c>
      <c r="AH117" s="155">
        <f t="shared" si="43"/>
        <v>0.1310874151159076</v>
      </c>
      <c r="AI117" s="156">
        <f t="shared" si="44"/>
        <v>-59004.119999999981</v>
      </c>
      <c r="AJ117" s="466">
        <f t="shared" si="45"/>
        <v>4.4072039320614245</v>
      </c>
      <c r="AK117" s="467">
        <f t="shared" si="46"/>
        <v>2.9403658729587341</v>
      </c>
      <c r="AL117" s="468">
        <f t="shared" si="47"/>
        <v>3.9371555023224558</v>
      </c>
      <c r="AM117" s="469" t="str">
        <f t="shared" si="48"/>
        <v>5.58 pts.</v>
      </c>
      <c r="AN117" s="470" t="str">
        <f t="shared" si="49"/>
        <v>-0.75 pts.</v>
      </c>
      <c r="AO117" s="11"/>
      <c r="AP117" s="11"/>
    </row>
    <row r="118" spans="1:42" x14ac:dyDescent="0.35">
      <c r="A118" s="65" t="s">
        <v>29</v>
      </c>
      <c r="B118" s="66"/>
      <c r="C118" s="11"/>
      <c r="D118" s="11"/>
      <c r="E118" s="11"/>
      <c r="F118" s="11"/>
      <c r="G118" s="11"/>
      <c r="H118" s="11"/>
      <c r="I118" s="59"/>
      <c r="J118" s="59"/>
      <c r="K118" s="11"/>
      <c r="L118" s="11"/>
      <c r="M118" s="11"/>
      <c r="N118" s="11"/>
      <c r="O118" s="471"/>
      <c r="P118" s="471"/>
      <c r="Q118" s="471"/>
      <c r="R118" s="471"/>
      <c r="S118" s="471"/>
      <c r="T118" s="471"/>
      <c r="U118" s="471"/>
      <c r="V118" s="471"/>
      <c r="W118" s="471"/>
      <c r="X118" s="471"/>
      <c r="Y118" s="471"/>
      <c r="Z118" s="471"/>
      <c r="AA118" s="471"/>
      <c r="AB118" s="140"/>
      <c r="AC118" s="140"/>
      <c r="AD118" s="471"/>
      <c r="AE118" s="140"/>
      <c r="AF118" s="140"/>
      <c r="AG118" s="471"/>
      <c r="AH118" s="140"/>
      <c r="AI118" s="140"/>
      <c r="AJ118" s="140"/>
      <c r="AK118" s="140"/>
      <c r="AL118" s="140"/>
      <c r="AM118" s="140"/>
      <c r="AN118" s="140"/>
      <c r="AO118" s="11"/>
      <c r="AP118" s="11"/>
    </row>
    <row r="119" spans="1:42" x14ac:dyDescent="0.35">
      <c r="A119" s="65" t="s">
        <v>30</v>
      </c>
      <c r="B119" s="66" t="s">
        <v>78</v>
      </c>
      <c r="C119" s="11"/>
      <c r="D119" s="11"/>
      <c r="E119" s="11"/>
      <c r="F119" s="11"/>
      <c r="G119" s="11"/>
      <c r="H119" s="88" t="s">
        <v>80</v>
      </c>
      <c r="I119" s="136" t="str">
        <f>IF(_epmOfflineCondition_,"T3",_xll.EVPRO($B$1,$H119,"STYLE"))</f>
        <v>T3</v>
      </c>
      <c r="J119" s="136" t="str">
        <f>IF(_epmOfflineCondition_,"Y",_xll.EVPRO($B$1,$H119,"CALC"))</f>
        <v>Y</v>
      </c>
      <c r="K119" s="106"/>
      <c r="L119" s="106"/>
      <c r="M119" s="106"/>
      <c r="N119" s="106" t="str">
        <f>IF(_epmOfflineCondition_,"Total Expenses",IF(_xll.EVDES(H119,$B$1)="#NODATA","",_xll.EVDES(H119,$B$1)))</f>
        <v>Total Expenses</v>
      </c>
      <c r="O119" s="238">
        <v>149126.78</v>
      </c>
      <c r="P119" s="238">
        <v>183782.37</v>
      </c>
      <c r="Q119" s="238">
        <v>125219.9</v>
      </c>
      <c r="R119" s="238">
        <v>6721.54</v>
      </c>
      <c r="S119" s="238">
        <v>3091</v>
      </c>
      <c r="T119" s="238">
        <v>2393.0300000000002</v>
      </c>
      <c r="U119" s="238">
        <v>11407.69</v>
      </c>
      <c r="V119" s="238">
        <v>13113.77</v>
      </c>
      <c r="W119" s="238">
        <v>15014.23</v>
      </c>
      <c r="X119" s="238">
        <v>9314.93</v>
      </c>
      <c r="Y119" s="238">
        <v>28617.46</v>
      </c>
      <c r="Z119" s="238">
        <v>36506.92</v>
      </c>
      <c r="AA119" s="238">
        <f>IF($I119="B1","",SUM(O119:Z119))</f>
        <v>584309.62000000011</v>
      </c>
      <c r="AB119" s="239">
        <f>IF(AA119=0,"",IFERROR(AA119/AA$19,""))</f>
        <v>0.95283010914446009</v>
      </c>
      <c r="AC119" s="140"/>
      <c r="AD119" s="238">
        <v>1830720.85561817</v>
      </c>
      <c r="AE119" s="239">
        <f>IF(AD119=0,"",IFERROR(AD119/AD$19,""))</f>
        <v>0.53967870950254215</v>
      </c>
      <c r="AF119" s="254">
        <f>IF(AND($AA119="",AD119=""),"",$AA119-AD119)</f>
        <v>-1246411.2356181699</v>
      </c>
      <c r="AG119" s="255">
        <v>1035325.31</v>
      </c>
      <c r="AH119" s="256">
        <f>IF(AG119=0,"",IFERROR(AG119/AG$19,""))</f>
        <v>1.0070143894198786</v>
      </c>
      <c r="AI119" s="254">
        <f>IF(AND($AA119="",AG119=""),"",$AA119-AG119)</f>
        <v>-451015.68999999994</v>
      </c>
      <c r="AJ119" s="472">
        <f>IFERROR(AA119/AA$20,0)</f>
        <v>33.987297580269896</v>
      </c>
      <c r="AK119" s="473">
        <f>IFERROR(AD119/AD$20,0)</f>
        <v>23.417939720862798</v>
      </c>
      <c r="AL119" s="474">
        <f>IFERROR(AG119/AG$20,0)</f>
        <v>30.245254593789259</v>
      </c>
      <c r="AM119" s="475" t="str">
        <f>+IFERROR(ROUND(($AB119-AE119)*100,2)&amp;" pts.",0)</f>
        <v>41.32 pts.</v>
      </c>
      <c r="AN119" s="476" t="str">
        <f>+IFERROR(ROUND(($AB119-AH119)*100,2)&amp;" pts.",0)</f>
        <v>-5.42 pts.</v>
      </c>
      <c r="AO119" s="11"/>
      <c r="AP119" s="11"/>
    </row>
    <row r="120" spans="1:42" ht="15" thickBot="1" x14ac:dyDescent="0.4">
      <c r="A120" s="65" t="s">
        <v>31</v>
      </c>
      <c r="B120" s="66" t="s">
        <v>78</v>
      </c>
      <c r="C120" s="11"/>
      <c r="D120" s="11"/>
      <c r="E120" s="11"/>
      <c r="F120" s="11"/>
      <c r="G120" s="11"/>
      <c r="H120" s="88" t="s">
        <v>81</v>
      </c>
      <c r="I120" s="136" t="str">
        <f>IF(_epmOfflineCondition_,"T3",_xll.EVPRO($B$1,$H120,"STYLE"))</f>
        <v>T3</v>
      </c>
      <c r="J120" s="136" t="str">
        <f>IF(_epmOfflineCondition_,"Y",_xll.EVPRO($B$1,$H120,"CALC"))</f>
        <v>Y</v>
      </c>
      <c r="K120" s="106"/>
      <c r="L120" s="106"/>
      <c r="M120" s="106"/>
      <c r="N120" s="106" t="str">
        <f>IF(_epmOfflineCondition_,"Department Profit (Loss)",IF(_xll.EVDES(H120,$B$1)="#NODATA","",_xll.EVDES(H120,$B$1)))</f>
        <v>Department Profit (Loss)</v>
      </c>
      <c r="O120" s="169">
        <v>-7791.0399999999199</v>
      </c>
      <c r="P120" s="169">
        <v>-19815.13</v>
      </c>
      <c r="Q120" s="169">
        <v>-73662.039999999994</v>
      </c>
      <c r="R120" s="169">
        <v>-6576.54</v>
      </c>
      <c r="S120" s="169">
        <v>-15172.54</v>
      </c>
      <c r="T120" s="169">
        <v>-2174.81</v>
      </c>
      <c r="U120" s="169">
        <v>-16709.93</v>
      </c>
      <c r="V120" s="169">
        <v>-6569.12</v>
      </c>
      <c r="W120" s="169">
        <v>-4749.3100000000004</v>
      </c>
      <c r="X120" s="169">
        <v>8595.5400000000009</v>
      </c>
      <c r="Y120" s="169">
        <v>-6345.50000000001</v>
      </c>
      <c r="Z120" s="169">
        <v>2514.8299999999899</v>
      </c>
      <c r="AA120" s="169">
        <f>IF($I120="B1","",SUM(O120:Z120))</f>
        <v>-148455.58999999991</v>
      </c>
      <c r="AB120" s="170">
        <f>IF(AA120=0,"",IFERROR(AA120/AA$19,""))</f>
        <v>-0.24208561896140798</v>
      </c>
      <c r="AC120" s="140"/>
      <c r="AD120" s="169">
        <v>848927.62947082706</v>
      </c>
      <c r="AE120" s="170">
        <f>IF(AD120=0,"",IFERROR(AD120/AD$19,""))</f>
        <v>0.25025561167771138</v>
      </c>
      <c r="AF120" s="171">
        <f>IF(AND($AA120="",AD120=""),"",$AA120-AD120)</f>
        <v>-997383.21947082691</v>
      </c>
      <c r="AG120" s="169">
        <v>-328719.39</v>
      </c>
      <c r="AH120" s="170">
        <f>IF(AG120=0,"",IFERROR(AG120/AG$19,""))</f>
        <v>-0.31973057416255474</v>
      </c>
      <c r="AI120" s="171">
        <f>IF(AND($AA120="",AG120=""),"",$AA120-AG120)</f>
        <v>180263.8000000001</v>
      </c>
      <c r="AJ120" s="477">
        <f>IFERROR(AA120/AA$20,0)</f>
        <v>-8.6351553047929208</v>
      </c>
      <c r="AK120" s="478">
        <f>IFERROR(AD120/AD$20,0)</f>
        <v>10.859184781401288</v>
      </c>
      <c r="AL120" s="479">
        <f>IFERROR(AG120/AG$20,0)</f>
        <v>-9.60297362040256</v>
      </c>
      <c r="AM120" s="480" t="str">
        <f>+IFERROR(ROUND(($AB120-AE120)*100,2)&amp;" pts.",0)</f>
        <v>-49.23 pts.</v>
      </c>
      <c r="AN120" s="481" t="str">
        <f>+IFERROR(ROUND(($AB120-AH120)*100,2)&amp;" pts.",0)</f>
        <v>7.76 pts.</v>
      </c>
      <c r="AO120" s="11"/>
      <c r="AP120" s="11"/>
    </row>
    <row r="121" spans="1:42" ht="15" thickTop="1" x14ac:dyDescent="0.35">
      <c r="A121" s="65" t="s">
        <v>32</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row>
    <row r="122" spans="1:42" x14ac:dyDescent="0.35">
      <c r="A122" s="65" t="s">
        <v>33</v>
      </c>
      <c r="B122" s="66"/>
      <c r="C122" s="11"/>
      <c r="D122" s="11"/>
      <c r="E122" s="11"/>
      <c r="F122" s="11"/>
      <c r="G122" s="11"/>
      <c r="H122" s="11"/>
      <c r="I122" s="59"/>
      <c r="J122" s="59"/>
      <c r="K122" s="11"/>
      <c r="L122" s="11"/>
      <c r="M122" s="11"/>
      <c r="N122" s="104" t="str">
        <f>N119&amp;" - Check"</f>
        <v>Total Expenses - Check</v>
      </c>
      <c r="O122" s="209">
        <f t="shared" ref="O122:AA122" si="50">SUMIF($H$35:$H$120,"600000",O$35:O$120)+SUMIF($H$35:$H$120,"700000",O$35:O$120)-SUMIF($H$35:$H$120,"TOTDEPTEXP",O$35:O$120)</f>
        <v>0</v>
      </c>
      <c r="P122" s="209">
        <f t="shared" si="50"/>
        <v>0</v>
      </c>
      <c r="Q122" s="209">
        <f t="shared" si="50"/>
        <v>0</v>
      </c>
      <c r="R122" s="209">
        <f t="shared" si="50"/>
        <v>0</v>
      </c>
      <c r="S122" s="209">
        <f t="shared" si="50"/>
        <v>0</v>
      </c>
      <c r="T122" s="209">
        <f t="shared" si="50"/>
        <v>0</v>
      </c>
      <c r="U122" s="209">
        <f t="shared" si="50"/>
        <v>0</v>
      </c>
      <c r="V122" s="209">
        <f t="shared" si="50"/>
        <v>0</v>
      </c>
      <c r="W122" s="209">
        <f t="shared" si="50"/>
        <v>0</v>
      </c>
      <c r="X122" s="209">
        <f t="shared" si="50"/>
        <v>0</v>
      </c>
      <c r="Y122" s="209">
        <f t="shared" si="50"/>
        <v>0</v>
      </c>
      <c r="Z122" s="209">
        <f t="shared" si="50"/>
        <v>0</v>
      </c>
      <c r="AA122" s="209">
        <f t="shared" si="50"/>
        <v>0</v>
      </c>
      <c r="AB122" s="100"/>
      <c r="AC122" s="11"/>
      <c r="AD122" s="209">
        <f>SUMIF($H$35:$H$120,"600000",AD$35:AD$120)+SUMIF($H$35:$H$120,"700000",AD$35:AD$120)-SUMIF($H$35:$H$120,"TOTDEPTEXP",AD$35:AD$120)</f>
        <v>2.0954757928848267E-9</v>
      </c>
      <c r="AE122" s="100"/>
      <c r="AF122" s="91"/>
      <c r="AG122" s="209">
        <f>SUMIF($H$35:$H$120,"600000",AG$35:AG$120)+SUMIF($H$35:$H$120,"700000",AG$35:AG$120)-SUMIF($H$35:$H$120,"TOTDEPTEXP",AG$35:AG$120)</f>
        <v>0</v>
      </c>
      <c r="AH122" s="100"/>
      <c r="AI122" s="91"/>
      <c r="AJ122" s="11"/>
      <c r="AK122" s="11"/>
      <c r="AL122" s="11"/>
      <c r="AM122" s="11"/>
      <c r="AN122" s="11"/>
      <c r="AO122" s="11"/>
      <c r="AP122" s="11"/>
    </row>
    <row r="123" spans="1:42" x14ac:dyDescent="0.35">
      <c r="A123" s="65" t="s">
        <v>34</v>
      </c>
      <c r="B123" s="66"/>
      <c r="C123" s="11"/>
      <c r="D123" s="11"/>
      <c r="E123" s="11"/>
      <c r="F123" s="11"/>
      <c r="G123" s="11"/>
      <c r="H123" s="11"/>
      <c r="I123" s="59"/>
      <c r="J123" s="59"/>
      <c r="K123" s="11"/>
      <c r="L123" s="11"/>
      <c r="M123" s="11"/>
      <c r="N123" s="104" t="str">
        <f>N120&amp;" - Check"</f>
        <v>Department Profit (Loss) - Check</v>
      </c>
      <c r="O123" s="209">
        <f t="shared" ref="O123:AA123" si="51">SUMIF($H$35:$H$120,"KPI_GP",O$35:O$120)-SUMIF($H$35:$H$120,"TOTDEPTEXP",O$35:O$120)-SUMIF($H$35:$H$120,"TOTDEPTPL",O$35:O$120)</f>
        <v>-8.8220986071974039E-11</v>
      </c>
      <c r="P123" s="209">
        <f t="shared" si="51"/>
        <v>0</v>
      </c>
      <c r="Q123" s="209">
        <f t="shared" si="51"/>
        <v>0</v>
      </c>
      <c r="R123" s="209">
        <f t="shared" si="51"/>
        <v>0</v>
      </c>
      <c r="S123" s="209">
        <f t="shared" si="51"/>
        <v>0</v>
      </c>
      <c r="T123" s="209">
        <f t="shared" si="51"/>
        <v>0</v>
      </c>
      <c r="U123" s="209">
        <f t="shared" si="51"/>
        <v>0</v>
      </c>
      <c r="V123" s="209">
        <f t="shared" si="51"/>
        <v>0</v>
      </c>
      <c r="W123" s="209">
        <f t="shared" si="51"/>
        <v>0</v>
      </c>
      <c r="X123" s="209">
        <f t="shared" si="51"/>
        <v>0</v>
      </c>
      <c r="Y123" s="209">
        <f t="shared" si="51"/>
        <v>1.0004441719502211E-11</v>
      </c>
      <c r="Z123" s="209">
        <f t="shared" si="51"/>
        <v>1.1823431123048067E-11</v>
      </c>
      <c r="AA123" s="209">
        <f t="shared" si="51"/>
        <v>-2.3283064365386963E-10</v>
      </c>
      <c r="AB123" s="100"/>
      <c r="AC123" s="11"/>
      <c r="AD123" s="209">
        <f>SUMIF($H$35:$H$120,"KPI_GP",AD$35:AD$120)-SUMIF($H$35:$H$120,"TOTDEPTEXP",AD$35:AD$120)-SUMIF($H$35:$H$120,"TOTDEPTPL",AD$35:AD$120)</f>
        <v>3.2596290111541748E-9</v>
      </c>
      <c r="AE123" s="100"/>
      <c r="AF123" s="91"/>
      <c r="AG123" s="209">
        <f>SUMIF($H$35:$H$120,"KPI_GP",AG$35:AG$120)-SUMIF($H$35:$H$120,"TOTDEPTEXP",AG$35:AG$120)-SUMIF($H$35:$H$120,"TOTDEPTPL",AG$35:AG$120)</f>
        <v>0</v>
      </c>
      <c r="AH123" s="100"/>
      <c r="AI123" s="91"/>
      <c r="AJ123" s="11"/>
      <c r="AK123" s="11"/>
      <c r="AL123" s="11"/>
      <c r="AM123" s="11"/>
      <c r="AN123" s="11"/>
      <c r="AO123" s="11"/>
      <c r="AP123" s="11"/>
    </row>
    <row r="124" spans="1:42" x14ac:dyDescent="0.35">
      <c r="A124" s="65" t="s">
        <v>35</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row>
    <row r="125" spans="1:42" x14ac:dyDescent="0.35">
      <c r="A125" s="65" t="s">
        <v>36</v>
      </c>
      <c r="B125" s="66"/>
      <c r="C125" s="11"/>
      <c r="D125" s="11"/>
      <c r="E125" s="11"/>
      <c r="F125" s="11"/>
      <c r="G125" s="11"/>
      <c r="H125" s="11"/>
      <c r="I125" s="59"/>
      <c r="J125" s="59"/>
      <c r="K125" s="11"/>
      <c r="L125" s="11"/>
      <c r="M125" s="11"/>
      <c r="N125" s="11"/>
      <c r="O125" s="137"/>
      <c r="P125" s="137"/>
      <c r="Q125" s="137"/>
      <c r="R125" s="137"/>
      <c r="S125" s="137"/>
      <c r="T125" s="137"/>
      <c r="U125" s="137"/>
      <c r="V125" s="137"/>
      <c r="W125" s="137"/>
      <c r="X125" s="137"/>
      <c r="Y125" s="137"/>
      <c r="Z125" s="137"/>
      <c r="AA125" s="137"/>
      <c r="AB125" s="11"/>
      <c r="AC125" s="11"/>
      <c r="AD125" s="137"/>
      <c r="AE125" s="11"/>
      <c r="AF125" s="137"/>
      <c r="AG125" s="137"/>
      <c r="AH125" s="11"/>
      <c r="AI125" s="11"/>
      <c r="AJ125" s="11"/>
      <c r="AK125" s="11"/>
      <c r="AL125" s="11"/>
      <c r="AM125" s="11"/>
      <c r="AN125" s="11"/>
      <c r="AO125" s="11"/>
      <c r="AP125" s="11"/>
    </row>
    <row r="126" spans="1:42" x14ac:dyDescent="0.35">
      <c r="A126" s="65" t="s">
        <v>37</v>
      </c>
      <c r="B126" s="66"/>
      <c r="C126" s="11"/>
      <c r="D126" s="11"/>
      <c r="E126" s="11"/>
      <c r="F126" s="11"/>
      <c r="G126" s="11"/>
      <c r="H126" s="11"/>
      <c r="I126" s="59"/>
      <c r="J126" s="59"/>
      <c r="K126" s="11"/>
      <c r="L126" s="11"/>
      <c r="M126" s="11"/>
      <c r="N126" s="11"/>
      <c r="O126" s="137"/>
      <c r="P126" s="137"/>
      <c r="Q126" s="137"/>
      <c r="R126" s="137"/>
      <c r="S126" s="137"/>
      <c r="T126" s="137"/>
      <c r="U126" s="137"/>
      <c r="V126" s="137"/>
      <c r="W126" s="137"/>
      <c r="X126" s="137"/>
      <c r="Y126" s="137"/>
      <c r="Z126" s="137"/>
      <c r="AA126" s="137"/>
      <c r="AB126" s="11"/>
      <c r="AC126" s="11"/>
      <c r="AD126" s="137"/>
      <c r="AE126" s="11"/>
      <c r="AF126" s="137"/>
      <c r="AG126" s="137"/>
      <c r="AH126" s="11"/>
      <c r="AI126" s="11"/>
      <c r="AJ126" s="11"/>
      <c r="AK126" s="11"/>
      <c r="AL126" s="11"/>
      <c r="AM126" s="11"/>
      <c r="AN126" s="11"/>
      <c r="AO126" s="11"/>
      <c r="AP126" s="11"/>
    </row>
    <row r="127" spans="1:42" x14ac:dyDescent="0.35">
      <c r="A127" s="65" t="s">
        <v>38</v>
      </c>
      <c r="B127" s="66"/>
      <c r="C127" s="11"/>
      <c r="D127" s="11"/>
      <c r="E127" s="11"/>
      <c r="F127" s="11"/>
      <c r="G127" s="11"/>
      <c r="H127" s="11"/>
      <c r="I127" s="59"/>
      <c r="J127" s="59"/>
      <c r="K127" s="11"/>
      <c r="L127" s="11"/>
      <c r="M127" s="11"/>
      <c r="N127" s="11"/>
      <c r="O127" s="137"/>
      <c r="P127" s="137"/>
      <c r="Q127" s="137"/>
      <c r="R127" s="137"/>
      <c r="S127" s="137"/>
      <c r="T127" s="137"/>
      <c r="U127" s="137"/>
      <c r="V127" s="137"/>
      <c r="W127" s="137"/>
      <c r="X127" s="137"/>
      <c r="Y127" s="137"/>
      <c r="Z127" s="137"/>
      <c r="AA127" s="137"/>
      <c r="AB127" s="11"/>
      <c r="AC127" s="11"/>
      <c r="AD127" s="137"/>
      <c r="AE127" s="11"/>
      <c r="AF127" s="11"/>
      <c r="AG127" s="137"/>
      <c r="AH127" s="11"/>
      <c r="AI127" s="11"/>
      <c r="AJ127" s="11"/>
      <c r="AK127" s="11"/>
      <c r="AL127" s="11"/>
      <c r="AM127" s="11"/>
      <c r="AN127" s="11"/>
      <c r="AO127" s="11"/>
      <c r="AP127" s="11"/>
    </row>
    <row r="128" spans="1:42" x14ac:dyDescent="0.35">
      <c r="A128" s="65" t="s">
        <v>39</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row>
    <row r="129" spans="1:42" x14ac:dyDescent="0.35">
      <c r="A129" s="65" t="s">
        <v>40</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row>
    <row r="130" spans="1:42" x14ac:dyDescent="0.35">
      <c r="A130" s="65" t="s">
        <v>41</v>
      </c>
      <c r="B130" s="66"/>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row>
    <row r="131" spans="1:42" x14ac:dyDescent="0.35">
      <c r="A131" s="65" t="s">
        <v>42</v>
      </c>
      <c r="B131" s="66"/>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row>
    <row r="132" spans="1:42" x14ac:dyDescent="0.35">
      <c r="A132" s="65" t="s">
        <v>43</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row>
    <row r="133" spans="1:42" x14ac:dyDescent="0.35">
      <c r="A133" s="65" t="s">
        <v>44</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row>
    <row r="134" spans="1:42" x14ac:dyDescent="0.35">
      <c r="A134" s="65" t="s">
        <v>45</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row>
    <row r="135" spans="1:42" x14ac:dyDescent="0.35">
      <c r="A135" s="65" t="s">
        <v>46</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row>
    <row r="136" spans="1:42" x14ac:dyDescent="0.35">
      <c r="A136" s="11"/>
      <c r="B136" s="11"/>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row>
    <row r="137" spans="1:42" x14ac:dyDescent="0.35">
      <c r="A137" s="11"/>
      <c r="B137" s="11"/>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row>
    <row r="138" spans="1:42" x14ac:dyDescent="0.35">
      <c r="A138" s="11"/>
      <c r="B138" s="11"/>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row>
    <row r="139" spans="1:42" x14ac:dyDescent="0.35">
      <c r="A139" s="11"/>
      <c r="B139" s="11"/>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row>
    <row r="140" spans="1:42" x14ac:dyDescent="0.35">
      <c r="A140" s="11"/>
      <c r="B140" s="11"/>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row>
    <row r="141" spans="1:42" x14ac:dyDescent="0.35">
      <c r="A141" s="11"/>
      <c r="B141" s="11"/>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row>
    <row r="142" spans="1:42" x14ac:dyDescent="0.35">
      <c r="A142" s="11"/>
      <c r="B142" s="11"/>
      <c r="C142" s="11"/>
      <c r="D142" s="11"/>
      <c r="E142" s="11"/>
      <c r="F142" s="11"/>
      <c r="G142" s="11"/>
      <c r="H142" s="59"/>
      <c r="I142" s="59"/>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row>
    <row r="143" spans="1:42" x14ac:dyDescent="0.35">
      <c r="A143" s="11"/>
      <c r="B143" s="11"/>
      <c r="C143" s="11"/>
      <c r="D143" s="11"/>
      <c r="E143" s="11"/>
      <c r="F143" s="11"/>
      <c r="G143" s="11"/>
      <c r="H143" s="59"/>
      <c r="I143" s="59"/>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row>
    <row r="144" spans="1:42" x14ac:dyDescent="0.35">
      <c r="A144" s="11"/>
      <c r="B144" s="11"/>
      <c r="C144" s="11"/>
      <c r="D144" s="11"/>
      <c r="E144" s="11"/>
      <c r="F144" s="11"/>
      <c r="G144" s="11"/>
      <c r="H144" s="59"/>
      <c r="I144" s="59"/>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row>
    <row r="145" spans="1:42" x14ac:dyDescent="0.35">
      <c r="A145" s="11"/>
      <c r="B145" s="11"/>
      <c r="C145" s="11"/>
      <c r="D145" s="11"/>
      <c r="E145" s="11"/>
      <c r="F145" s="11"/>
      <c r="G145" s="11"/>
      <c r="H145" s="59"/>
      <c r="I145" s="59"/>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row>
    <row r="146" spans="1:42" x14ac:dyDescent="0.35">
      <c r="A146" s="11"/>
      <c r="B146" s="11"/>
      <c r="C146" s="11"/>
      <c r="D146" s="11"/>
      <c r="E146" s="11"/>
      <c r="F146" s="11"/>
      <c r="G146" s="11"/>
      <c r="H146" s="59"/>
      <c r="I146" s="59"/>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row>
    <row r="147" spans="1:42" x14ac:dyDescent="0.35">
      <c r="A147" s="11"/>
      <c r="B147" s="11"/>
      <c r="C147" s="11"/>
      <c r="D147" s="11"/>
      <c r="E147" s="11"/>
      <c r="F147" s="11"/>
      <c r="G147" s="11"/>
      <c r="H147" s="59"/>
      <c r="I147" s="59"/>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row>
    <row r="148" spans="1:42" x14ac:dyDescent="0.35">
      <c r="A148" s="11"/>
      <c r="B148" s="11"/>
      <c r="C148" s="11"/>
      <c r="D148" s="11"/>
      <c r="E148" s="11"/>
      <c r="F148" s="11"/>
      <c r="G148" s="11"/>
      <c r="H148" s="59"/>
      <c r="I148" s="59"/>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row>
    <row r="149" spans="1:42" x14ac:dyDescent="0.35">
      <c r="A149" s="11"/>
      <c r="B149" s="11"/>
      <c r="C149" s="11"/>
      <c r="D149" s="11"/>
      <c r="E149" s="11"/>
      <c r="F149" s="11"/>
      <c r="G149" s="11"/>
      <c r="H149" s="59"/>
      <c r="I149" s="59"/>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row>
    <row r="150" spans="1:42" x14ac:dyDescent="0.35">
      <c r="A150" s="11"/>
      <c r="B150" s="11"/>
      <c r="C150" s="11"/>
      <c r="D150" s="11"/>
      <c r="E150" s="11"/>
      <c r="F150" s="11"/>
      <c r="G150" s="11"/>
      <c r="H150" s="59"/>
      <c r="I150" s="59"/>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row>
    <row r="151" spans="1:42" x14ac:dyDescent="0.35">
      <c r="A151" s="11"/>
      <c r="B151" s="11"/>
      <c r="C151" s="11"/>
      <c r="D151" s="11"/>
      <c r="E151" s="11"/>
      <c r="F151" s="11"/>
      <c r="G151" s="11"/>
      <c r="H151" s="59"/>
      <c r="I151" s="59"/>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row>
    <row r="152" spans="1:42" x14ac:dyDescent="0.35">
      <c r="A152" s="11"/>
      <c r="B152" s="11"/>
      <c r="C152" s="11"/>
      <c r="D152" s="11"/>
      <c r="E152" s="267"/>
      <c r="F152" s="11"/>
      <c r="G152" s="11"/>
      <c r="H152" s="59"/>
      <c r="I152" s="59"/>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row>
    <row r="153" spans="1:42"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row>
    <row r="154" spans="1:42"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row>
    <row r="155" spans="1:42"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row>
    <row r="156" spans="1:42" x14ac:dyDescent="0.35">
      <c r="A156" s="11"/>
      <c r="B156" s="11"/>
      <c r="C156" s="11"/>
      <c r="D156" s="11"/>
      <c r="E156" s="267"/>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row>
    <row r="157" spans="1:42"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row>
    <row r="158" spans="1:42"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row>
    <row r="159" spans="1:42"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row>
    <row r="160" spans="1:42"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row>
    <row r="161" spans="1:42"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row>
    <row r="162" spans="1:42"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row>
    <row r="163" spans="1:42"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row>
    <row r="164" spans="1:42"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row>
    <row r="165" spans="1:42"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row>
    <row r="166" spans="1:42"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row>
    <row r="167" spans="1:42"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row>
    <row r="168" spans="1:42"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row>
    <row r="169" spans="1:42"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row>
    <row r="170" spans="1:42"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row>
    <row r="171" spans="1:42"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row>
    <row r="172" spans="1:42"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row>
    <row r="173" spans="1:42"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row>
    <row r="174" spans="1:42"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row>
    <row r="175" spans="1:42"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row>
    <row r="176" spans="1:42"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row>
    <row r="177" spans="1:42"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row>
    <row r="178" spans="1:42"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row>
    <row r="179" spans="1:42"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row>
    <row r="180" spans="1:42"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row>
    <row r="181" spans="1:42"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row>
    <row r="182" spans="1:42"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row>
    <row r="183" spans="1:42"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row>
    <row r="184" spans="1:42"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row>
    <row r="185" spans="1:42"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row>
    <row r="186" spans="1:42"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row>
    <row r="187" spans="1:42"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row>
    <row r="188" spans="1:42"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row>
    <row r="189" spans="1:42"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row>
    <row r="190" spans="1:42"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row>
    <row r="191" spans="1:42"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row>
    <row r="192" spans="1:42"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row>
    <row r="193" spans="1:42" x14ac:dyDescent="0.35">
      <c r="A193" s="11"/>
      <c r="B193" s="11"/>
      <c r="C193" s="11"/>
      <c r="D193" s="11"/>
      <c r="E193" s="11"/>
      <c r="F193" s="11"/>
      <c r="G193" s="11"/>
      <c r="H193" s="11"/>
      <c r="I193" s="267"/>
      <c r="J193" s="11"/>
      <c r="K193" s="267"/>
      <c r="L193" s="267"/>
      <c r="M193" s="267"/>
      <c r="N193" s="11"/>
      <c r="O193" s="267"/>
      <c r="P193" s="267"/>
      <c r="Q193" s="267"/>
      <c r="R193" s="267"/>
      <c r="S193" s="267"/>
      <c r="T193" s="267"/>
      <c r="U193" s="267"/>
      <c r="V193" s="267"/>
      <c r="W193" s="267"/>
      <c r="X193" s="267"/>
      <c r="Y193" s="267"/>
      <c r="Z193" s="267"/>
      <c r="AA193" s="267"/>
      <c r="AB193" s="11"/>
      <c r="AC193" s="11"/>
      <c r="AD193" s="267"/>
      <c r="AE193" s="11"/>
      <c r="AF193" s="267"/>
      <c r="AG193" s="11"/>
      <c r="AH193" s="267"/>
      <c r="AI193" s="11"/>
      <c r="AJ193" s="11"/>
      <c r="AK193" s="11"/>
      <c r="AL193" s="11"/>
      <c r="AM193" s="11"/>
      <c r="AN193" s="11"/>
      <c r="AO193" s="11"/>
      <c r="AP193" s="11"/>
    </row>
    <row r="194" spans="1:42"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row>
    <row r="195" spans="1:42"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row>
    <row r="196" spans="1:42" x14ac:dyDescent="0.35">
      <c r="A196" s="11"/>
      <c r="B196" s="11"/>
      <c r="C196" s="11"/>
      <c r="D196" s="11"/>
      <c r="E196" s="11"/>
      <c r="F196" s="11"/>
      <c r="G196" s="267"/>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row>
    <row r="197" spans="1:42" x14ac:dyDescent="0.35">
      <c r="A197" s="11"/>
      <c r="B197" s="11"/>
      <c r="C197" s="11"/>
      <c r="D197" s="11"/>
      <c r="E197" s="11"/>
      <c r="F197" s="11"/>
      <c r="G197" s="11"/>
      <c r="H197" s="11"/>
      <c r="I197" s="267"/>
      <c r="J197" s="11"/>
      <c r="K197" s="267"/>
      <c r="L197" s="267"/>
      <c r="M197" s="267"/>
      <c r="N197" s="11"/>
      <c r="O197" s="267"/>
      <c r="P197" s="267"/>
      <c r="Q197" s="267"/>
      <c r="R197" s="267"/>
      <c r="S197" s="267"/>
      <c r="T197" s="267"/>
      <c r="U197" s="267"/>
      <c r="V197" s="267"/>
      <c r="W197" s="267"/>
      <c r="X197" s="267"/>
      <c r="Y197" s="267"/>
      <c r="Z197" s="267"/>
      <c r="AA197" s="267"/>
      <c r="AB197" s="11"/>
      <c r="AC197" s="11"/>
      <c r="AD197" s="267"/>
      <c r="AE197" s="11"/>
      <c r="AF197" s="267"/>
      <c r="AG197" s="11"/>
      <c r="AH197" s="267"/>
      <c r="AI197" s="11"/>
      <c r="AJ197" s="11"/>
      <c r="AK197" s="11"/>
      <c r="AL197" s="11"/>
      <c r="AM197" s="11"/>
      <c r="AN197" s="11"/>
      <c r="AO197" s="11"/>
      <c r="AP197" s="11"/>
    </row>
  </sheetData>
  <sheetProtection algorithmName="SHA-512" hashValue="eeT+QetxGXa1D0cygDRRYGAm0VyGNEj5DoKKZ40h98gj99IlfQpfGr6d4wAGYNZx8diG3omPxr42d33Rn6GtsA==" saltValue="QCKKj7rH85eC9DWyVeg7eg==" spinCount="100000" sheet="1" scenarios="1"/>
  <mergeCells count="2">
    <mergeCell ref="AD31:AE31"/>
    <mergeCell ref="AG31:AH31"/>
  </mergeCells>
  <dataValidations disablePrompts="1" count="2">
    <dataValidation type="list" allowBlank="1" sqref="B84 B51 B29:C29" xr:uid="{00000000-0002-0000-0500-000000000000}">
      <formula1>"SELF,ALL,BAS,DEP,BASMEMBERS,MEMBERS,NOEXPAND,GDEP"</formula1>
    </dataValidation>
    <dataValidation type="list" allowBlank="1" sqref="B83 B50 B28:C28" xr:uid="{00000000-0002-0000-0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253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2536" r:id="rId7" name="FPMExcelClientSheetOptionstb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39997558519241921"/>
    <pageSetUpPr fitToPage="1"/>
  </sheetPr>
  <dimension ref="A1:AI2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358</v>
      </c>
      <c r="C6" s="11" t="str">
        <f>IF(_epmOfflineCondition_,"Food &amp; Beverage",_xll.EVDES(B6,$B$1))</f>
        <v>Food &amp; Beverage</v>
      </c>
      <c r="D6" s="11"/>
      <c r="E6" s="58" t="str">
        <f>IF(_epmOfflineCondition_,"D_FB",_xll.EVPRO($B$1,$B$6,$F$6))</f>
        <v>D_FB</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IF(_epmOfflineCondition_,"'FB_KPI'!$B$2:$B$10",_xll.EVRNG($B$2:$B$10))</f>
        <v>'FB_KPI'!$B$2:$B$10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IF(_epmOfflineCondition_,"'FB_KPI'!$O$16:$AI$18",_xll.EVRNG(O16:AI18))</f>
        <v>'FB_KPI'!$O$16:$AI$18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IF(_epmOfflineCondition_,"'FB_KPI'!$H$35:$H$175",_xll.EVRNG(H35:H175))</f>
        <v>'FB_KPI'!$H$35:$H$175</v>
      </c>
      <c r="C19" s="11"/>
      <c r="D19" s="11"/>
      <c r="E19" s="11"/>
      <c r="F19" s="11"/>
      <c r="G19" s="67" t="str">
        <f>$B$6</f>
        <v>D_REST_CON</v>
      </c>
      <c r="H19" s="67" t="s">
        <v>273</v>
      </c>
      <c r="I19" s="68"/>
      <c r="J19" s="68"/>
      <c r="K19" s="67"/>
      <c r="L19" s="67"/>
      <c r="M19" s="67"/>
      <c r="N19" s="67" t="str">
        <f>IF(_epmOfflineCondition_,"Total Food &amp; Beverage Revenue",_xll.EVDES(H19))</f>
        <v>Total Food &amp; Beverage Revenue</v>
      </c>
      <c r="O19" s="69">
        <f>IF(_epmOfflineCondition_,144287.29,_xll.EVGTS($B$1,1,$B$3,$B$5,$B$7,$B$9,O$16,O$17,O$18,$G$19,$H$19))</f>
        <v>144287.29</v>
      </c>
      <c r="P19" s="69">
        <f>IF(_epmOfflineCondition_,176498.6,_xll.EVGTS($B$1,1,$B$3,$B$5,$B$7,$B$9,P$16,P$17,P$18,$G$19,$H$19))</f>
        <v>176498.6</v>
      </c>
      <c r="Q19" s="69">
        <f>IF(_epmOfflineCondition_,66631.06,_xll.EVGTS($B$1,1,$B$3,$B$5,$B$7,$B$9,Q$16,Q$17,Q$18,$G$19,$H$19))</f>
        <v>66631.06</v>
      </c>
      <c r="R19" s="69">
        <f>IF(_epmOfflineCondition_,0,_xll.EVGTS($B$1,1,$B$3,$B$5,$B$7,$B$9,R$16,R$17,R$18,$G$19,$H$19))</f>
        <v>0</v>
      </c>
      <c r="S19" s="69">
        <f>IF(_epmOfflineCondition_,-11377.03,_xll.EVGTS($B$1,1,$B$3,$B$5,$B$7,$B$9,S$16,S$17,S$18,$G$19,$H$19))</f>
        <v>-11377.03</v>
      </c>
      <c r="T19" s="69">
        <f>IF(_epmOfflineCondition_,911,_xll.EVGTS($B$1,1,$B$3,$B$5,$B$7,$B$9,T$16,T$17,T$18,$G$19,$H$19))</f>
        <v>911</v>
      </c>
      <c r="U19" s="69">
        <f>IF(_epmOfflineCondition_,4224.75,_xll.EVGTS($B$1,1,$B$3,$B$5,$B$7,$B$9,U$16,U$17,U$18,$G$19,$H$19))</f>
        <v>4224.75</v>
      </c>
      <c r="V19" s="69">
        <f>IF(_epmOfflineCondition_,8442.5,_xll.EVGTS($B$1,1,$B$3,$B$5,$B$7,$B$9,V$16,V$17,V$18,$G$19,$H$19))</f>
        <v>8442.5</v>
      </c>
      <c r="W19" s="69">
        <f>IF(_epmOfflineCondition_,13347.45,_xll.EVGTS($B$1,1,$B$3,$B$5,$B$7,$B$9,W$16,W$17,W$18,$G$19,$H$19))</f>
        <v>13347.45</v>
      </c>
      <c r="X19" s="69">
        <f>IF(_epmOfflineCondition_,21943.96,_xll.EVGTS($B$1,1,$B$3,$B$5,$B$7,$B$9,X$16,X$17,X$18,$G$19,$H$19))</f>
        <v>21943.96</v>
      </c>
      <c r="Y19" s="69">
        <f>IF(_epmOfflineCondition_,23259.19,_xll.EVGTS($B$1,1,$B$3,$B$5,$B$7,$B$9,Y$16,Y$17,Y$18,$G$19,$H$19))</f>
        <v>23259.19</v>
      </c>
      <c r="Z19" s="69">
        <f>IF(_epmOfflineCondition_,43731.6,_xll.EVGTS($B$1,1,$B$3,$B$5,$B$7,$B$9,Z$16,Z$17,Z$18,$G$19,$H$19))</f>
        <v>43731.6</v>
      </c>
      <c r="AA19" s="69">
        <f>SUM(O19:Z19)</f>
        <v>491900.37</v>
      </c>
      <c r="AB19" s="67"/>
      <c r="AC19" s="67"/>
      <c r="AD19" s="69">
        <f>IF(_epmOfflineCondition_,2788587.16,_xll.EVGTS($B$1,1,$B$3,$B$5,$B$7,$B$9,AD$16,AD$17,AD$18,$G$19,$H$19))</f>
        <v>2788587.16</v>
      </c>
      <c r="AE19" s="67"/>
      <c r="AF19" s="67"/>
      <c r="AG19" s="69">
        <f>IF(_epmOfflineCondition_,806876.09,_xll.EVGTS($B$1,1,$B$3,$B$5,$B$7,$B$9,AG$16,AG$17,AG$18,$G$19,$H$19))</f>
        <v>806876.09</v>
      </c>
      <c r="AH19" s="67"/>
      <c r="AI19" s="67"/>
    </row>
    <row r="20" spans="1:35" hidden="1" outlineLevel="1" x14ac:dyDescent="0.35">
      <c r="A20" s="65" t="s">
        <v>5</v>
      </c>
      <c r="B20" s="66"/>
      <c r="C20" s="11"/>
      <c r="D20" s="11"/>
      <c r="E20" s="11"/>
      <c r="F20" s="11"/>
      <c r="G20" s="67" t="str">
        <f>$B$6</f>
        <v>D_REST_CON</v>
      </c>
      <c r="H20" s="67">
        <v>946000</v>
      </c>
      <c r="I20" s="68"/>
      <c r="J20" s="68"/>
      <c r="K20" s="67"/>
      <c r="L20" s="67"/>
      <c r="M20" s="67"/>
      <c r="N20" s="67" t="str">
        <f>IF(_epmOfflineCondition_,"Total Customers",_xll.EVDES(H20))</f>
        <v>Total Customers</v>
      </c>
      <c r="O20" s="69">
        <f>IF(_epmOfflineCondition_,4800,_xll.EVGTS($B$1,1,$B$3,$B$5,$B$7,$B$9,O$16,O$17,O$18,$G$20,$H$20))</f>
        <v>4800</v>
      </c>
      <c r="P20" s="69">
        <f>IF(_epmOfflineCondition_,5941,_xll.EVGTS($B$1,1,$B$3,$B$5,$B$7,$B$9,P$16,P$17,P$18,$G$20,$H$20))</f>
        <v>5941</v>
      </c>
      <c r="Q20" s="69">
        <f>IF(_epmOfflineCondition_,2430,_xll.EVGTS($B$1,1,$B$3,$B$5,$B$7,$B$9,Q$16,Q$17,Q$18,$G$20,$H$20))</f>
        <v>2430</v>
      </c>
      <c r="R20" s="69">
        <f>IF(_epmOfflineCondition_,0,_xll.EVGTS($B$1,1,$B$3,$B$5,$B$7,$B$9,R$16,R$17,R$18,$G$20,$H$20))</f>
        <v>0</v>
      </c>
      <c r="S20" s="69">
        <f>IF(_epmOfflineCondition_,-280,_xll.EVGTS($B$1,1,$B$3,$B$5,$B$7,$B$9,S$16,S$17,S$18,$G$20,$H$20))</f>
        <v>-280</v>
      </c>
      <c r="T20" s="69">
        <f>IF(_epmOfflineCondition_,0,_xll.EVGTS($B$1,1,$B$3,$B$5,$B$7,$B$9,T$16,T$17,T$18,$G$20,$H$20))</f>
        <v>0</v>
      </c>
      <c r="U20" s="69">
        <f>IF(_epmOfflineCondition_,191,_xll.EVGTS($B$1,1,$B$3,$B$5,$B$7,$B$9,U$16,U$17,U$18,$G$20,$H$20))</f>
        <v>191</v>
      </c>
      <c r="V20" s="69">
        <f>IF(_epmOfflineCondition_,269,_xll.EVGTS($B$1,1,$B$3,$B$5,$B$7,$B$9,V$16,V$17,V$18,$G$20,$H$20))</f>
        <v>269</v>
      </c>
      <c r="W20" s="69">
        <f>IF(_epmOfflineCondition_,269,_xll.EVGTS($B$1,1,$B$3,$B$5,$B$7,$B$9,W$16,W$17,W$18,$G$20,$H$20))</f>
        <v>269</v>
      </c>
      <c r="X20" s="69">
        <f>IF(_epmOfflineCondition_,961,_xll.EVGTS($B$1,1,$B$3,$B$5,$B$7,$B$9,X$16,X$17,X$18,$G$20,$H$20))</f>
        <v>961</v>
      </c>
      <c r="Y20" s="69">
        <f>IF(_epmOfflineCondition_,970,_xll.EVGTS($B$1,1,$B$3,$B$5,$B$7,$B$9,Y$16,Y$17,Y$18,$G$20,$H$20))</f>
        <v>970</v>
      </c>
      <c r="Z20" s="69">
        <f>IF(_epmOfflineCondition_,1641,_xll.EVGTS($B$1,1,$B$3,$B$5,$B$7,$B$9,Z$16,Z$17,Z$18,$G$20,$H$20))</f>
        <v>1641</v>
      </c>
      <c r="AA20" s="69">
        <f>SUM(O20:Z20)</f>
        <v>17192</v>
      </c>
      <c r="AB20" s="67"/>
      <c r="AC20" s="67"/>
      <c r="AD20" s="69">
        <f>IF(_epmOfflineCondition_,78176,_xll.EVGTS($B$1,1,$B$3,$B$5,$B$7,$B$9,AD$16,AD$17,AD$18,$G$20,$H$20))</f>
        <v>78176</v>
      </c>
      <c r="AE20" s="67"/>
      <c r="AF20" s="67"/>
      <c r="AG20" s="69">
        <f>IF(_epmOfflineCondition_,34231,_xll.EVGTS($B$1,1,$B$3,$B$5,$B$7,$B$9,AG$16,AG$17,AG$18,$G$20,$H$20))</f>
        <v>34231</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IF(_epmOfflineCondition_,"'FB_KPI'!$A$37:$B$58",_xll.EVRNG($A$37:$B$58))</f>
        <v>'FB_KPI'!$A$37:$B$58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IF(_epmOfflineCondition_,"Food &amp; Beverage Department",IF(_xll.EVDES(B6,$B$1)="#NODATA","",_xll.EVDES(B6,$B$1)&amp;" Department"))</f>
        <v>Food &amp; Beverage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83"/>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v>27401.89</v>
      </c>
      <c r="P35" s="143">
        <v>28688.5</v>
      </c>
      <c r="Q35" s="143">
        <v>9873</v>
      </c>
      <c r="R35" s="143"/>
      <c r="S35" s="143">
        <v>-4502</v>
      </c>
      <c r="T35" s="143"/>
      <c r="U35" s="143">
        <v>477</v>
      </c>
      <c r="V35" s="143">
        <v>1075</v>
      </c>
      <c r="W35" s="143">
        <v>1509.5</v>
      </c>
      <c r="X35" s="143">
        <v>1573.85</v>
      </c>
      <c r="Y35" s="143">
        <v>1173.5</v>
      </c>
      <c r="Z35" s="143">
        <v>5143</v>
      </c>
      <c r="AA35" s="143">
        <f t="shared" ref="AA35:AA40" si="0">SUM(O35:Z35)</f>
        <v>72413.240000000005</v>
      </c>
      <c r="AB35" s="144">
        <f>IF(AA35=0,"",IFERROR(AA35/AA$19,""))</f>
        <v>0.14721119238027816</v>
      </c>
      <c r="AC35" s="140"/>
      <c r="AD35" s="143">
        <v>355062.2475</v>
      </c>
      <c r="AE35" s="144">
        <f>IF(AD35=0,"",IFERROR(AD35/AD$19,""))</f>
        <v>0.12732693192921393</v>
      </c>
      <c r="AF35" s="145">
        <f t="shared" ref="AF35:AF41" si="1">IF(AND($AA35="",AD35=""),"",$AA35-AD35)</f>
        <v>-282649.00750000001</v>
      </c>
      <c r="AG35" s="143">
        <v>220395.51</v>
      </c>
      <c r="AH35" s="144">
        <f>IF(AG35=0,"",IFERROR(AG35/AG$19,""))</f>
        <v>0.27314666121783338</v>
      </c>
      <c r="AI35" s="145">
        <f t="shared" ref="AI35:AI41" si="2">IF(AND($AA35="",AG35=""),"",$AA35-AG35)</f>
        <v>-147982.27000000002</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v>96</v>
      </c>
      <c r="P36" s="143">
        <v>716.99</v>
      </c>
      <c r="Q36" s="143">
        <v>169</v>
      </c>
      <c r="R36" s="143"/>
      <c r="S36" s="143"/>
      <c r="T36" s="143"/>
      <c r="U36" s="143"/>
      <c r="V36" s="143">
        <v>25</v>
      </c>
      <c r="W36" s="143">
        <v>204</v>
      </c>
      <c r="X36" s="143">
        <v>91</v>
      </c>
      <c r="Y36" s="143">
        <v>157</v>
      </c>
      <c r="Z36" s="143">
        <v>209</v>
      </c>
      <c r="AA36" s="143">
        <f t="shared" si="0"/>
        <v>1667.99</v>
      </c>
      <c r="AB36" s="144">
        <f>IF(AA36=0,"",IFERROR(AA36/AA$19,""))</f>
        <v>3.3909102365586754E-3</v>
      </c>
      <c r="AC36" s="140"/>
      <c r="AD36" s="143">
        <v>6578.7049999999999</v>
      </c>
      <c r="AE36" s="144">
        <f>IF(AD36=0,"",IFERROR(AD36/AD$19,""))</f>
        <v>2.3591534431364161E-3</v>
      </c>
      <c r="AF36" s="145">
        <f t="shared" si="1"/>
        <v>-4910.7150000000001</v>
      </c>
      <c r="AG36" s="143">
        <v>2498.1999999999998</v>
      </c>
      <c r="AH36" s="144">
        <f>IF(AG36=0,"",IFERROR(AG36/AG$19,""))</f>
        <v>3.0961383426295354E-3</v>
      </c>
      <c r="AI36" s="145">
        <f t="shared" si="2"/>
        <v>-830.20999999999981</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v>26</v>
      </c>
      <c r="P37" s="143">
        <v>16</v>
      </c>
      <c r="Q37" s="143">
        <v>14</v>
      </c>
      <c r="R37" s="143"/>
      <c r="S37" s="143"/>
      <c r="T37" s="143"/>
      <c r="U37" s="143">
        <v>28</v>
      </c>
      <c r="V37" s="143"/>
      <c r="W37" s="143"/>
      <c r="X37" s="143"/>
      <c r="Y37" s="143"/>
      <c r="Z37" s="143">
        <v>7</v>
      </c>
      <c r="AA37" s="143">
        <f t="shared" si="0"/>
        <v>91</v>
      </c>
      <c r="AB37" s="144">
        <f>IF(AA37=0,"",IFERROR(AA37/AA$19,""))</f>
        <v>1.8499681144781412E-4</v>
      </c>
      <c r="AC37" s="140"/>
      <c r="AD37" s="143">
        <v>1247.92975</v>
      </c>
      <c r="AE37" s="144">
        <f>IF(AD37=0,"",IFERROR(AD37/AD$19,""))</f>
        <v>4.4751326689749225E-4</v>
      </c>
      <c r="AF37" s="145">
        <f t="shared" si="1"/>
        <v>-1156.92975</v>
      </c>
      <c r="AG37" s="143">
        <v>352</v>
      </c>
      <c r="AH37" s="144">
        <f>IF(AG37=0,"",IFERROR(AG37/AG$19,""))</f>
        <v>4.3625037891505749E-4</v>
      </c>
      <c r="AI37" s="145">
        <f t="shared" si="2"/>
        <v>-261</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v>212</v>
      </c>
      <c r="P38" s="217">
        <v>624</v>
      </c>
      <c r="Q38" s="217">
        <v>626</v>
      </c>
      <c r="R38" s="217"/>
      <c r="S38" s="217"/>
      <c r="T38" s="217"/>
      <c r="U38" s="217">
        <v>14</v>
      </c>
      <c r="V38" s="217"/>
      <c r="W38" s="217">
        <v>20</v>
      </c>
      <c r="X38" s="217">
        <v>206</v>
      </c>
      <c r="Y38" s="217">
        <v>64</v>
      </c>
      <c r="Z38" s="217">
        <v>420</v>
      </c>
      <c r="AA38" s="217">
        <f t="shared" si="0"/>
        <v>2186</v>
      </c>
      <c r="AB38" s="219">
        <f>IF(AA38=0,"",IFERROR(AA38/AA$19,""))</f>
        <v>4.4439893387354032E-3</v>
      </c>
      <c r="AC38" s="140"/>
      <c r="AD38" s="217">
        <v>14218.40775</v>
      </c>
      <c r="AE38" s="219">
        <f>IF(AD38=0,"",IFERROR(AD38/AD$19,""))</f>
        <v>5.0987854903556248E-3</v>
      </c>
      <c r="AF38" s="220">
        <f t="shared" si="1"/>
        <v>-12032.40775</v>
      </c>
      <c r="AG38" s="217">
        <v>1764.6</v>
      </c>
      <c r="AH38" s="219">
        <f>IF(AG38=0,"",IFERROR(AG38/AG$19,""))</f>
        <v>2.1869528938451999E-3</v>
      </c>
      <c r="AI38" s="220">
        <f t="shared" si="2"/>
        <v>421.40000000000009</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v>27735.89</v>
      </c>
      <c r="P39" s="166">
        <v>30045.49</v>
      </c>
      <c r="Q39" s="166">
        <v>10682</v>
      </c>
      <c r="R39" s="166"/>
      <c r="S39" s="166">
        <v>-4502</v>
      </c>
      <c r="T39" s="166"/>
      <c r="U39" s="166">
        <v>519</v>
      </c>
      <c r="V39" s="166">
        <v>1100</v>
      </c>
      <c r="W39" s="166">
        <v>1733.5</v>
      </c>
      <c r="X39" s="166">
        <v>1870.85</v>
      </c>
      <c r="Y39" s="166">
        <v>1394.5</v>
      </c>
      <c r="Z39" s="166">
        <v>5779</v>
      </c>
      <c r="AA39" s="166">
        <f t="shared" si="0"/>
        <v>76358.23000000001</v>
      </c>
      <c r="AB39" s="167">
        <f>IF(AA39=0,"",IFERROR(AA39/AA$19,""))</f>
        <v>0.15523108876702005</v>
      </c>
      <c r="AC39" s="140"/>
      <c r="AD39" s="166">
        <v>377107.29</v>
      </c>
      <c r="AE39" s="167">
        <f>IF(AD39=0,"",IFERROR(AD39/AD$19,""))</f>
        <v>0.13523238412960345</v>
      </c>
      <c r="AF39" s="168">
        <f t="shared" si="1"/>
        <v>-300749.05999999994</v>
      </c>
      <c r="AG39" s="166">
        <v>225010.31</v>
      </c>
      <c r="AH39" s="167">
        <f>IF(AG39=0,"",IFERROR(AG39/AG$19,""))</f>
        <v>0.27886600283322316</v>
      </c>
      <c r="AI39" s="168">
        <f t="shared" si="2"/>
        <v>-148652.07999999999</v>
      </c>
    </row>
    <row r="40" spans="1:35" x14ac:dyDescent="0.35">
      <c r="A40" s="65" t="s">
        <v>28</v>
      </c>
      <c r="B40" s="66"/>
      <c r="C40" s="11"/>
      <c r="D40" s="11"/>
      <c r="E40" s="11"/>
      <c r="F40" s="11"/>
      <c r="G40" s="11"/>
      <c r="H40" s="88" t="s">
        <v>297</v>
      </c>
      <c r="I40" s="122" t="str">
        <f>IF(_epmOfflineCondition_,"N",_xll.EVPRO($B$1,$H40,"STYLE"))</f>
        <v>N</v>
      </c>
      <c r="J40" s="122" t="str">
        <f>IF(_epmOfflineCondition_,"N",_xll.EVPRO($B$1,$H40,"CALC"))</f>
        <v>N</v>
      </c>
      <c r="K40" s="90"/>
      <c r="L40" s="90" t="str">
        <f>IF(_epmOfflineCondition_,"946100",_xll.EVPRO($B$1,H40,"JDEID"))</f>
        <v>946100</v>
      </c>
      <c r="M40" s="90" t="str">
        <f>IF(_epmOfflineCondition_,"991501",IF(AND(I40="N",J40="N"),_xll.EVPRO($B$1,H40,"PSFTID"),""))</f>
        <v>991501</v>
      </c>
      <c r="N40" s="90" t="str">
        <f>IF(_epmOfflineCondition_,"Breakfast Customers",IF(_xll.EVDES(H40,$B$1)="#NODATA","",_xll.EVDES(H40,$B$1)))</f>
        <v>Breakfast Customers</v>
      </c>
      <c r="O40" s="210">
        <v>1331</v>
      </c>
      <c r="P40" s="210">
        <v>1483</v>
      </c>
      <c r="Q40" s="210">
        <v>556</v>
      </c>
      <c r="R40" s="210"/>
      <c r="S40" s="210">
        <v>-124</v>
      </c>
      <c r="T40" s="210"/>
      <c r="U40" s="210">
        <v>39</v>
      </c>
      <c r="V40" s="210">
        <v>66</v>
      </c>
      <c r="W40" s="210">
        <v>66</v>
      </c>
      <c r="X40" s="210">
        <v>121</v>
      </c>
      <c r="Y40" s="210">
        <v>99</v>
      </c>
      <c r="Z40" s="210">
        <v>259</v>
      </c>
      <c r="AA40" s="210">
        <f t="shared" si="0"/>
        <v>3896</v>
      </c>
      <c r="AB40" s="211">
        <f>IF(AA40=0,"",IFERROR(AA40/AA$104,""))</f>
        <v>0.22661703117729176</v>
      </c>
      <c r="AC40" s="140"/>
      <c r="AD40" s="210">
        <v>17107</v>
      </c>
      <c r="AE40" s="211">
        <f>IF(AD40=0,"",IFERROR(AD40/AD$104,""))</f>
        <v>0.21882674989766682</v>
      </c>
      <c r="AF40" s="253">
        <f t="shared" si="1"/>
        <v>-13211</v>
      </c>
      <c r="AG40" s="210">
        <v>13073</v>
      </c>
      <c r="AH40" s="211">
        <f>IF(AG40=0,"",IFERROR(AG40/AG$104,""))</f>
        <v>0.38190529052613126</v>
      </c>
      <c r="AI40" s="253">
        <f t="shared" si="2"/>
        <v>-9177</v>
      </c>
    </row>
    <row r="41" spans="1:35" x14ac:dyDescent="0.35">
      <c r="A41" s="65" t="s">
        <v>29</v>
      </c>
      <c r="B41" s="66"/>
      <c r="C41" s="11"/>
      <c r="D41" s="11"/>
      <c r="E41" s="11"/>
      <c r="F41" s="11"/>
      <c r="G41" s="11"/>
      <c r="H41" s="88" t="s">
        <v>313</v>
      </c>
      <c r="I41" s="122" t="str">
        <f>IF(_epmOfflineCondition_,"N",_xll.EVPRO($B$1,$H41,"STYLE"))</f>
        <v>N</v>
      </c>
      <c r="J41" s="122" t="str">
        <f>IF(_epmOfflineCondition_,"Y",_xll.EVPRO($B$1,$H41,"CALC"))</f>
        <v>Y</v>
      </c>
      <c r="K41" s="90"/>
      <c r="L41" s="90" t="str">
        <f>IF(_epmOfflineCondition_,"",_xll.EVPRO($B$1,H41,"JDEID"))</f>
        <v/>
      </c>
      <c r="M41" s="90" t="str">
        <f>IF(_epmOfflineCondition_,"",IF(AND(I41="N",J41="N"),_xll.EVPRO($B$1,H41,"PSFTID"),""))</f>
        <v/>
      </c>
      <c r="N41" s="190" t="str">
        <f>IF(_epmOfflineCondition_,"Breakfast - Average Check",IF(_xll.EVDES(H41,$B$1)="#NODATA","",_xll.EVDES(H41,$B$1)))</f>
        <v>Breakfast - Average Check</v>
      </c>
      <c r="O41" s="495">
        <v>20.838384673178101</v>
      </c>
      <c r="P41" s="495">
        <v>20.259939312204999</v>
      </c>
      <c r="Q41" s="495">
        <v>19.212230215827301</v>
      </c>
      <c r="R41" s="495"/>
      <c r="S41" s="495">
        <v>36.306451612903203</v>
      </c>
      <c r="T41" s="495"/>
      <c r="U41" s="495">
        <v>13.307692307692299</v>
      </c>
      <c r="V41" s="495">
        <v>16.6666666666667</v>
      </c>
      <c r="W41" s="495">
        <v>26.265151515151501</v>
      </c>
      <c r="X41" s="495">
        <v>15.461570247933899</v>
      </c>
      <c r="Y41" s="495">
        <v>14.085858585858601</v>
      </c>
      <c r="Z41" s="495">
        <v>22.312741312741299</v>
      </c>
      <c r="AA41" s="495">
        <f>IFERROR(AA39/AA40,"")</f>
        <v>19.599135010266941</v>
      </c>
      <c r="AB41" s="495"/>
      <c r="AC41" s="140"/>
      <c r="AD41" s="495">
        <v>22.0440340211609</v>
      </c>
      <c r="AE41" s="495"/>
      <c r="AF41" s="496">
        <f t="shared" si="1"/>
        <v>-2.444899010893959</v>
      </c>
      <c r="AG41" s="495">
        <v>17.211834315000399</v>
      </c>
      <c r="AH41" s="495"/>
      <c r="AI41" s="496">
        <f t="shared" si="2"/>
        <v>2.3873006952665428</v>
      </c>
    </row>
    <row r="42" spans="1:35" x14ac:dyDescent="0.35">
      <c r="A42" s="65" t="s">
        <v>30</v>
      </c>
      <c r="B42" s="66" t="s">
        <v>78</v>
      </c>
      <c r="C42" s="11"/>
      <c r="D42" s="11"/>
      <c r="E42" s="11"/>
      <c r="F42" s="11"/>
      <c r="G42" s="490">
        <f>COUNTIF(O43:AI43,FALSE)</f>
        <v>0</v>
      </c>
      <c r="H42" s="88"/>
      <c r="I42" s="122"/>
      <c r="J42" s="122"/>
      <c r="K42" s="90"/>
      <c r="L42" s="90"/>
      <c r="M42" s="90"/>
      <c r="N42" s="491" t="s">
        <v>345</v>
      </c>
      <c r="O42" s="497">
        <f t="shared" ref="O42:AA42" si="3">ROUND(IFERROR(O39/O40,0),2)</f>
        <v>20.84</v>
      </c>
      <c r="P42" s="498">
        <f t="shared" si="3"/>
        <v>20.260000000000002</v>
      </c>
      <c r="Q42" s="498">
        <f t="shared" si="3"/>
        <v>19.21</v>
      </c>
      <c r="R42" s="498">
        <f t="shared" si="3"/>
        <v>0</v>
      </c>
      <c r="S42" s="498">
        <f t="shared" si="3"/>
        <v>36.31</v>
      </c>
      <c r="T42" s="498">
        <f t="shared" si="3"/>
        <v>0</v>
      </c>
      <c r="U42" s="498">
        <f t="shared" si="3"/>
        <v>13.31</v>
      </c>
      <c r="V42" s="498">
        <f t="shared" si="3"/>
        <v>16.670000000000002</v>
      </c>
      <c r="W42" s="498">
        <f t="shared" si="3"/>
        <v>26.27</v>
      </c>
      <c r="X42" s="498">
        <f t="shared" si="3"/>
        <v>15.46</v>
      </c>
      <c r="Y42" s="498">
        <f t="shared" si="3"/>
        <v>14.09</v>
      </c>
      <c r="Z42" s="498">
        <f t="shared" si="3"/>
        <v>22.31</v>
      </c>
      <c r="AA42" s="498">
        <f t="shared" si="3"/>
        <v>19.600000000000001</v>
      </c>
      <c r="AB42" s="499"/>
      <c r="AC42" s="140"/>
      <c r="AD42" s="497">
        <f>ROUND(IFERROR(AD39/AD40,0),2)</f>
        <v>22.04</v>
      </c>
      <c r="AE42" s="498"/>
      <c r="AF42" s="159"/>
      <c r="AG42" s="497">
        <f>ROUND(IFERROR(AG39/AG40,0),2)</f>
        <v>17.21</v>
      </c>
      <c r="AH42" s="498"/>
      <c r="AI42" s="159"/>
    </row>
    <row r="43" spans="1:35" x14ac:dyDescent="0.35">
      <c r="A43" s="65" t="s">
        <v>31</v>
      </c>
      <c r="B43" s="66" t="s">
        <v>78</v>
      </c>
      <c r="C43" s="11"/>
      <c r="D43" s="11"/>
      <c r="E43" s="11"/>
      <c r="F43" s="11"/>
      <c r="G43" s="11"/>
      <c r="H43" s="88"/>
      <c r="I43" s="122"/>
      <c r="J43" s="122"/>
      <c r="K43" s="90"/>
      <c r="L43" s="90"/>
      <c r="M43" s="90"/>
      <c r="N43" s="53" t="s">
        <v>314</v>
      </c>
      <c r="O43" s="500" t="b">
        <f t="shared" ref="O43:AA43" si="4">ROUND(O41,2)=ROUND(O42,2)</f>
        <v>1</v>
      </c>
      <c r="P43" s="501" t="b">
        <f t="shared" si="4"/>
        <v>1</v>
      </c>
      <c r="Q43" s="501" t="b">
        <f t="shared" si="4"/>
        <v>1</v>
      </c>
      <c r="R43" s="501" t="b">
        <f t="shared" si="4"/>
        <v>1</v>
      </c>
      <c r="S43" s="501" t="b">
        <f t="shared" si="4"/>
        <v>1</v>
      </c>
      <c r="T43" s="501" t="b">
        <f t="shared" si="4"/>
        <v>1</v>
      </c>
      <c r="U43" s="501" t="b">
        <f t="shared" si="4"/>
        <v>1</v>
      </c>
      <c r="V43" s="501" t="b">
        <f t="shared" si="4"/>
        <v>1</v>
      </c>
      <c r="W43" s="501" t="b">
        <f t="shared" si="4"/>
        <v>1</v>
      </c>
      <c r="X43" s="501" t="b">
        <f t="shared" si="4"/>
        <v>1</v>
      </c>
      <c r="Y43" s="501" t="b">
        <f t="shared" si="4"/>
        <v>1</v>
      </c>
      <c r="Z43" s="501" t="b">
        <f t="shared" si="4"/>
        <v>1</v>
      </c>
      <c r="AA43" s="501" t="b">
        <f t="shared" si="4"/>
        <v>1</v>
      </c>
      <c r="AB43" s="502"/>
      <c r="AC43" s="503"/>
      <c r="AD43" s="500"/>
      <c r="AE43" s="501" t="b">
        <f>ROUND(AD41,2)=ROUND(AD42,2)</f>
        <v>1</v>
      </c>
      <c r="AF43" s="502"/>
      <c r="AG43" s="500"/>
      <c r="AH43" s="501" t="b">
        <f>ROUND(AG41,2)=ROUND(AG42,2)</f>
        <v>1</v>
      </c>
      <c r="AI43" s="502"/>
    </row>
    <row r="44" spans="1:35" x14ac:dyDescent="0.35">
      <c r="A44" s="65" t="s">
        <v>32</v>
      </c>
      <c r="B44" s="66"/>
      <c r="C44" s="11"/>
      <c r="D44" s="11"/>
      <c r="E44" s="11"/>
      <c r="F44" s="11"/>
      <c r="G44" s="11"/>
      <c r="H44" s="88" t="s">
        <v>261</v>
      </c>
      <c r="I44" s="122" t="str">
        <f>IF(_epmOfflineCondition_,"T5",_xll.EVPRO($B$1,$H44,"STYLE"))</f>
        <v>T5</v>
      </c>
      <c r="J44" s="122" t="str">
        <f>IF(_epmOfflineCondition_,"Y",_xll.EVPRO($B$1,$H44,"CALC"))</f>
        <v>Y</v>
      </c>
      <c r="K44" s="90"/>
      <c r="L44" s="90" t="str">
        <f>IF(_epmOfflineCondition_,"462100",_xll.EVPRO($B$1,H44,"JDEID"))</f>
        <v>462100</v>
      </c>
      <c r="M44" s="90" t="str">
        <f>IF(_epmOfflineCondition_,"",IF(AND(I44="N",J44="N"),_xll.EVPRO($B$1,H44,"PSFTID"),""))</f>
        <v/>
      </c>
      <c r="N44" s="90" t="str">
        <f>IF(_epmOfflineCondition_,"Lunch Food",IF(_xll.EVDES(H44,$B$1)="#NODATA","",_xll.EVDES(H44,$B$1)))</f>
        <v>Lunch Food</v>
      </c>
      <c r="O44" s="143">
        <v>19374.27</v>
      </c>
      <c r="P44" s="143">
        <v>22770.23</v>
      </c>
      <c r="Q44" s="143">
        <v>5879.2</v>
      </c>
      <c r="R44" s="143"/>
      <c r="S44" s="143">
        <v>-3472</v>
      </c>
      <c r="T44" s="143"/>
      <c r="U44" s="143">
        <v>932</v>
      </c>
      <c r="V44" s="143">
        <v>2994</v>
      </c>
      <c r="W44" s="143">
        <v>3898.02</v>
      </c>
      <c r="X44" s="143">
        <v>3882</v>
      </c>
      <c r="Y44" s="143">
        <v>3152.52</v>
      </c>
      <c r="Z44" s="143">
        <v>6655.5</v>
      </c>
      <c r="AA44" s="143">
        <f t="shared" ref="AA44:AA49" si="5">SUM(O44:Z44)</f>
        <v>66065.739999999991</v>
      </c>
      <c r="AB44" s="144">
        <f>IF(AA44=0,"",IFERROR(AA44/AA$19,""))</f>
        <v>0.1343071565487946</v>
      </c>
      <c r="AC44" s="140"/>
      <c r="AD44" s="143">
        <v>284113.14282800001</v>
      </c>
      <c r="AE44" s="144">
        <f>IF(AD44=0,"",IFERROR(AD44/AD$19,""))</f>
        <v>0.10188426128591943</v>
      </c>
      <c r="AF44" s="145">
        <f t="shared" ref="AF44:AF50" si="6">IF(AND($AA44="",AD44=""),"",$AA44-AD44)</f>
        <v>-218047.40282800002</v>
      </c>
      <c r="AG44" s="143">
        <v>59769.3</v>
      </c>
      <c r="AH44" s="144">
        <f>IF(AG44=0,"",IFERROR(AG44/AG$19,""))</f>
        <v>7.4074942535476557E-2</v>
      </c>
      <c r="AI44" s="145">
        <f t="shared" ref="AI44:AI50" si="7">IF(AND($AA44="",AG44=""),"",$AA44-AG44)</f>
        <v>6296.4399999999878</v>
      </c>
    </row>
    <row r="45" spans="1:35" x14ac:dyDescent="0.35">
      <c r="A45" s="65" t="s">
        <v>33</v>
      </c>
      <c r="B45" s="66"/>
      <c r="C45" s="11"/>
      <c r="D45" s="11"/>
      <c r="E45" s="11"/>
      <c r="F45" s="11"/>
      <c r="G45" s="11"/>
      <c r="H45" s="185" t="s">
        <v>301</v>
      </c>
      <c r="I45" s="122" t="str">
        <f>IF(_epmOfflineCondition_,"T6",_xll.EVPRO($B$1,$H45,"STYLE"))</f>
        <v>T6</v>
      </c>
      <c r="J45" s="122" t="str">
        <f>IF(_epmOfflineCondition_,"Y",_xll.EVPRO($B$1,$H45,"CALC"))</f>
        <v>Y</v>
      </c>
      <c r="K45" s="90"/>
      <c r="L45" s="90" t="str">
        <f>IF(_epmOfflineCondition_,"462200",_xll.EVPRO($B$1,H45,"JDEID"))</f>
        <v>462200</v>
      </c>
      <c r="M45" s="90" t="str">
        <f>IF(_epmOfflineCondition_,"",IF(AND(I45="N",J45="N"),_xll.EVPRO($B$1,H45,"PSFTID"),""))</f>
        <v/>
      </c>
      <c r="N45" s="90" t="str">
        <f>IF(_epmOfflineCondition_,"Lunch Liquor",IF(_xll.EVDES(H45,$B$1)="#NODATA","",_xll.EVDES(H45,$B$1)))</f>
        <v>Lunch Liquor</v>
      </c>
      <c r="O45" s="143">
        <v>3594.11</v>
      </c>
      <c r="P45" s="143">
        <v>3951.5</v>
      </c>
      <c r="Q45" s="143">
        <v>2409.6999999999998</v>
      </c>
      <c r="R45" s="143"/>
      <c r="S45" s="143"/>
      <c r="T45" s="143"/>
      <c r="U45" s="143">
        <v>887</v>
      </c>
      <c r="V45" s="143">
        <v>316</v>
      </c>
      <c r="W45" s="143">
        <v>2570.2800000000002</v>
      </c>
      <c r="X45" s="143">
        <v>3684.72</v>
      </c>
      <c r="Y45" s="143">
        <v>4192</v>
      </c>
      <c r="Z45" s="143">
        <v>4647</v>
      </c>
      <c r="AA45" s="143">
        <f t="shared" si="5"/>
        <v>26252.31</v>
      </c>
      <c r="AB45" s="144">
        <f>IF(AA45=0,"",IFERROR(AA45/AA$19,""))</f>
        <v>5.3369160913621594E-2</v>
      </c>
      <c r="AC45" s="140"/>
      <c r="AD45" s="143">
        <v>91495.115873999996</v>
      </c>
      <c r="AE45" s="144">
        <f>IF(AD45=0,"",IFERROR(AD45/AD$19,""))</f>
        <v>3.2810563423092E-2</v>
      </c>
      <c r="AF45" s="145">
        <f t="shared" si="6"/>
        <v>-65242.805873999998</v>
      </c>
      <c r="AG45" s="143">
        <v>18508.2</v>
      </c>
      <c r="AH45" s="144">
        <f>IF(AG45=0,"",IFERROR(AG45/AG$19,""))</f>
        <v>2.2938094497260416E-2</v>
      </c>
      <c r="AI45" s="145">
        <f t="shared" si="7"/>
        <v>7744.1100000000006</v>
      </c>
    </row>
    <row r="46" spans="1:35" x14ac:dyDescent="0.35">
      <c r="A46" s="65" t="s">
        <v>34</v>
      </c>
      <c r="B46" s="66"/>
      <c r="C46" s="11"/>
      <c r="D46" s="11"/>
      <c r="E46" s="11"/>
      <c r="F46" s="11"/>
      <c r="G46" s="11"/>
      <c r="H46" s="185" t="s">
        <v>305</v>
      </c>
      <c r="I46" s="122" t="str">
        <f>IF(_epmOfflineCondition_,"T6",_xll.EVPRO($B$1,$H46,"STYLE"))</f>
        <v>T6</v>
      </c>
      <c r="J46" s="122" t="str">
        <f>IF(_epmOfflineCondition_,"Y",_xll.EVPRO($B$1,$H46,"CALC"))</f>
        <v>Y</v>
      </c>
      <c r="K46" s="90"/>
      <c r="L46" s="90" t="str">
        <f>IF(_epmOfflineCondition_,"462300",_xll.EVPRO($B$1,H46,"JDEID"))</f>
        <v>462300</v>
      </c>
      <c r="M46" s="90" t="str">
        <f>IF(_epmOfflineCondition_,"",IF(AND(I46="N",J46="N"),_xll.EVPRO($B$1,H46,"PSFTID"),""))</f>
        <v/>
      </c>
      <c r="N46" s="90" t="str">
        <f>IF(_epmOfflineCondition_,"Lunch Beer",IF(_xll.EVDES(H46,$B$1)="#NODATA","",_xll.EVDES(H46,$B$1)))</f>
        <v>Lunch Beer</v>
      </c>
      <c r="O46" s="143">
        <v>1256.2</v>
      </c>
      <c r="P46" s="143">
        <v>984</v>
      </c>
      <c r="Q46" s="143">
        <v>817</v>
      </c>
      <c r="R46" s="143"/>
      <c r="S46" s="143"/>
      <c r="T46" s="143"/>
      <c r="U46" s="143">
        <v>262</v>
      </c>
      <c r="V46" s="143">
        <v>396</v>
      </c>
      <c r="W46" s="143">
        <v>411</v>
      </c>
      <c r="X46" s="143">
        <v>309</v>
      </c>
      <c r="Y46" s="143">
        <v>279</v>
      </c>
      <c r="Z46" s="143">
        <v>695</v>
      </c>
      <c r="AA46" s="143">
        <f t="shared" si="5"/>
        <v>5409.2</v>
      </c>
      <c r="AB46" s="144">
        <f>IF(AA46=0,"",IFERROR(AA46/AA$19,""))</f>
        <v>1.09965357415771E-2</v>
      </c>
      <c r="AC46" s="140"/>
      <c r="AD46" s="143">
        <v>21388.822896000001</v>
      </c>
      <c r="AE46" s="144">
        <f>IF(AD46=0,"",IFERROR(AD46/AD$19,""))</f>
        <v>7.6701288748672282E-3</v>
      </c>
      <c r="AF46" s="145">
        <f t="shared" si="6"/>
        <v>-15979.622896000001</v>
      </c>
      <c r="AG46" s="143">
        <v>6979</v>
      </c>
      <c r="AH46" s="144">
        <f>IF(AG46=0,"",IFERROR(AG46/AG$19,""))</f>
        <v>8.6494073705914373E-3</v>
      </c>
      <c r="AI46" s="145">
        <f t="shared" si="7"/>
        <v>-1569.8000000000002</v>
      </c>
    </row>
    <row r="47" spans="1:35" x14ac:dyDescent="0.35">
      <c r="A47" s="65" t="s">
        <v>35</v>
      </c>
      <c r="B47" s="66"/>
      <c r="C47" s="11"/>
      <c r="D47" s="11"/>
      <c r="E47" s="11"/>
      <c r="F47" s="11"/>
      <c r="G47" s="11"/>
      <c r="H47" s="185" t="s">
        <v>303</v>
      </c>
      <c r="I47" s="122" t="str">
        <f>IF(_epmOfflineCondition_,"T6",_xll.EVPRO($B$1,$H47,"STYLE"))</f>
        <v>T6</v>
      </c>
      <c r="J47" s="122" t="str">
        <f>IF(_epmOfflineCondition_,"Y",_xll.EVPRO($B$1,$H47,"CALC"))</f>
        <v>Y</v>
      </c>
      <c r="K47" s="90"/>
      <c r="L47" s="90" t="str">
        <f>IF(_epmOfflineCondition_,"462400",_xll.EVPRO($B$1,H47,"JDEID"))</f>
        <v>462400</v>
      </c>
      <c r="M47" s="90" t="str">
        <f>IF(_epmOfflineCondition_,"",IF(AND(I47="N",J47="N"),_xll.EVPRO($B$1,H47,"PSFTID"),""))</f>
        <v/>
      </c>
      <c r="N47" s="90" t="str">
        <f>IF(_epmOfflineCondition_,"Lunch Wine",IF(_xll.EVDES(H47,$B$1)="#NODATA","",_xll.EVDES(H47,$B$1)))</f>
        <v>Lunch Wine</v>
      </c>
      <c r="O47" s="217">
        <v>2466.6999999999998</v>
      </c>
      <c r="P47" s="217">
        <v>4160</v>
      </c>
      <c r="Q47" s="217">
        <v>2295</v>
      </c>
      <c r="R47" s="217"/>
      <c r="S47" s="217"/>
      <c r="T47" s="217"/>
      <c r="U47" s="217">
        <v>42</v>
      </c>
      <c r="V47" s="217">
        <v>110</v>
      </c>
      <c r="W47" s="217">
        <v>254</v>
      </c>
      <c r="X47" s="217">
        <v>337</v>
      </c>
      <c r="Y47" s="217">
        <v>440</v>
      </c>
      <c r="Z47" s="217">
        <v>1001</v>
      </c>
      <c r="AA47" s="217">
        <f t="shared" si="5"/>
        <v>11105.7</v>
      </c>
      <c r="AB47" s="219">
        <f>IF(AA47=0,"",IFERROR(AA47/AA$19,""))</f>
        <v>2.2577132845010874E-2</v>
      </c>
      <c r="AC47" s="140"/>
      <c r="AD47" s="217">
        <v>112862.268402</v>
      </c>
      <c r="AE47" s="219">
        <f>IF(AD47=0,"",IFERROR(AD47/AD$19,""))</f>
        <v>4.0472921205733439E-2</v>
      </c>
      <c r="AF47" s="220">
        <f t="shared" si="6"/>
        <v>-101756.568402</v>
      </c>
      <c r="AG47" s="217">
        <v>7266</v>
      </c>
      <c r="AH47" s="219">
        <f>IF(AG47=0,"",IFERROR(AG47/AG$19,""))</f>
        <v>9.005100151127295E-3</v>
      </c>
      <c r="AI47" s="220">
        <f t="shared" si="7"/>
        <v>3839.7000000000007</v>
      </c>
    </row>
    <row r="48" spans="1:35" x14ac:dyDescent="0.35">
      <c r="A48" s="65" t="s">
        <v>36</v>
      </c>
      <c r="B48" s="66"/>
      <c r="C48" s="11"/>
      <c r="D48" s="11"/>
      <c r="E48" s="11"/>
      <c r="F48" s="11"/>
      <c r="G48" s="11"/>
      <c r="H48" s="88" t="s">
        <v>319</v>
      </c>
      <c r="I48" s="122" t="str">
        <f>IF(_epmOfflineCondition_,"N",_xll.EVPRO($B$1,$H48,"STYLE"))</f>
        <v>N</v>
      </c>
      <c r="J48" s="122" t="str">
        <f>IF(_epmOfflineCondition_,"Y",_xll.EVPRO($B$1,$H48,"CALC"))</f>
        <v>Y</v>
      </c>
      <c r="K48" s="90"/>
      <c r="L48" s="90" t="str">
        <f>IF(_epmOfflineCondition_,"",_xll.EVPRO($B$1,H48,"JDEID"))</f>
        <v/>
      </c>
      <c r="M48" s="90" t="str">
        <f>IF(_epmOfflineCondition_,"",IF(AND(I48="N",J48="N"),_xll.EVPRO($B$1,H48,"PSFTID"),""))</f>
        <v/>
      </c>
      <c r="N48" s="106" t="str">
        <f>IF(_epmOfflineCondition_,"Lunch Revenue",IF(_xll.EVDES(H48,$B$1)="#NODATA","",_xll.EVDES(H48,$B$1)))</f>
        <v>Lunch Revenue</v>
      </c>
      <c r="O48" s="166">
        <v>26691.279999999999</v>
      </c>
      <c r="P48" s="166">
        <v>31865.73</v>
      </c>
      <c r="Q48" s="166">
        <v>11400.9</v>
      </c>
      <c r="R48" s="166"/>
      <c r="S48" s="166">
        <v>-3472</v>
      </c>
      <c r="T48" s="166"/>
      <c r="U48" s="166">
        <v>2123</v>
      </c>
      <c r="V48" s="166">
        <v>3816</v>
      </c>
      <c r="W48" s="166">
        <v>7133.3</v>
      </c>
      <c r="X48" s="166">
        <v>8212.7199999999993</v>
      </c>
      <c r="Y48" s="166">
        <v>8063.52</v>
      </c>
      <c r="Z48" s="166">
        <v>12998.5</v>
      </c>
      <c r="AA48" s="166">
        <f t="shared" si="5"/>
        <v>108832.95</v>
      </c>
      <c r="AB48" s="167">
        <f>IF(AA48=0,"",IFERROR(AA48/AA$19,""))</f>
        <v>0.2212499860490042</v>
      </c>
      <c r="AC48" s="140"/>
      <c r="AD48" s="166">
        <v>509859.35</v>
      </c>
      <c r="AE48" s="167">
        <f>IF(AD48=0,"",IFERROR(AD48/AD$19,""))</f>
        <v>0.18283787478961208</v>
      </c>
      <c r="AF48" s="168">
        <f t="shared" si="6"/>
        <v>-401026.39999999997</v>
      </c>
      <c r="AG48" s="166">
        <v>92522.5</v>
      </c>
      <c r="AH48" s="167">
        <f>IF(AG48=0,"",IFERROR(AG48/AG$19,""))</f>
        <v>0.1146675445544557</v>
      </c>
      <c r="AI48" s="168">
        <f t="shared" si="7"/>
        <v>16310.449999999997</v>
      </c>
    </row>
    <row r="49" spans="1:35" x14ac:dyDescent="0.35">
      <c r="A49" s="65" t="s">
        <v>37</v>
      </c>
      <c r="B49" s="66"/>
      <c r="C49" s="11"/>
      <c r="D49" s="11"/>
      <c r="E49" s="11"/>
      <c r="F49" s="11"/>
      <c r="G49" s="11"/>
      <c r="H49" s="88" t="s">
        <v>298</v>
      </c>
      <c r="I49" s="122" t="str">
        <f>IF(_epmOfflineCondition_,"N",_xll.EVPRO($B$1,$H49,"STYLE"))</f>
        <v>N</v>
      </c>
      <c r="J49" s="122" t="str">
        <f>IF(_epmOfflineCondition_,"N",_xll.EVPRO($B$1,$H49,"CALC"))</f>
        <v>N</v>
      </c>
      <c r="K49" s="90"/>
      <c r="L49" s="90" t="str">
        <f>IF(_epmOfflineCondition_,"946200",_xll.EVPRO($B$1,H49,"JDEID"))</f>
        <v>946200</v>
      </c>
      <c r="M49" s="90" t="str">
        <f>IF(_epmOfflineCondition_,"991502",IF(AND(I49="N",J49="N"),_xll.EVPRO($B$1,H49,"PSFTID"),""))</f>
        <v>991502</v>
      </c>
      <c r="N49" s="90" t="str">
        <f>IF(_epmOfflineCondition_,"Lunch Customers",IF(_xll.EVDES(H49,$B$1)="#NODATA","",_xll.EVDES(H49,$B$1)))</f>
        <v>Lunch Customers</v>
      </c>
      <c r="O49" s="210">
        <v>893</v>
      </c>
      <c r="P49" s="210">
        <v>1074</v>
      </c>
      <c r="Q49" s="210">
        <v>521</v>
      </c>
      <c r="R49" s="210"/>
      <c r="S49" s="210">
        <v>-98</v>
      </c>
      <c r="T49" s="210"/>
      <c r="U49" s="210">
        <v>114</v>
      </c>
      <c r="V49" s="210">
        <v>187</v>
      </c>
      <c r="W49" s="210">
        <v>187</v>
      </c>
      <c r="X49" s="210">
        <v>474</v>
      </c>
      <c r="Y49" s="210">
        <v>472</v>
      </c>
      <c r="Z49" s="210">
        <v>696</v>
      </c>
      <c r="AA49" s="210">
        <f t="shared" si="5"/>
        <v>4520</v>
      </c>
      <c r="AB49" s="211">
        <f>IF(AA49=0,"",IFERROR(AA49/AA$104,""))</f>
        <v>0.2629129827826896</v>
      </c>
      <c r="AC49" s="140"/>
      <c r="AD49" s="210">
        <v>15604</v>
      </c>
      <c r="AE49" s="211">
        <f>IF(AD49=0,"",IFERROR(AD49/AD$104,""))</f>
        <v>0.19960090053213261</v>
      </c>
      <c r="AF49" s="253">
        <f t="shared" si="6"/>
        <v>-11084</v>
      </c>
      <c r="AG49" s="210">
        <v>3486</v>
      </c>
      <c r="AH49" s="211">
        <f>IF(AG49=0,"",IFERROR(AG49/AG$104,""))</f>
        <v>0.10183751570214133</v>
      </c>
      <c r="AI49" s="253">
        <f t="shared" si="7"/>
        <v>1034</v>
      </c>
    </row>
    <row r="50" spans="1:35" x14ac:dyDescent="0.35">
      <c r="A50" s="65" t="s">
        <v>38</v>
      </c>
      <c r="B50" s="66"/>
      <c r="C50" s="11"/>
      <c r="D50" s="11"/>
      <c r="E50" s="11"/>
      <c r="F50" s="11"/>
      <c r="G50" s="11"/>
      <c r="H50" s="88" t="s">
        <v>315</v>
      </c>
      <c r="I50" s="122" t="str">
        <f>IF(_epmOfflineCondition_,"N",_xll.EVPRO($B$1,$H50,"STYLE"))</f>
        <v>N</v>
      </c>
      <c r="J50" s="122" t="str">
        <f>IF(_epmOfflineCondition_,"Y",_xll.EVPRO($B$1,$H50,"CALC"))</f>
        <v>Y</v>
      </c>
      <c r="K50" s="90"/>
      <c r="L50" s="90" t="str">
        <f>IF(_epmOfflineCondition_,"",_xll.EVPRO($B$1,H50,"JDEID"))</f>
        <v/>
      </c>
      <c r="M50" s="90" t="str">
        <f>IF(_epmOfflineCondition_,"",IF(AND(I50="N",J50="N"),_xll.EVPRO($B$1,H50,"PSFTID"),""))</f>
        <v/>
      </c>
      <c r="N50" s="190" t="str">
        <f>IF(_epmOfflineCondition_,"Lunch - Average Check",IF(_xll.EVDES(H50,$B$1)="#NODATA","",_xll.EVDES(H50,$B$1)))</f>
        <v>Lunch - Average Check</v>
      </c>
      <c r="O50" s="495">
        <v>29.889451287794</v>
      </c>
      <c r="P50" s="495">
        <v>29.670139664804498</v>
      </c>
      <c r="Q50" s="495">
        <v>21.882725527831099</v>
      </c>
      <c r="R50" s="495"/>
      <c r="S50" s="495">
        <v>35.428571428571402</v>
      </c>
      <c r="T50" s="495"/>
      <c r="U50" s="495">
        <v>18.622807017543899</v>
      </c>
      <c r="V50" s="495">
        <v>20.406417112299501</v>
      </c>
      <c r="W50" s="495">
        <v>38.145989304812801</v>
      </c>
      <c r="X50" s="495">
        <v>17.326413502109698</v>
      </c>
      <c r="Y50" s="495">
        <v>17.083728813559301</v>
      </c>
      <c r="Z50" s="495">
        <v>18.6760057471264</v>
      </c>
      <c r="AA50" s="495">
        <f>IFERROR(AA48/AA49,"")</f>
        <v>24.07808628318584</v>
      </c>
      <c r="AB50" s="495"/>
      <c r="AC50" s="140"/>
      <c r="AD50" s="495">
        <v>32.674913483722101</v>
      </c>
      <c r="AE50" s="495"/>
      <c r="AF50" s="496">
        <f t="shared" si="6"/>
        <v>-8.5968272005362607</v>
      </c>
      <c r="AG50" s="495">
        <v>26.5411646586345</v>
      </c>
      <c r="AH50" s="495"/>
      <c r="AI50" s="496">
        <f t="shared" si="7"/>
        <v>-2.46307837544866</v>
      </c>
    </row>
    <row r="51" spans="1:35" x14ac:dyDescent="0.35">
      <c r="A51" s="65" t="s">
        <v>39</v>
      </c>
      <c r="B51" s="66"/>
      <c r="C51" s="11"/>
      <c r="D51" s="11"/>
      <c r="E51" s="11"/>
      <c r="F51" s="11"/>
      <c r="G51" s="490">
        <f>COUNTIF(O52:AI52,FALSE)</f>
        <v>0</v>
      </c>
      <c r="H51" s="88"/>
      <c r="I51" s="122"/>
      <c r="J51" s="122"/>
      <c r="K51" s="90"/>
      <c r="L51" s="90"/>
      <c r="M51" s="90"/>
      <c r="N51" s="491" t="s">
        <v>345</v>
      </c>
      <c r="O51" s="497">
        <f t="shared" ref="O51:AA51" si="8">ROUND(IFERROR(O48/O49,0),2)</f>
        <v>29.89</v>
      </c>
      <c r="P51" s="498">
        <f t="shared" si="8"/>
        <v>29.67</v>
      </c>
      <c r="Q51" s="498">
        <f t="shared" si="8"/>
        <v>21.88</v>
      </c>
      <c r="R51" s="498">
        <f t="shared" si="8"/>
        <v>0</v>
      </c>
      <c r="S51" s="498">
        <f t="shared" si="8"/>
        <v>35.43</v>
      </c>
      <c r="T51" s="498">
        <f t="shared" si="8"/>
        <v>0</v>
      </c>
      <c r="U51" s="498">
        <f t="shared" si="8"/>
        <v>18.62</v>
      </c>
      <c r="V51" s="498">
        <f t="shared" si="8"/>
        <v>20.41</v>
      </c>
      <c r="W51" s="498">
        <f t="shared" si="8"/>
        <v>38.15</v>
      </c>
      <c r="X51" s="498">
        <f t="shared" si="8"/>
        <v>17.329999999999998</v>
      </c>
      <c r="Y51" s="498">
        <f t="shared" si="8"/>
        <v>17.079999999999998</v>
      </c>
      <c r="Z51" s="498">
        <f t="shared" si="8"/>
        <v>18.68</v>
      </c>
      <c r="AA51" s="498">
        <f t="shared" si="8"/>
        <v>24.08</v>
      </c>
      <c r="AB51" s="499"/>
      <c r="AC51" s="140"/>
      <c r="AD51" s="497">
        <f>ROUND(IFERROR(AD48/AD49,0),2)</f>
        <v>32.67</v>
      </c>
      <c r="AE51" s="498"/>
      <c r="AF51" s="159"/>
      <c r="AG51" s="497">
        <f>ROUND(IFERROR(AG48/AG49,0),2)</f>
        <v>26.54</v>
      </c>
      <c r="AH51" s="498"/>
      <c r="AI51" s="159"/>
    </row>
    <row r="52" spans="1:35" x14ac:dyDescent="0.35">
      <c r="A52" s="65" t="s">
        <v>40</v>
      </c>
      <c r="B52" s="66"/>
      <c r="C52" s="11"/>
      <c r="D52" s="11"/>
      <c r="E52" s="11"/>
      <c r="F52" s="11"/>
      <c r="G52" s="11"/>
      <c r="H52" s="88"/>
      <c r="I52" s="122"/>
      <c r="J52" s="122"/>
      <c r="K52" s="90"/>
      <c r="L52" s="90"/>
      <c r="M52" s="90"/>
      <c r="N52" s="53" t="s">
        <v>316</v>
      </c>
      <c r="O52" s="500" t="b">
        <f t="shared" ref="O52:AA52" si="9">ROUND(O50,2)=ROUND(O51,2)</f>
        <v>1</v>
      </c>
      <c r="P52" s="501" t="b">
        <f t="shared" si="9"/>
        <v>1</v>
      </c>
      <c r="Q52" s="501" t="b">
        <f t="shared" si="9"/>
        <v>1</v>
      </c>
      <c r="R52" s="501" t="b">
        <f t="shared" si="9"/>
        <v>1</v>
      </c>
      <c r="S52" s="501" t="b">
        <f t="shared" si="9"/>
        <v>1</v>
      </c>
      <c r="T52" s="501" t="b">
        <f t="shared" si="9"/>
        <v>1</v>
      </c>
      <c r="U52" s="501" t="b">
        <f t="shared" si="9"/>
        <v>1</v>
      </c>
      <c r="V52" s="501" t="b">
        <f t="shared" si="9"/>
        <v>1</v>
      </c>
      <c r="W52" s="501" t="b">
        <f t="shared" si="9"/>
        <v>1</v>
      </c>
      <c r="X52" s="501" t="b">
        <f t="shared" si="9"/>
        <v>1</v>
      </c>
      <c r="Y52" s="501" t="b">
        <f t="shared" si="9"/>
        <v>1</v>
      </c>
      <c r="Z52" s="501" t="b">
        <f t="shared" si="9"/>
        <v>1</v>
      </c>
      <c r="AA52" s="501" t="b">
        <f t="shared" si="9"/>
        <v>1</v>
      </c>
      <c r="AB52" s="502"/>
      <c r="AC52" s="503"/>
      <c r="AD52" s="500"/>
      <c r="AE52" s="501" t="b">
        <f>ROUND(AD50,2)=ROUND(AD51,2)</f>
        <v>1</v>
      </c>
      <c r="AF52" s="502"/>
      <c r="AG52" s="500"/>
      <c r="AH52" s="501" t="b">
        <f>ROUND(AG50,2)=ROUND(AG51,2)</f>
        <v>1</v>
      </c>
      <c r="AI52" s="502"/>
    </row>
    <row r="53" spans="1:35" x14ac:dyDescent="0.35">
      <c r="A53" s="65" t="s">
        <v>41</v>
      </c>
      <c r="B53" s="66"/>
      <c r="C53" s="11"/>
      <c r="D53" s="11"/>
      <c r="E53" s="11"/>
      <c r="F53" s="11"/>
      <c r="G53" s="11"/>
      <c r="H53" s="88" t="s">
        <v>262</v>
      </c>
      <c r="I53" s="122" t="str">
        <f>IF(_epmOfflineCondition_,"T5",_xll.EVPRO($B$1,$H53,"STYLE"))</f>
        <v>T5</v>
      </c>
      <c r="J53" s="122" t="str">
        <f>IF(_epmOfflineCondition_,"Y",_xll.EVPRO($B$1,$H53,"CALC"))</f>
        <v>Y</v>
      </c>
      <c r="K53" s="90"/>
      <c r="L53" s="90" t="str">
        <f>IF(_epmOfflineCondition_,"463100",_xll.EVPRO($B$1,H53,"JDEID"))</f>
        <v>463100</v>
      </c>
      <c r="M53" s="90" t="str">
        <f>IF(_epmOfflineCondition_,"",IF(AND(I53="N",J53="N"),_xll.EVPRO($B$1,H53,"PSFTID"),""))</f>
        <v/>
      </c>
      <c r="N53" s="90" t="str">
        <f>IF(_epmOfflineCondition_,"Dinner Food",IF(_xll.EVDES(H53,$B$1)="#NODATA","",_xll.EVDES(H53,$B$1)))</f>
        <v>Dinner Food</v>
      </c>
      <c r="O53" s="143">
        <v>28506.13</v>
      </c>
      <c r="P53" s="143">
        <v>40476.74</v>
      </c>
      <c r="Q53" s="143">
        <v>14915.64</v>
      </c>
      <c r="R53" s="143"/>
      <c r="S53" s="143">
        <v>-3165.03</v>
      </c>
      <c r="T53" s="143"/>
      <c r="U53" s="143">
        <v>187</v>
      </c>
      <c r="V53" s="143">
        <v>190</v>
      </c>
      <c r="W53" s="143">
        <v>239</v>
      </c>
      <c r="X53" s="143">
        <v>1479.01</v>
      </c>
      <c r="Y53" s="143">
        <v>5339.5</v>
      </c>
      <c r="Z53" s="143">
        <v>11352.1</v>
      </c>
      <c r="AA53" s="143">
        <f t="shared" ref="AA53:AA58" si="10">SUM(O53:Z53)</f>
        <v>99520.09</v>
      </c>
      <c r="AB53" s="144">
        <f>IF(AA53=0,"",IFERROR(AA53/AA$19,""))</f>
        <v>0.20231757499999439</v>
      </c>
      <c r="AC53" s="140"/>
      <c r="AD53" s="143">
        <v>842158.12495199998</v>
      </c>
      <c r="AE53" s="144">
        <f>IF(AD53=0,"",IFERROR(AD53/AD$19,""))</f>
        <v>0.302001722245612</v>
      </c>
      <c r="AF53" s="145">
        <f t="shared" ref="AF53:AF59" si="11">IF(AND($AA53="",AD53=""),"",$AA53-AD53)</f>
        <v>-742638.03495200002</v>
      </c>
      <c r="AG53" s="143">
        <v>84897.54</v>
      </c>
      <c r="AH53" s="144">
        <f>IF(AG53=0,"",IFERROR(AG53/AG$19,""))</f>
        <v>0.10521756816464843</v>
      </c>
      <c r="AI53" s="145">
        <f t="shared" ref="AI53:AI59" si="12">IF(AND($AA53="",AG53=""),"",$AA53-AG53)</f>
        <v>14622.550000000003</v>
      </c>
    </row>
    <row r="54" spans="1:35" x14ac:dyDescent="0.35">
      <c r="A54" s="65" t="s">
        <v>42</v>
      </c>
      <c r="B54" s="66"/>
      <c r="C54" s="11"/>
      <c r="D54" s="11"/>
      <c r="E54" s="11"/>
      <c r="F54" s="11"/>
      <c r="G54" s="11"/>
      <c r="H54" s="88" t="s">
        <v>302</v>
      </c>
      <c r="I54" s="122" t="str">
        <f>IF(_epmOfflineCondition_,"T6",_xll.EVPRO($B$1,$H54,"STYLE"))</f>
        <v>T6</v>
      </c>
      <c r="J54" s="122" t="str">
        <f>IF(_epmOfflineCondition_,"Y",_xll.EVPRO($B$1,$H54,"CALC"))</f>
        <v>Y</v>
      </c>
      <c r="K54" s="90"/>
      <c r="L54" s="90" t="str">
        <f>IF(_epmOfflineCondition_,"463200",_xll.EVPRO($B$1,H54,"JDEID"))</f>
        <v>463200</v>
      </c>
      <c r="M54" s="90" t="str">
        <f>IF(_epmOfflineCondition_,"",IF(AND(I54="N",J54="N"),_xll.EVPRO($B$1,H54,"PSFTID"),""))</f>
        <v/>
      </c>
      <c r="N54" s="90" t="str">
        <f>IF(_epmOfflineCondition_,"Dinner Liquor",IF(_xll.EVDES(H54,$B$1)="#NODATA","",_xll.EVDES(H54,$B$1)))</f>
        <v>Dinner Liquor</v>
      </c>
      <c r="O54" s="143">
        <v>3979.83</v>
      </c>
      <c r="P54" s="143">
        <v>7702.93</v>
      </c>
      <c r="Q54" s="143">
        <v>2980.71</v>
      </c>
      <c r="R54" s="143"/>
      <c r="S54" s="143"/>
      <c r="T54" s="143"/>
      <c r="U54" s="143">
        <v>616</v>
      </c>
      <c r="V54" s="143">
        <v>89</v>
      </c>
      <c r="W54" s="143">
        <v>433</v>
      </c>
      <c r="X54" s="143">
        <v>5082</v>
      </c>
      <c r="Y54" s="143">
        <v>2042.3</v>
      </c>
      <c r="Z54" s="143">
        <v>2416.6</v>
      </c>
      <c r="AA54" s="143">
        <f t="shared" si="10"/>
        <v>25342.37</v>
      </c>
      <c r="AB54" s="144">
        <f>IF(AA54=0,"",IFERROR(AA54/AA$19,""))</f>
        <v>5.1519314775063087E-2</v>
      </c>
      <c r="AC54" s="140"/>
      <c r="AD54" s="143">
        <v>135835.43437199999</v>
      </c>
      <c r="AE54" s="144">
        <f>IF(AD54=0,"",IFERROR(AD54/AD$19,""))</f>
        <v>4.8711202690899569E-2</v>
      </c>
      <c r="AF54" s="145">
        <f t="shared" si="11"/>
        <v>-110493.06437199999</v>
      </c>
      <c r="AG54" s="143">
        <v>11897.86</v>
      </c>
      <c r="AH54" s="144">
        <f>IF(AG54=0,"",IFERROR(AG54/AG$19,""))</f>
        <v>1.4745585037722461E-2</v>
      </c>
      <c r="AI54" s="145">
        <f t="shared" si="12"/>
        <v>13444.509999999998</v>
      </c>
    </row>
    <row r="55" spans="1:35" x14ac:dyDescent="0.35">
      <c r="A55" s="65" t="s">
        <v>43</v>
      </c>
      <c r="B55" s="66"/>
      <c r="C55" s="11"/>
      <c r="D55" s="11"/>
      <c r="E55" s="11"/>
      <c r="F55" s="11"/>
      <c r="G55" s="11"/>
      <c r="H55" s="88" t="s">
        <v>306</v>
      </c>
      <c r="I55" s="122" t="str">
        <f>IF(_epmOfflineCondition_,"T6",_xll.EVPRO($B$1,$H55,"STYLE"))</f>
        <v>T6</v>
      </c>
      <c r="J55" s="122" t="str">
        <f>IF(_epmOfflineCondition_,"Y",_xll.EVPRO($B$1,$H55,"CALC"))</f>
        <v>Y</v>
      </c>
      <c r="K55" s="90"/>
      <c r="L55" s="90" t="str">
        <f>IF(_epmOfflineCondition_,"463300",_xll.EVPRO($B$1,H55,"JDEID"))</f>
        <v>463300</v>
      </c>
      <c r="M55" s="90" t="str">
        <f>IF(_epmOfflineCondition_,"",IF(AND(I55="N",J55="N"),_xll.EVPRO($B$1,H55,"PSFTID"),""))</f>
        <v/>
      </c>
      <c r="N55" s="90" t="str">
        <f>IF(_epmOfflineCondition_,"Dinner Beer",IF(_xll.EVDES(H55,$B$1)="#NODATA","",_xll.EVDES(H55,$B$1)))</f>
        <v>Dinner Beer</v>
      </c>
      <c r="O55" s="143">
        <v>825.6</v>
      </c>
      <c r="P55" s="143">
        <v>1082.98</v>
      </c>
      <c r="Q55" s="143">
        <v>446.58</v>
      </c>
      <c r="R55" s="143"/>
      <c r="S55" s="143"/>
      <c r="T55" s="143"/>
      <c r="U55" s="143"/>
      <c r="V55" s="143">
        <v>57</v>
      </c>
      <c r="W55" s="143">
        <v>33</v>
      </c>
      <c r="X55" s="143">
        <v>200</v>
      </c>
      <c r="Y55" s="143">
        <v>188.4</v>
      </c>
      <c r="Z55" s="143">
        <v>361.4</v>
      </c>
      <c r="AA55" s="143">
        <f t="shared" si="10"/>
        <v>3194.96</v>
      </c>
      <c r="AB55" s="144">
        <f>IF(AA55=0,"",IFERROR(AA55/AA$19,""))</f>
        <v>6.4951364033330574E-3</v>
      </c>
      <c r="AC55" s="140"/>
      <c r="AD55" s="143">
        <v>72090.089642000006</v>
      </c>
      <c r="AE55" s="144">
        <f>IF(AD55=0,"",IFERROR(AD55/AD$19,""))</f>
        <v>2.5851833027159172E-2</v>
      </c>
      <c r="AF55" s="145">
        <f t="shared" si="11"/>
        <v>-68895.129642</v>
      </c>
      <c r="AG55" s="143">
        <v>3208.6</v>
      </c>
      <c r="AH55" s="144">
        <f>IF(AG55=0,"",IFERROR(AG55/AG$19,""))</f>
        <v>3.976570925530833E-3</v>
      </c>
      <c r="AI55" s="145">
        <f t="shared" si="12"/>
        <v>-13.639999999999873</v>
      </c>
    </row>
    <row r="56" spans="1:35" x14ac:dyDescent="0.35">
      <c r="A56" s="65" t="s">
        <v>44</v>
      </c>
      <c r="B56" s="66"/>
      <c r="C56" s="11"/>
      <c r="D56" s="11"/>
      <c r="E56" s="11"/>
      <c r="F56" s="11"/>
      <c r="G56" s="11"/>
      <c r="H56" s="88" t="s">
        <v>304</v>
      </c>
      <c r="I56" s="122" t="str">
        <f>IF(_epmOfflineCondition_,"T6",_xll.EVPRO($B$1,$H56,"STYLE"))</f>
        <v>T6</v>
      </c>
      <c r="J56" s="122" t="str">
        <f>IF(_epmOfflineCondition_,"Y",_xll.EVPRO($B$1,$H56,"CALC"))</f>
        <v>Y</v>
      </c>
      <c r="K56" s="90"/>
      <c r="L56" s="90" t="str">
        <f>IF(_epmOfflineCondition_,"463400",_xll.EVPRO($B$1,H56,"JDEID"))</f>
        <v>463400</v>
      </c>
      <c r="M56" s="90" t="str">
        <f>IF(_epmOfflineCondition_,"",IF(AND(I56="N",J56="N"),_xll.EVPRO($B$1,H56,"PSFTID"),""))</f>
        <v/>
      </c>
      <c r="N56" s="90" t="str">
        <f>IF(_epmOfflineCondition_,"Dinner Wine",IF(_xll.EVDES(H56,$B$1)="#NODATA","",_xll.EVDES(H56,$B$1)))</f>
        <v>Dinner Wine</v>
      </c>
      <c r="O56" s="217">
        <v>4740.84</v>
      </c>
      <c r="P56" s="217">
        <v>9319.07</v>
      </c>
      <c r="Q56" s="217">
        <v>2902.15</v>
      </c>
      <c r="R56" s="217"/>
      <c r="S56" s="217"/>
      <c r="T56" s="217"/>
      <c r="U56" s="217"/>
      <c r="V56" s="217"/>
      <c r="W56" s="217">
        <v>13</v>
      </c>
      <c r="X56" s="217">
        <v>432</v>
      </c>
      <c r="Y56" s="217">
        <v>746.2</v>
      </c>
      <c r="Z56" s="217">
        <v>1847.8</v>
      </c>
      <c r="AA56" s="217">
        <f t="shared" si="10"/>
        <v>20001.060000000001</v>
      </c>
      <c r="AB56" s="219">
        <f>IF(AA56=0,"",IFERROR(AA56/AA$19,""))</f>
        <v>4.0660794786554037E-2</v>
      </c>
      <c r="AC56" s="140"/>
      <c r="AD56" s="217">
        <v>243760.40103400001</v>
      </c>
      <c r="AE56" s="219">
        <f>IF(AD56=0,"",IFERROR(AD56/AD$19,""))</f>
        <v>8.741358510522583E-2</v>
      </c>
      <c r="AF56" s="220">
        <f t="shared" si="11"/>
        <v>-223759.34103400001</v>
      </c>
      <c r="AG56" s="217">
        <v>16270.71</v>
      </c>
      <c r="AH56" s="219">
        <f>IF(AG56=0,"",IFERROR(AG56/AG$19,""))</f>
        <v>2.0165066484991518E-2</v>
      </c>
      <c r="AI56" s="220">
        <f t="shared" si="12"/>
        <v>3730.3500000000022</v>
      </c>
    </row>
    <row r="57" spans="1:35" x14ac:dyDescent="0.35">
      <c r="A57" s="65" t="s">
        <v>45</v>
      </c>
      <c r="B57" s="66"/>
      <c r="C57" s="11"/>
      <c r="D57" s="11"/>
      <c r="E57" s="11"/>
      <c r="F57" s="11"/>
      <c r="G57" s="11"/>
      <c r="H57" s="88" t="s">
        <v>320</v>
      </c>
      <c r="I57" s="122" t="str">
        <f>IF(_epmOfflineCondition_,"N",_xll.EVPRO($B$1,$H57,"STYLE"))</f>
        <v>N</v>
      </c>
      <c r="J57" s="122" t="str">
        <f>IF(_epmOfflineCondition_,"Y",_xll.EVPRO($B$1,$H57,"CALC"))</f>
        <v>Y</v>
      </c>
      <c r="K57" s="90"/>
      <c r="L57" s="90" t="str">
        <f>IF(_epmOfflineCondition_,"",_xll.EVPRO($B$1,H57,"JDEID"))</f>
        <v/>
      </c>
      <c r="M57" s="90" t="str">
        <f>IF(_epmOfflineCondition_,"",IF(AND(I57="N",J57="N"),_xll.EVPRO($B$1,H57,"PSFTID"),""))</f>
        <v/>
      </c>
      <c r="N57" s="106" t="str">
        <f>IF(_epmOfflineCondition_,"Dinner Revenue",IF(_xll.EVDES(H57,$B$1)="#NODATA","",_xll.EVDES(H57,$B$1)))</f>
        <v>Dinner Revenue</v>
      </c>
      <c r="O57" s="166">
        <v>38052.400000000001</v>
      </c>
      <c r="P57" s="166">
        <v>58581.72</v>
      </c>
      <c r="Q57" s="166">
        <v>21245.08</v>
      </c>
      <c r="R57" s="166"/>
      <c r="S57" s="166">
        <v>-3165.03</v>
      </c>
      <c r="T57" s="166"/>
      <c r="U57" s="166">
        <v>803</v>
      </c>
      <c r="V57" s="166">
        <v>336</v>
      </c>
      <c r="W57" s="166">
        <v>718</v>
      </c>
      <c r="X57" s="166">
        <v>7193.01</v>
      </c>
      <c r="Y57" s="166">
        <v>8316.4</v>
      </c>
      <c r="Z57" s="166">
        <v>15977.9</v>
      </c>
      <c r="AA57" s="166">
        <f t="shared" si="10"/>
        <v>148058.47999999998</v>
      </c>
      <c r="AB57" s="167">
        <f>IF(AA57=0,"",IFERROR(AA57/AA$19,""))</f>
        <v>0.30099282096494456</v>
      </c>
      <c r="AC57" s="140"/>
      <c r="AD57" s="166">
        <v>1293844.05</v>
      </c>
      <c r="AE57" s="167">
        <f>IF(AD57=0,"",IFERROR(AD57/AD$19,""))</f>
        <v>0.46397834306889657</v>
      </c>
      <c r="AF57" s="168">
        <f t="shared" si="11"/>
        <v>-1145785.57</v>
      </c>
      <c r="AG57" s="166">
        <v>116274.71</v>
      </c>
      <c r="AH57" s="167">
        <f>IF(AG57=0,"",IFERROR(AG57/AG$19,""))</f>
        <v>0.14410479061289325</v>
      </c>
      <c r="AI57" s="168">
        <f t="shared" si="12"/>
        <v>31783.769999999975</v>
      </c>
    </row>
    <row r="58" spans="1:35" x14ac:dyDescent="0.35">
      <c r="A58" s="65" t="s">
        <v>46</v>
      </c>
      <c r="B58" s="66"/>
      <c r="C58" s="11"/>
      <c r="D58" s="11"/>
      <c r="E58" s="11"/>
      <c r="F58" s="11"/>
      <c r="G58" s="11"/>
      <c r="H58" s="88" t="s">
        <v>299</v>
      </c>
      <c r="I58" s="122" t="str">
        <f>IF(_epmOfflineCondition_,"N",_xll.EVPRO($B$1,$H58,"STYLE"))</f>
        <v>N</v>
      </c>
      <c r="J58" s="122" t="str">
        <f>IF(_epmOfflineCondition_,"N",_xll.EVPRO($B$1,$H58,"CALC"))</f>
        <v>N</v>
      </c>
      <c r="K58" s="90"/>
      <c r="L58" s="90" t="str">
        <f>IF(_epmOfflineCondition_,"946300",_xll.EVPRO($B$1,H58,"JDEID"))</f>
        <v>946300</v>
      </c>
      <c r="M58" s="90" t="str">
        <f>IF(_epmOfflineCondition_,"991503",IF(AND(I58="N",J58="N"),_xll.EVPRO($B$1,H58,"PSFTID"),""))</f>
        <v>991503</v>
      </c>
      <c r="N58" s="90" t="str">
        <f>IF(_epmOfflineCondition_,"Dinner Customers",IF(_xll.EVDES(H58,$B$1)="#NODATA","",_xll.EVDES(H58,$B$1)))</f>
        <v>Dinner Customers</v>
      </c>
      <c r="O58" s="210">
        <v>927</v>
      </c>
      <c r="P58" s="210">
        <v>1365</v>
      </c>
      <c r="Q58" s="210">
        <v>554</v>
      </c>
      <c r="R58" s="210"/>
      <c r="S58" s="210">
        <v>-58</v>
      </c>
      <c r="T58" s="210"/>
      <c r="U58" s="210">
        <v>30</v>
      </c>
      <c r="V58" s="210">
        <v>16</v>
      </c>
      <c r="W58" s="210">
        <v>16</v>
      </c>
      <c r="X58" s="210">
        <v>366</v>
      </c>
      <c r="Y58" s="210">
        <v>230</v>
      </c>
      <c r="Z58" s="210">
        <v>365</v>
      </c>
      <c r="AA58" s="210">
        <f t="shared" si="10"/>
        <v>3811</v>
      </c>
      <c r="AB58" s="211">
        <f>IF(AA58=0,"",IFERROR(AA58/AA$104,""))</f>
        <v>0.22167287110283854</v>
      </c>
      <c r="AC58" s="140"/>
      <c r="AD58" s="210">
        <v>26514</v>
      </c>
      <c r="AE58" s="211">
        <f>IF(AD58=0,"",IFERROR(AD58/AD$104,""))</f>
        <v>0.33915779778960292</v>
      </c>
      <c r="AF58" s="253">
        <f t="shared" si="11"/>
        <v>-22703</v>
      </c>
      <c r="AG58" s="210">
        <v>2503</v>
      </c>
      <c r="AH58" s="211">
        <f>IF(AG58=0,"",IFERROR(AG58/AG$104,""))</f>
        <v>7.3120855365020013E-2</v>
      </c>
      <c r="AI58" s="253">
        <f t="shared" si="12"/>
        <v>1308</v>
      </c>
    </row>
    <row r="59" spans="1:35" x14ac:dyDescent="0.35">
      <c r="A59" s="11"/>
      <c r="B59" s="11"/>
      <c r="C59" s="11"/>
      <c r="D59" s="11"/>
      <c r="E59" s="11"/>
      <c r="F59" s="11"/>
      <c r="G59" s="11"/>
      <c r="H59" s="185" t="s">
        <v>317</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90" t="str">
        <f>IF(_epmOfflineCondition_,"Dinner - Average Check",IF(_xll.EVDES(H59,$B$1)="#NODATA","",_xll.EVDES(H59,$B$1)))</f>
        <v>Dinner - Average Check</v>
      </c>
      <c r="O59" s="495">
        <v>41.048975188781</v>
      </c>
      <c r="P59" s="495">
        <v>42.917010989010997</v>
      </c>
      <c r="Q59" s="495">
        <v>38.348519855595697</v>
      </c>
      <c r="R59" s="495"/>
      <c r="S59" s="495">
        <v>54.569482758620701</v>
      </c>
      <c r="T59" s="495"/>
      <c r="U59" s="495">
        <v>26.766666666666701</v>
      </c>
      <c r="V59" s="495">
        <v>21</v>
      </c>
      <c r="W59" s="495">
        <v>44.875</v>
      </c>
      <c r="X59" s="495">
        <v>19.653032786885198</v>
      </c>
      <c r="Y59" s="495">
        <v>36.158260869565197</v>
      </c>
      <c r="Z59" s="495">
        <v>43.775068493150698</v>
      </c>
      <c r="AA59" s="495">
        <f>IFERROR(AA57/AA58,"")</f>
        <v>38.850296510102332</v>
      </c>
      <c r="AB59" s="495"/>
      <c r="AC59" s="140"/>
      <c r="AD59" s="495">
        <v>48.798523421588598</v>
      </c>
      <c r="AE59" s="495"/>
      <c r="AF59" s="496">
        <f t="shared" si="11"/>
        <v>-9.948226911486266</v>
      </c>
      <c r="AG59" s="495">
        <v>46.454139033160203</v>
      </c>
      <c r="AH59" s="495"/>
      <c r="AI59" s="496">
        <f t="shared" si="12"/>
        <v>-7.603842523057871</v>
      </c>
    </row>
    <row r="60" spans="1:35" x14ac:dyDescent="0.35">
      <c r="A60" s="11"/>
      <c r="B60" s="11"/>
      <c r="C60" s="11"/>
      <c r="D60" s="11"/>
      <c r="E60" s="11"/>
      <c r="F60" s="11"/>
      <c r="G60" s="490">
        <f>COUNTIF(O61:AI61,FALSE)</f>
        <v>0</v>
      </c>
      <c r="H60" s="88"/>
      <c r="I60" s="122"/>
      <c r="J60" s="122"/>
      <c r="K60" s="90"/>
      <c r="L60" s="90"/>
      <c r="M60" s="90"/>
      <c r="N60" s="491" t="s">
        <v>345</v>
      </c>
      <c r="O60" s="497">
        <f t="shared" ref="O60:AA60" si="13">ROUND(IFERROR(O57/O58,0),2)</f>
        <v>41.05</v>
      </c>
      <c r="P60" s="498">
        <f t="shared" si="13"/>
        <v>42.92</v>
      </c>
      <c r="Q60" s="498">
        <f t="shared" si="13"/>
        <v>38.35</v>
      </c>
      <c r="R60" s="498">
        <f t="shared" si="13"/>
        <v>0</v>
      </c>
      <c r="S60" s="498">
        <f t="shared" si="13"/>
        <v>54.57</v>
      </c>
      <c r="T60" s="498">
        <f t="shared" si="13"/>
        <v>0</v>
      </c>
      <c r="U60" s="498">
        <f t="shared" si="13"/>
        <v>26.77</v>
      </c>
      <c r="V60" s="498">
        <f t="shared" si="13"/>
        <v>21</v>
      </c>
      <c r="W60" s="498">
        <f t="shared" si="13"/>
        <v>44.88</v>
      </c>
      <c r="X60" s="498">
        <f t="shared" si="13"/>
        <v>19.649999999999999</v>
      </c>
      <c r="Y60" s="498">
        <f t="shared" si="13"/>
        <v>36.159999999999997</v>
      </c>
      <c r="Z60" s="498">
        <f t="shared" si="13"/>
        <v>43.78</v>
      </c>
      <c r="AA60" s="498">
        <f t="shared" si="13"/>
        <v>38.85</v>
      </c>
      <c r="AB60" s="499"/>
      <c r="AC60" s="140"/>
      <c r="AD60" s="497">
        <f>ROUND(IFERROR(AD57/AD58,0),2)</f>
        <v>48.8</v>
      </c>
      <c r="AE60" s="498"/>
      <c r="AF60" s="159"/>
      <c r="AG60" s="497">
        <f>ROUND(IFERROR(AG57/AG58,0),2)</f>
        <v>46.45</v>
      </c>
      <c r="AH60" s="498"/>
      <c r="AI60" s="159"/>
    </row>
    <row r="61" spans="1:35" x14ac:dyDescent="0.35">
      <c r="A61" s="11"/>
      <c r="B61" s="11"/>
      <c r="C61" s="11"/>
      <c r="D61" s="11"/>
      <c r="E61" s="11"/>
      <c r="F61" s="11"/>
      <c r="G61" s="11"/>
      <c r="H61" s="185"/>
      <c r="I61" s="122"/>
      <c r="J61" s="122"/>
      <c r="K61" s="90"/>
      <c r="L61" s="90"/>
      <c r="M61" s="90"/>
      <c r="N61" s="53" t="s">
        <v>307</v>
      </c>
      <c r="O61" s="500" t="b">
        <f t="shared" ref="O61:AA61" si="14">ROUND(O59,2)=ROUND(O60,2)</f>
        <v>1</v>
      </c>
      <c r="P61" s="501" t="b">
        <f t="shared" si="14"/>
        <v>1</v>
      </c>
      <c r="Q61" s="501" t="b">
        <f t="shared" si="14"/>
        <v>1</v>
      </c>
      <c r="R61" s="501" t="b">
        <f t="shared" si="14"/>
        <v>1</v>
      </c>
      <c r="S61" s="501" t="b">
        <f t="shared" si="14"/>
        <v>1</v>
      </c>
      <c r="T61" s="501" t="b">
        <f t="shared" si="14"/>
        <v>1</v>
      </c>
      <c r="U61" s="501" t="b">
        <f t="shared" si="14"/>
        <v>1</v>
      </c>
      <c r="V61" s="501" t="b">
        <f t="shared" si="14"/>
        <v>1</v>
      </c>
      <c r="W61" s="501" t="b">
        <f t="shared" si="14"/>
        <v>1</v>
      </c>
      <c r="X61" s="501" t="b">
        <f t="shared" si="14"/>
        <v>1</v>
      </c>
      <c r="Y61" s="501" t="b">
        <f t="shared" si="14"/>
        <v>1</v>
      </c>
      <c r="Z61" s="501" t="b">
        <f t="shared" si="14"/>
        <v>1</v>
      </c>
      <c r="AA61" s="501" t="b">
        <f t="shared" si="14"/>
        <v>1</v>
      </c>
      <c r="AB61" s="502"/>
      <c r="AC61" s="503"/>
      <c r="AD61" s="500"/>
      <c r="AE61" s="501" t="b">
        <f>ROUND(AD59,2)=ROUND(AD60,2)</f>
        <v>1</v>
      </c>
      <c r="AF61" s="502"/>
      <c r="AG61" s="500"/>
      <c r="AH61" s="501" t="b">
        <f>ROUND(AG59,2)=ROUND(AG60,2)</f>
        <v>1</v>
      </c>
      <c r="AI61" s="502"/>
    </row>
    <row r="62" spans="1:35" x14ac:dyDescent="0.35">
      <c r="A62" s="11"/>
      <c r="B62" s="11"/>
      <c r="C62" s="11"/>
      <c r="D62" s="11"/>
      <c r="E62" s="11"/>
      <c r="F62" s="11"/>
      <c r="G62" s="11"/>
      <c r="H62" s="185" t="s">
        <v>263</v>
      </c>
      <c r="I62" s="122" t="str">
        <f>IF(_epmOfflineCondition_,"T5",_xll.EVPRO($B$1,$H62,"STYLE"))</f>
        <v>T5</v>
      </c>
      <c r="J62" s="122" t="str">
        <f>IF(_epmOfflineCondition_,"Y",_xll.EVPRO($B$1,$H62,"CALC"))</f>
        <v>Y</v>
      </c>
      <c r="K62" s="90"/>
      <c r="L62" s="90" t="str">
        <f>IF(_epmOfflineCondition_,"464100",_xll.EVPRO($B$1,H62,"JDEID"))</f>
        <v>464100</v>
      </c>
      <c r="M62" s="90" t="str">
        <f>IF(_epmOfflineCondition_,"",IF(AND(I62="N",J62="N"),_xll.EVPRO($B$1,H62,"PSFTID"),""))</f>
        <v/>
      </c>
      <c r="N62" s="90" t="str">
        <f>IF(_epmOfflineCondition_,"Bar Food",IF(_xll.EVDES(H62,$B$1)="#NODATA","",_xll.EVDES(H62,$B$1)))</f>
        <v>Bar Food</v>
      </c>
      <c r="O62" s="143">
        <v>6418.25</v>
      </c>
      <c r="P62" s="143">
        <v>5832.87</v>
      </c>
      <c r="Q62" s="143">
        <v>4309</v>
      </c>
      <c r="R62" s="143"/>
      <c r="S62" s="143"/>
      <c r="T62" s="143"/>
      <c r="U62" s="143"/>
      <c r="V62" s="143"/>
      <c r="W62" s="143"/>
      <c r="X62" s="143"/>
      <c r="Y62" s="143">
        <v>883.75</v>
      </c>
      <c r="Z62" s="143">
        <v>1070.5</v>
      </c>
      <c r="AA62" s="143">
        <f t="shared" ref="AA62:AA67" si="15">SUM(O62:Z62)</f>
        <v>18514.37</v>
      </c>
      <c r="AB62" s="144">
        <f>IF(AA62=0,"",IFERROR(AA62/AA$19,""))</f>
        <v>3.7638455120495233E-2</v>
      </c>
      <c r="AC62" s="140"/>
      <c r="AD62" s="143">
        <v>105808.763682</v>
      </c>
      <c r="AE62" s="144">
        <f>IF(AD62=0,"",IFERROR(AD62/AD$19,""))</f>
        <v>3.7943502430097968E-2</v>
      </c>
      <c r="AF62" s="145">
        <f t="shared" ref="AF62:AF68" si="16">IF(AND($AA62="",AD62=""),"",$AA62-AD62)</f>
        <v>-87294.393682000009</v>
      </c>
      <c r="AG62" s="143">
        <v>33666.550000000003</v>
      </c>
      <c r="AH62" s="144">
        <f>IF(AG62=0,"",IFERROR(AG62/AG$19,""))</f>
        <v>4.1724560210973663E-2</v>
      </c>
      <c r="AI62" s="145">
        <f t="shared" ref="AI62:AI68" si="17">IF(AND($AA62="",AG62=""),"",$AA62-AG62)</f>
        <v>-15152.180000000004</v>
      </c>
    </row>
    <row r="63" spans="1:35" x14ac:dyDescent="0.35">
      <c r="A63" s="11"/>
      <c r="B63" s="11"/>
      <c r="C63" s="11"/>
      <c r="D63" s="11"/>
      <c r="E63" s="11"/>
      <c r="F63" s="11"/>
      <c r="G63" s="11"/>
      <c r="H63" s="185" t="s">
        <v>308</v>
      </c>
      <c r="I63" s="122" t="str">
        <f>IF(_epmOfflineCondition_,"T6",_xll.EVPRO($B$1,$H63,"STYLE"))</f>
        <v>T6</v>
      </c>
      <c r="J63" s="122" t="str">
        <f>IF(_epmOfflineCondition_,"Y",_xll.EVPRO($B$1,$H63,"CALC"))</f>
        <v>Y</v>
      </c>
      <c r="K63" s="90"/>
      <c r="L63" s="90" t="str">
        <f>IF(_epmOfflineCondition_,"464200",_xll.EVPRO($B$1,H63,"JDEID"))</f>
        <v>464200</v>
      </c>
      <c r="M63" s="90" t="str">
        <f>IF(_epmOfflineCondition_,"",IF(AND(I63="N",J63="N"),_xll.EVPRO($B$1,H63,"PSFTID"),""))</f>
        <v/>
      </c>
      <c r="N63" s="90" t="str">
        <f>IF(_epmOfflineCondition_,"Bar Liquor",IF(_xll.EVDES(H63,$B$1)="#NODATA","",_xll.EVDES(H63,$B$1)))</f>
        <v>Bar Liquor</v>
      </c>
      <c r="O63" s="143">
        <v>18199.400000000001</v>
      </c>
      <c r="P63" s="143">
        <v>20006.2</v>
      </c>
      <c r="Q63" s="143">
        <v>7560.2</v>
      </c>
      <c r="R63" s="143"/>
      <c r="S63" s="143"/>
      <c r="T63" s="143"/>
      <c r="U63" s="143"/>
      <c r="V63" s="143"/>
      <c r="W63" s="143"/>
      <c r="X63" s="143"/>
      <c r="Y63" s="143">
        <v>1314.04</v>
      </c>
      <c r="Z63" s="143">
        <v>3183.2</v>
      </c>
      <c r="AA63" s="143">
        <f t="shared" si="15"/>
        <v>50263.040000000001</v>
      </c>
      <c r="AB63" s="144">
        <f>IF(AA63=0,"",IFERROR(AA63/AA$19,""))</f>
        <v>0.10218134212828504</v>
      </c>
      <c r="AC63" s="140"/>
      <c r="AD63" s="143">
        <v>208994.044857</v>
      </c>
      <c r="AE63" s="144">
        <f>IF(AD63=0,"",IFERROR(AD63/AD$19,""))</f>
        <v>7.4946212137403656E-2</v>
      </c>
      <c r="AF63" s="145">
        <f t="shared" si="16"/>
        <v>-158731.00485699999</v>
      </c>
      <c r="AG63" s="143">
        <v>153272.54</v>
      </c>
      <c r="AH63" s="144">
        <f>IF(AG63=0,"",IFERROR(AG63/AG$19,""))</f>
        <v>0.18995796492123099</v>
      </c>
      <c r="AI63" s="145">
        <f t="shared" si="17"/>
        <v>-103009.5</v>
      </c>
    </row>
    <row r="64" spans="1:35" x14ac:dyDescent="0.35">
      <c r="A64" s="11"/>
      <c r="B64" s="11"/>
      <c r="C64" s="11"/>
      <c r="D64" s="11"/>
      <c r="E64" s="11"/>
      <c r="F64" s="11"/>
      <c r="G64" s="11"/>
      <c r="H64" s="185" t="s">
        <v>310</v>
      </c>
      <c r="I64" s="122" t="str">
        <f>IF(_epmOfflineCondition_,"T6",_xll.EVPRO($B$1,$H64,"STYLE"))</f>
        <v>T6</v>
      </c>
      <c r="J64" s="122" t="str">
        <f>IF(_epmOfflineCondition_,"Y",_xll.EVPRO($B$1,$H64,"CALC"))</f>
        <v>Y</v>
      </c>
      <c r="K64" s="90"/>
      <c r="L64" s="90" t="str">
        <f>IF(_epmOfflineCondition_,"464300",_xll.EVPRO($B$1,H64,"JDEID"))</f>
        <v>464300</v>
      </c>
      <c r="M64" s="90" t="str">
        <f>IF(_epmOfflineCondition_,"",IF(AND(I64="N",J64="N"),_xll.EVPRO($B$1,H64,"PSFTID"),""))</f>
        <v/>
      </c>
      <c r="N64" s="90" t="str">
        <f>IF(_epmOfflineCondition_,"Bar Beer",IF(_xll.EVDES(H64,$B$1)="#NODATA","",_xll.EVDES(H64,$B$1)))</f>
        <v>Bar Beer</v>
      </c>
      <c r="O64" s="143">
        <v>3630.51</v>
      </c>
      <c r="P64" s="143">
        <v>2708.8</v>
      </c>
      <c r="Q64" s="143">
        <v>1005.2</v>
      </c>
      <c r="R64" s="143"/>
      <c r="S64" s="143"/>
      <c r="T64" s="143"/>
      <c r="U64" s="143"/>
      <c r="V64" s="143"/>
      <c r="W64" s="143"/>
      <c r="X64" s="143"/>
      <c r="Y64" s="143">
        <v>174</v>
      </c>
      <c r="Z64" s="143">
        <v>374</v>
      </c>
      <c r="AA64" s="143">
        <f t="shared" si="15"/>
        <v>7892.51</v>
      </c>
      <c r="AB64" s="144">
        <f>IF(AA64=0,"",IFERROR(AA64/AA$19,""))</f>
        <v>1.6044936091428433E-2</v>
      </c>
      <c r="AC64" s="140"/>
      <c r="AD64" s="143">
        <v>48068.261982999997</v>
      </c>
      <c r="AE64" s="144">
        <f>IF(AD64=0,"",IFERROR(AD64/AD$19,""))</f>
        <v>1.7237496705320838E-2</v>
      </c>
      <c r="AF64" s="145">
        <f t="shared" si="16"/>
        <v>-40175.751982999995</v>
      </c>
      <c r="AG64" s="143">
        <v>28036.880000000001</v>
      </c>
      <c r="AH64" s="144">
        <f>IF(AG64=0,"",IFERROR(AG64/AG$19,""))</f>
        <v>3.4747441828397715E-2</v>
      </c>
      <c r="AI64" s="145">
        <f t="shared" si="17"/>
        <v>-20144.370000000003</v>
      </c>
    </row>
    <row r="65" spans="1:35" x14ac:dyDescent="0.35">
      <c r="A65" s="11"/>
      <c r="B65" s="11"/>
      <c r="C65" s="11"/>
      <c r="D65" s="11"/>
      <c r="E65" s="11"/>
      <c r="F65" s="11"/>
      <c r="G65" s="11"/>
      <c r="H65" s="185" t="s">
        <v>309</v>
      </c>
      <c r="I65" s="122" t="str">
        <f>IF(_epmOfflineCondition_,"T6",_xll.EVPRO($B$1,$H65,"STYLE"))</f>
        <v>T6</v>
      </c>
      <c r="J65" s="122" t="str">
        <f>IF(_epmOfflineCondition_,"Y",_xll.EVPRO($B$1,$H65,"CALC"))</f>
        <v>Y</v>
      </c>
      <c r="K65" s="90"/>
      <c r="L65" s="90" t="str">
        <f>IF(_epmOfflineCondition_,"464400",_xll.EVPRO($B$1,H65,"JDEID"))</f>
        <v>464400</v>
      </c>
      <c r="M65" s="90" t="str">
        <f>IF(_epmOfflineCondition_,"",IF(AND(I65="N",J65="N"),_xll.EVPRO($B$1,H65,"PSFTID"),""))</f>
        <v/>
      </c>
      <c r="N65" s="90" t="str">
        <f>IF(_epmOfflineCondition_,"Bar Wine",IF(_xll.EVDES(H65,$B$1)="#NODATA","",_xll.EVDES(H65,$B$1)))</f>
        <v>Bar Wine</v>
      </c>
      <c r="O65" s="217">
        <v>6431.59</v>
      </c>
      <c r="P65" s="217">
        <v>5575.4</v>
      </c>
      <c r="Q65" s="217">
        <v>3006.2</v>
      </c>
      <c r="R65" s="217"/>
      <c r="S65" s="217"/>
      <c r="T65" s="217"/>
      <c r="U65" s="217"/>
      <c r="V65" s="217"/>
      <c r="W65" s="217"/>
      <c r="X65" s="217"/>
      <c r="Y65" s="217">
        <v>118</v>
      </c>
      <c r="Z65" s="217">
        <v>983.5</v>
      </c>
      <c r="AA65" s="217">
        <f t="shared" si="15"/>
        <v>16114.689999999999</v>
      </c>
      <c r="AB65" s="219">
        <f>IF(AA65=0,"",IFERROR(AA65/AA$19,""))</f>
        <v>3.2760068873296432E-2</v>
      </c>
      <c r="AC65" s="140"/>
      <c r="AD65" s="217">
        <v>89777.399478000007</v>
      </c>
      <c r="AE65" s="219">
        <f>IF(AD65=0,"",IFERROR(AD65/AD$19,""))</f>
        <v>3.2194582534762872E-2</v>
      </c>
      <c r="AF65" s="220">
        <f t="shared" si="16"/>
        <v>-73662.709478000004</v>
      </c>
      <c r="AG65" s="217">
        <v>45506.96</v>
      </c>
      <c r="AH65" s="219">
        <f>IF(AG65=0,"",IFERROR(AG65/AG$19,""))</f>
        <v>5.6398944725205576E-2</v>
      </c>
      <c r="AI65" s="220">
        <f t="shared" si="17"/>
        <v>-29392.27</v>
      </c>
    </row>
    <row r="66" spans="1:35" x14ac:dyDescent="0.35">
      <c r="A66" s="11"/>
      <c r="B66" s="11"/>
      <c r="C66" s="11"/>
      <c r="D66" s="11"/>
      <c r="E66" s="11"/>
      <c r="F66" s="11"/>
      <c r="G66" s="11"/>
      <c r="H66" s="185" t="s">
        <v>327</v>
      </c>
      <c r="I66" s="122" t="str">
        <f>IF(_epmOfflineCondition_,"N",_xll.EVPRO($B$1,$H66,"STYLE"))</f>
        <v>N</v>
      </c>
      <c r="J66" s="122" t="str">
        <f>IF(_epmOfflineCondition_,"Y",_xll.EVPRO($B$1,$H66,"CALC"))</f>
        <v>Y</v>
      </c>
      <c r="K66" s="90"/>
      <c r="L66" s="90" t="str">
        <f>IF(_epmOfflineCondition_,"",_xll.EVPRO($B$1,H66,"JDEID"))</f>
        <v/>
      </c>
      <c r="M66" s="90" t="str">
        <f>IF(_epmOfflineCondition_,"",IF(AND(I66="N",J66="N"),_xll.EVPRO($B$1,H66,"PSFTID"),""))</f>
        <v/>
      </c>
      <c r="N66" s="106" t="str">
        <f>IF(_epmOfflineCondition_,"Bar Revenue",IF(_xll.EVDES(H66,$B$1)="#NODATA","",_xll.EVDES(H66,$B$1)))</f>
        <v>Bar Revenue</v>
      </c>
      <c r="O66" s="166">
        <v>34679.75</v>
      </c>
      <c r="P66" s="166">
        <v>34123.269999999997</v>
      </c>
      <c r="Q66" s="166">
        <v>15880.6</v>
      </c>
      <c r="R66" s="166"/>
      <c r="S66" s="166"/>
      <c r="T66" s="166"/>
      <c r="U66" s="166"/>
      <c r="V66" s="166"/>
      <c r="W66" s="166"/>
      <c r="X66" s="166"/>
      <c r="Y66" s="166">
        <v>2489.79</v>
      </c>
      <c r="Z66" s="166">
        <v>5611.2</v>
      </c>
      <c r="AA66" s="166">
        <f t="shared" si="15"/>
        <v>92784.609999999986</v>
      </c>
      <c r="AB66" s="167">
        <f>IF(AA66=0,"",IFERROR(AA66/AA$19,""))</f>
        <v>0.18862480221350511</v>
      </c>
      <c r="AC66" s="140"/>
      <c r="AD66" s="166">
        <v>452648.47</v>
      </c>
      <c r="AE66" s="167">
        <f>IF(AD66=0,"",IFERROR(AD66/AD$19,""))</f>
        <v>0.16232179380758532</v>
      </c>
      <c r="AF66" s="168">
        <f t="shared" si="16"/>
        <v>-359863.86</v>
      </c>
      <c r="AG66" s="166">
        <v>260482.93</v>
      </c>
      <c r="AH66" s="167">
        <f>IF(AG66=0,"",IFERROR(AG66/AG$19,""))</f>
        <v>0.32282891168580791</v>
      </c>
      <c r="AI66" s="168">
        <f t="shared" si="17"/>
        <v>-167698.32</v>
      </c>
    </row>
    <row r="67" spans="1:35" x14ac:dyDescent="0.35">
      <c r="A67" s="11"/>
      <c r="B67" s="11"/>
      <c r="C67" s="11"/>
      <c r="D67" s="11"/>
      <c r="E67" s="11"/>
      <c r="F67" s="11"/>
      <c r="G67" s="11"/>
      <c r="H67" s="185" t="s">
        <v>326</v>
      </c>
      <c r="I67" s="122" t="str">
        <f>IF(_epmOfflineCondition_,"N",_xll.EVPRO($B$1,$H67,"STYLE"))</f>
        <v>N</v>
      </c>
      <c r="J67" s="122" t="str">
        <f>IF(_epmOfflineCondition_,"N",_xll.EVPRO($B$1,$H67,"CALC"))</f>
        <v>N</v>
      </c>
      <c r="K67" s="90"/>
      <c r="L67" s="90" t="str">
        <f>IF(_epmOfflineCondition_,"946500",_xll.EVPRO($B$1,H67,"JDEID"))</f>
        <v>946500</v>
      </c>
      <c r="M67" s="90" t="str">
        <f>IF(_epmOfflineCondition_,"991522",IF(AND(I67="N",J67="N"),_xll.EVPRO($B$1,H67,"PSFTID"),""))</f>
        <v>991522</v>
      </c>
      <c r="N67" s="90" t="str">
        <f>IF(_epmOfflineCondition_,"Bar Customers",IF(_xll.EVDES(H67,$B$1)="#NODATA","",_xll.EVDES(H67,$B$1)))</f>
        <v>Bar Customers</v>
      </c>
      <c r="O67" s="210">
        <v>1474</v>
      </c>
      <c r="P67" s="210">
        <v>1747</v>
      </c>
      <c r="Q67" s="210">
        <v>799</v>
      </c>
      <c r="R67" s="210"/>
      <c r="S67" s="210"/>
      <c r="T67" s="210"/>
      <c r="U67" s="210">
        <v>8</v>
      </c>
      <c r="V67" s="210"/>
      <c r="W67" s="210"/>
      <c r="X67" s="210"/>
      <c r="Y67" s="210">
        <v>169</v>
      </c>
      <c r="Z67" s="210">
        <v>321</v>
      </c>
      <c r="AA67" s="210">
        <f t="shared" si="15"/>
        <v>4518</v>
      </c>
      <c r="AB67" s="211">
        <f>IF(AA67=0,"",IFERROR(AA67/AA$104,""))</f>
        <v>0.26279664960446719</v>
      </c>
      <c r="AC67" s="140"/>
      <c r="AD67" s="210">
        <v>18653</v>
      </c>
      <c r="AE67" s="211">
        <f>IF(AD67=0,"",IFERROR(AD67/AD$104,""))</f>
        <v>0.23860264019647973</v>
      </c>
      <c r="AF67" s="253">
        <f t="shared" si="16"/>
        <v>-14135</v>
      </c>
      <c r="AG67" s="210">
        <v>15023</v>
      </c>
      <c r="AH67" s="211">
        <f>IF(AG67=0,"",IFERROR(AG67/AG$104,""))</f>
        <v>0.43887119862113289</v>
      </c>
      <c r="AI67" s="253">
        <f t="shared" si="17"/>
        <v>-10505</v>
      </c>
    </row>
    <row r="68" spans="1:35" x14ac:dyDescent="0.35">
      <c r="A68" s="11"/>
      <c r="B68" s="11"/>
      <c r="C68" s="11"/>
      <c r="D68" s="11"/>
      <c r="E68" s="11"/>
      <c r="F68" s="11"/>
      <c r="G68" s="11"/>
      <c r="H68" s="185" t="s">
        <v>328</v>
      </c>
      <c r="I68" s="122" t="str">
        <f>IF(_epmOfflineCondition_,"N",_xll.EVPRO($B$1,$H68,"STYLE"))</f>
        <v>N</v>
      </c>
      <c r="J68" s="122" t="str">
        <f>IF(_epmOfflineCondition_,"Y",_xll.EVPRO($B$1,$H68,"CALC"))</f>
        <v>Y</v>
      </c>
      <c r="K68" s="90"/>
      <c r="L68" s="90" t="str">
        <f>IF(_epmOfflineCondition_,"",_xll.EVPRO($B$1,H68,"JDEID"))</f>
        <v/>
      </c>
      <c r="M68" s="90" t="str">
        <f>IF(_epmOfflineCondition_,"",IF(AND(I68="N",J68="N"),_xll.EVPRO($B$1,H68,"PSFTID"),""))</f>
        <v/>
      </c>
      <c r="N68" s="190" t="str">
        <f>IF(_epmOfflineCondition_,"Bar- Average Check",IF(_xll.EVDES(H68,$B$1)="#NODATA","",_xll.EVDES(H68,$B$1)))</f>
        <v>Bar- Average Check</v>
      </c>
      <c r="O68" s="495">
        <v>23.527645861601101</v>
      </c>
      <c r="P68" s="495">
        <v>19.532495706926198</v>
      </c>
      <c r="Q68" s="495">
        <v>19.875594493116399</v>
      </c>
      <c r="R68" s="495"/>
      <c r="S68" s="495"/>
      <c r="T68" s="495"/>
      <c r="U68" s="495"/>
      <c r="V68" s="495"/>
      <c r="W68" s="495"/>
      <c r="X68" s="495"/>
      <c r="Y68" s="495">
        <v>14.7324852071006</v>
      </c>
      <c r="Z68" s="495">
        <v>17.480373831775701</v>
      </c>
      <c r="AA68" s="495">
        <f>IFERROR(AA66/AA67,"")</f>
        <v>20.536655599822929</v>
      </c>
      <c r="AB68" s="495"/>
      <c r="AC68" s="140"/>
      <c r="AD68" s="495">
        <v>24.266791936953801</v>
      </c>
      <c r="AE68" s="495"/>
      <c r="AF68" s="496">
        <f t="shared" si="16"/>
        <v>-3.7301363371308724</v>
      </c>
      <c r="AG68" s="495">
        <v>17.338942288491001</v>
      </c>
      <c r="AH68" s="495"/>
      <c r="AI68" s="496">
        <f t="shared" si="17"/>
        <v>3.1977133113319276</v>
      </c>
    </row>
    <row r="69" spans="1:35" x14ac:dyDescent="0.35">
      <c r="A69" s="11"/>
      <c r="B69" s="11"/>
      <c r="C69" s="11"/>
      <c r="D69" s="11"/>
      <c r="E69" s="11"/>
      <c r="F69" s="11"/>
      <c r="G69" s="490">
        <f>COUNTIF(O70:AI70,FALSE)</f>
        <v>0</v>
      </c>
      <c r="H69" s="88"/>
      <c r="I69" s="122"/>
      <c r="J69" s="122"/>
      <c r="K69" s="90"/>
      <c r="L69" s="90"/>
      <c r="M69" s="90"/>
      <c r="N69" s="491" t="s">
        <v>345</v>
      </c>
      <c r="O69" s="497">
        <f t="shared" ref="O69:AA69" si="18">ROUND(IFERROR(O66/O67,0),2)</f>
        <v>23.53</v>
      </c>
      <c r="P69" s="498">
        <f t="shared" si="18"/>
        <v>19.53</v>
      </c>
      <c r="Q69" s="498">
        <f t="shared" si="18"/>
        <v>19.88</v>
      </c>
      <c r="R69" s="498">
        <f t="shared" si="18"/>
        <v>0</v>
      </c>
      <c r="S69" s="498">
        <f t="shared" si="18"/>
        <v>0</v>
      </c>
      <c r="T69" s="498">
        <f t="shared" si="18"/>
        <v>0</v>
      </c>
      <c r="U69" s="498">
        <f t="shared" si="18"/>
        <v>0</v>
      </c>
      <c r="V69" s="498">
        <f t="shared" si="18"/>
        <v>0</v>
      </c>
      <c r="W69" s="498">
        <f t="shared" si="18"/>
        <v>0</v>
      </c>
      <c r="X69" s="498">
        <f t="shared" si="18"/>
        <v>0</v>
      </c>
      <c r="Y69" s="498">
        <f t="shared" si="18"/>
        <v>14.73</v>
      </c>
      <c r="Z69" s="498">
        <f t="shared" si="18"/>
        <v>17.48</v>
      </c>
      <c r="AA69" s="498">
        <f t="shared" si="18"/>
        <v>20.54</v>
      </c>
      <c r="AB69" s="499"/>
      <c r="AC69" s="140"/>
      <c r="AD69" s="497">
        <f>ROUND(IFERROR(AD66/AD67,0),2)</f>
        <v>24.27</v>
      </c>
      <c r="AE69" s="498"/>
      <c r="AF69" s="159"/>
      <c r="AG69" s="497">
        <f>ROUND(IFERROR(AG66/AG67,0),2)</f>
        <v>17.34</v>
      </c>
      <c r="AH69" s="498"/>
      <c r="AI69" s="159"/>
    </row>
    <row r="70" spans="1:35" x14ac:dyDescent="0.35">
      <c r="A70" s="11"/>
      <c r="B70" s="11"/>
      <c r="C70" s="11"/>
      <c r="D70" s="11"/>
      <c r="E70" s="11"/>
      <c r="F70" s="11"/>
      <c r="G70" s="11"/>
      <c r="H70" s="185"/>
      <c r="I70" s="122"/>
      <c r="J70" s="122"/>
      <c r="K70" s="90"/>
      <c r="L70" s="90"/>
      <c r="M70" s="90"/>
      <c r="N70" s="53" t="s">
        <v>324</v>
      </c>
      <c r="O70" s="500" t="b">
        <f t="shared" ref="O70:AA70" si="19">ROUND(O68,2)=ROUND(O69,2)</f>
        <v>1</v>
      </c>
      <c r="P70" s="501" t="b">
        <f t="shared" si="19"/>
        <v>1</v>
      </c>
      <c r="Q70" s="501" t="b">
        <f t="shared" si="19"/>
        <v>1</v>
      </c>
      <c r="R70" s="501" t="b">
        <f t="shared" si="19"/>
        <v>1</v>
      </c>
      <c r="S70" s="501" t="b">
        <f t="shared" si="19"/>
        <v>1</v>
      </c>
      <c r="T70" s="501" t="b">
        <f t="shared" si="19"/>
        <v>1</v>
      </c>
      <c r="U70" s="501" t="b">
        <f t="shared" si="19"/>
        <v>1</v>
      </c>
      <c r="V70" s="501" t="b">
        <f t="shared" si="19"/>
        <v>1</v>
      </c>
      <c r="W70" s="501" t="b">
        <f t="shared" si="19"/>
        <v>1</v>
      </c>
      <c r="X70" s="501" t="b">
        <f t="shared" si="19"/>
        <v>1</v>
      </c>
      <c r="Y70" s="501" t="b">
        <f t="shared" si="19"/>
        <v>1</v>
      </c>
      <c r="Z70" s="501" t="b">
        <f t="shared" si="19"/>
        <v>1</v>
      </c>
      <c r="AA70" s="501" t="b">
        <f t="shared" si="19"/>
        <v>1</v>
      </c>
      <c r="AB70" s="502"/>
      <c r="AC70" s="503"/>
      <c r="AD70" s="500"/>
      <c r="AE70" s="501" t="b">
        <f>ROUND(AD68,2)=ROUND(AD69,2)</f>
        <v>1</v>
      </c>
      <c r="AF70" s="502"/>
      <c r="AG70" s="500"/>
      <c r="AH70" s="501" t="b">
        <f>ROUND(AG68,2)=ROUND(AG69,2)</f>
        <v>1</v>
      </c>
      <c r="AI70" s="502"/>
    </row>
    <row r="71" spans="1:35" x14ac:dyDescent="0.35">
      <c r="A71" s="11"/>
      <c r="B71" s="11"/>
      <c r="C71" s="11"/>
      <c r="D71" s="11"/>
      <c r="E71" s="11"/>
      <c r="F71" s="11"/>
      <c r="G71" s="11"/>
      <c r="H71" s="185" t="s">
        <v>264</v>
      </c>
      <c r="I71" s="122" t="str">
        <f>IF(_epmOfflineCondition_,"T5",_xll.EVPRO($B$1,$H71,"STYLE"))</f>
        <v>T5</v>
      </c>
      <c r="J71" s="122" t="str">
        <f>IF(_epmOfflineCondition_,"Y",_xll.EVPRO($B$1,$H71,"CALC"))</f>
        <v>Y</v>
      </c>
      <c r="K71" s="90"/>
      <c r="L71" s="90" t="str">
        <f>IF(_epmOfflineCondition_,"465100",_xll.EVPRO($B$1,H71,"JDEID"))</f>
        <v>465100</v>
      </c>
      <c r="M71" s="90" t="str">
        <f>IF(_epmOfflineCondition_,"",IF(AND(I71="N",J71="N"),_xll.EVPRO($B$1,H71,"PSFTID"),""))</f>
        <v/>
      </c>
      <c r="N71" s="90" t="str">
        <f>IF(_epmOfflineCondition_,"Private Dining Food",IF(_xll.EVDES(H71,$B$1)="#NODATA","",_xll.EVDES(H71,$B$1)))</f>
        <v>Private Dining Food</v>
      </c>
      <c r="O71" s="143"/>
      <c r="P71" s="143">
        <v>4050</v>
      </c>
      <c r="Q71" s="143"/>
      <c r="R71" s="143"/>
      <c r="S71" s="143"/>
      <c r="T71" s="143"/>
      <c r="U71" s="143"/>
      <c r="V71" s="143"/>
      <c r="W71" s="143"/>
      <c r="X71" s="143"/>
      <c r="Y71" s="143"/>
      <c r="Z71" s="143"/>
      <c r="AA71" s="143">
        <f t="shared" ref="AA71:AA76" si="20">SUM(O71:Z71)</f>
        <v>4050</v>
      </c>
      <c r="AB71" s="144">
        <f>IF(AA71=0,"",IFERROR(AA71/AA$19,""))</f>
        <v>8.2333745754246939E-3</v>
      </c>
      <c r="AC71" s="140"/>
      <c r="AD71" s="143">
        <v>19020.499640000002</v>
      </c>
      <c r="AE71" s="144">
        <f>IF(AD71=0,"",IFERROR(AD71/AD$19,""))</f>
        <v>6.8208374164643289E-3</v>
      </c>
      <c r="AF71" s="145">
        <f t="shared" ref="AF71:AF77" si="21">IF(AND($AA71="",AD71=""),"",$AA71-AD71)</f>
        <v>-14970.499640000002</v>
      </c>
      <c r="AG71" s="143">
        <v>104</v>
      </c>
      <c r="AH71" s="144">
        <f>IF(AG71=0,"",IFERROR(AG71/AG$19,""))</f>
        <v>1.2889215740672153E-4</v>
      </c>
      <c r="AI71" s="145">
        <f t="shared" ref="AI71:AI77" si="22">IF(AND($AA71="",AG71=""),"",$AA71-AG71)</f>
        <v>3946</v>
      </c>
    </row>
    <row r="72" spans="1:35" x14ac:dyDescent="0.35">
      <c r="A72" s="11"/>
      <c r="B72" s="11"/>
      <c r="C72" s="11"/>
      <c r="D72" s="11"/>
      <c r="E72" s="11"/>
      <c r="F72" s="11"/>
      <c r="G72" s="11"/>
      <c r="H72" s="185" t="s">
        <v>321</v>
      </c>
      <c r="I72" s="122" t="str">
        <f>IF(_epmOfflineCondition_,"T6",_xll.EVPRO($B$1,$H72,"STYLE"))</f>
        <v>T6</v>
      </c>
      <c r="J72" s="122" t="str">
        <f>IF(_epmOfflineCondition_,"Y",_xll.EVPRO($B$1,$H72,"CALC"))</f>
        <v>Y</v>
      </c>
      <c r="K72" s="90"/>
      <c r="L72" s="90" t="str">
        <f>IF(_epmOfflineCondition_,"465200",_xll.EVPRO($B$1,H72,"JDEID"))</f>
        <v>465200</v>
      </c>
      <c r="M72" s="90" t="str">
        <f>IF(_epmOfflineCondition_,"",IF(AND(I72="N",J72="N"),_xll.EVPRO($B$1,H72,"PSFTID"),""))</f>
        <v/>
      </c>
      <c r="N72" s="90" t="str">
        <f>IF(_epmOfflineCondition_,"Private Dining Liquor",IF(_xll.EVDES(H72,$B$1)="#NODATA","",_xll.EVDES(H72,$B$1)))</f>
        <v>Private Dining Liquor</v>
      </c>
      <c r="O72" s="143"/>
      <c r="P72" s="143">
        <v>2214</v>
      </c>
      <c r="Q72" s="143"/>
      <c r="R72" s="143"/>
      <c r="S72" s="143"/>
      <c r="T72" s="143"/>
      <c r="U72" s="143"/>
      <c r="V72" s="143"/>
      <c r="W72" s="143"/>
      <c r="X72" s="143"/>
      <c r="Y72" s="143"/>
      <c r="Z72" s="143"/>
      <c r="AA72" s="143">
        <f t="shared" si="20"/>
        <v>2214</v>
      </c>
      <c r="AB72" s="144">
        <f>IF(AA72=0,"",IFERROR(AA72/AA$19,""))</f>
        <v>4.5009114345654997E-3</v>
      </c>
      <c r="AC72" s="140"/>
      <c r="AD72" s="143">
        <v>3569.36652</v>
      </c>
      <c r="AE72" s="144">
        <f>IF(AD72=0,"",IFERROR(AD72/AD$19,""))</f>
        <v>1.279991018821158E-3</v>
      </c>
      <c r="AF72" s="145">
        <f t="shared" si="21"/>
        <v>-1355.36652</v>
      </c>
      <c r="AG72" s="143">
        <v>140</v>
      </c>
      <c r="AH72" s="144">
        <f>IF(AG72=0,"",IFERROR(AG72/AG$19,""))</f>
        <v>1.7350867343212512E-4</v>
      </c>
      <c r="AI72" s="145">
        <f t="shared" si="22"/>
        <v>2074</v>
      </c>
    </row>
    <row r="73" spans="1:35" x14ac:dyDescent="0.35">
      <c r="A73" s="11"/>
      <c r="B73" s="11"/>
      <c r="C73" s="11"/>
      <c r="D73" s="11"/>
      <c r="E73" s="11"/>
      <c r="F73" s="11"/>
      <c r="G73" s="11"/>
      <c r="H73" s="185" t="s">
        <v>323</v>
      </c>
      <c r="I73" s="122" t="str">
        <f>IF(_epmOfflineCondition_,"T6",_xll.EVPRO($B$1,$H73,"STYLE"))</f>
        <v>T6</v>
      </c>
      <c r="J73" s="122" t="str">
        <f>IF(_epmOfflineCondition_,"Y",_xll.EVPRO($B$1,$H73,"CALC"))</f>
        <v>Y</v>
      </c>
      <c r="K73" s="90"/>
      <c r="L73" s="90" t="str">
        <f>IF(_epmOfflineCondition_,"465300",_xll.EVPRO($B$1,H73,"JDEID"))</f>
        <v>465300</v>
      </c>
      <c r="M73" s="90" t="str">
        <f>IF(_epmOfflineCondition_,"",IF(AND(I73="N",J73="N"),_xll.EVPRO($B$1,H73,"PSFTID"),""))</f>
        <v/>
      </c>
      <c r="N73" s="90" t="str">
        <f>IF(_epmOfflineCondition_,"Private Dining Beer",IF(_xll.EVDES(H73,$B$1)="#NODATA","",_xll.EVDES(H73,$B$1)))</f>
        <v>Private Dining Beer</v>
      </c>
      <c r="O73" s="143"/>
      <c r="P73" s="143">
        <v>748</v>
      </c>
      <c r="Q73" s="143"/>
      <c r="R73" s="143"/>
      <c r="S73" s="143"/>
      <c r="T73" s="143"/>
      <c r="U73" s="143"/>
      <c r="V73" s="143"/>
      <c r="W73" s="143"/>
      <c r="X73" s="143"/>
      <c r="Y73" s="143"/>
      <c r="Z73" s="143"/>
      <c r="AA73" s="143">
        <f t="shared" si="20"/>
        <v>748</v>
      </c>
      <c r="AB73" s="144">
        <f>IF(AA73=0,"",IFERROR(AA73/AA$19,""))</f>
        <v>1.5206331314611533E-3</v>
      </c>
      <c r="AC73" s="140"/>
      <c r="AD73" s="143">
        <v>2108.73144</v>
      </c>
      <c r="AE73" s="144">
        <f>IF(AD73=0,"",IFERROR(AD73/AD$19,""))</f>
        <v>7.5620065610572482E-4</v>
      </c>
      <c r="AF73" s="145">
        <f t="shared" si="21"/>
        <v>-1360.73144</v>
      </c>
      <c r="AG73" s="143"/>
      <c r="AH73" s="144" t="str">
        <f>IF(AG73=0,"",IFERROR(AG73/AG$19,""))</f>
        <v/>
      </c>
      <c r="AI73" s="145">
        <f t="shared" si="22"/>
        <v>748</v>
      </c>
    </row>
    <row r="74" spans="1:35" x14ac:dyDescent="0.35">
      <c r="A74" s="11"/>
      <c r="B74" s="11"/>
      <c r="C74" s="11"/>
      <c r="D74" s="11"/>
      <c r="E74" s="11"/>
      <c r="F74" s="11"/>
      <c r="G74" s="11"/>
      <c r="H74" s="185" t="s">
        <v>322</v>
      </c>
      <c r="I74" s="122" t="str">
        <f>IF(_epmOfflineCondition_,"T6",_xll.EVPRO($B$1,$H74,"STYLE"))</f>
        <v>T6</v>
      </c>
      <c r="J74" s="122" t="str">
        <f>IF(_epmOfflineCondition_,"Y",_xll.EVPRO($B$1,$H74,"CALC"))</f>
        <v>Y</v>
      </c>
      <c r="K74" s="90"/>
      <c r="L74" s="90" t="str">
        <f>IF(_epmOfflineCondition_,"465400",_xll.EVPRO($B$1,H74,"JDEID"))</f>
        <v>465400</v>
      </c>
      <c r="M74" s="90" t="str">
        <f>IF(_epmOfflineCondition_,"",IF(AND(I74="N",J74="N"),_xll.EVPRO($B$1,H74,"PSFTID"),""))</f>
        <v/>
      </c>
      <c r="N74" s="90" t="str">
        <f>IF(_epmOfflineCondition_,"Private Dining Wine",IF(_xll.EVDES(H74,$B$1)="#NODATA","",_xll.EVDES(H74,$B$1)))</f>
        <v>Private Dining Wine</v>
      </c>
      <c r="O74" s="217"/>
      <c r="P74" s="217">
        <v>40</v>
      </c>
      <c r="Q74" s="217"/>
      <c r="R74" s="217"/>
      <c r="S74" s="217"/>
      <c r="T74" s="217"/>
      <c r="U74" s="217"/>
      <c r="V74" s="217"/>
      <c r="W74" s="217"/>
      <c r="X74" s="217"/>
      <c r="Y74" s="217"/>
      <c r="Z74" s="217"/>
      <c r="AA74" s="217">
        <f t="shared" si="20"/>
        <v>40</v>
      </c>
      <c r="AB74" s="219">
        <f>IF(AA74=0,"",IFERROR(AA74/AA$19,""))</f>
        <v>8.1317279757280934E-5</v>
      </c>
      <c r="AC74" s="140"/>
      <c r="AD74" s="217">
        <v>7545.0024000000003</v>
      </c>
      <c r="AE74" s="219">
        <f>IF(AD74=0,"",IFERROR(AD74/AD$19,""))</f>
        <v>2.705672072304887E-3</v>
      </c>
      <c r="AF74" s="220">
        <f t="shared" si="21"/>
        <v>-7505.0024000000003</v>
      </c>
      <c r="AG74" s="217"/>
      <c r="AH74" s="219" t="str">
        <f>IF(AG74=0,"",IFERROR(AG74/AG$19,""))</f>
        <v/>
      </c>
      <c r="AI74" s="220">
        <f t="shared" si="22"/>
        <v>40</v>
      </c>
    </row>
    <row r="75" spans="1:35" x14ac:dyDescent="0.35">
      <c r="A75" s="11"/>
      <c r="B75" s="11"/>
      <c r="C75" s="11"/>
      <c r="D75" s="11"/>
      <c r="E75" s="11"/>
      <c r="F75" s="11"/>
      <c r="G75" s="11"/>
      <c r="H75" s="185" t="s">
        <v>329</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IF(_epmOfflineCondition_,"Private Dining Revenue",IF(_xll.EVDES(H75,$B$1)="#NODATA","",_xll.EVDES(H75,$B$1)))</f>
        <v>Private Dining Revenue</v>
      </c>
      <c r="O75" s="166"/>
      <c r="P75" s="166">
        <v>7052</v>
      </c>
      <c r="Q75" s="166"/>
      <c r="R75" s="166"/>
      <c r="S75" s="166"/>
      <c r="T75" s="166"/>
      <c r="U75" s="166"/>
      <c r="V75" s="166"/>
      <c r="W75" s="166"/>
      <c r="X75" s="166"/>
      <c r="Y75" s="166"/>
      <c r="Z75" s="166"/>
      <c r="AA75" s="166">
        <f t="shared" si="20"/>
        <v>7052</v>
      </c>
      <c r="AB75" s="167">
        <f>IF(AA75=0,"",IFERROR(AA75/AA$19,""))</f>
        <v>1.4336236421208627E-2</v>
      </c>
      <c r="AC75" s="140"/>
      <c r="AD75" s="166">
        <v>32243.599999999999</v>
      </c>
      <c r="AE75" s="167">
        <f>IF(AD75=0,"",IFERROR(AD75/AD$19,""))</f>
        <v>1.1562701163696098E-2</v>
      </c>
      <c r="AF75" s="168">
        <f t="shared" si="21"/>
        <v>-25191.599999999999</v>
      </c>
      <c r="AG75" s="166">
        <v>244</v>
      </c>
      <c r="AH75" s="167">
        <f>IF(AG75=0,"",IFERROR(AG75/AG$19,""))</f>
        <v>3.0240083083884665E-4</v>
      </c>
      <c r="AI75" s="168">
        <f t="shared" si="22"/>
        <v>6808</v>
      </c>
    </row>
    <row r="76" spans="1:35" x14ac:dyDescent="0.35">
      <c r="A76" s="11"/>
      <c r="B76" s="11"/>
      <c r="C76" s="11"/>
      <c r="D76" s="11"/>
      <c r="E76" s="11"/>
      <c r="F76" s="11"/>
      <c r="G76" s="11"/>
      <c r="H76" s="185" t="s">
        <v>300</v>
      </c>
      <c r="I76" s="122" t="str">
        <f>IF(_epmOfflineCondition_,"N",_xll.EVPRO($B$1,$H76,"STYLE"))</f>
        <v>N</v>
      </c>
      <c r="J76" s="122" t="str">
        <f>IF(_epmOfflineCondition_,"N",_xll.EVPRO($B$1,$H76,"CALC"))</f>
        <v>N</v>
      </c>
      <c r="K76" s="90"/>
      <c r="L76" s="90" t="str">
        <f>IF(_epmOfflineCondition_,"946400",_xll.EVPRO($B$1,H76,"JDEID"))</f>
        <v>946400</v>
      </c>
      <c r="M76" s="90" t="str">
        <f>IF(_epmOfflineCondition_,"991510",IF(AND(I76="N",J76="N"),_xll.EVPRO($B$1,H76,"PSFTID"),""))</f>
        <v>991510</v>
      </c>
      <c r="N76" s="90" t="str">
        <f>IF(_epmOfflineCondition_,"Private Dining Customers",IF(_xll.EVDES(H76,$B$1)="#NODATA","",_xll.EVDES(H76,$B$1)))</f>
        <v>Private Dining Customers</v>
      </c>
      <c r="O76" s="210"/>
      <c r="P76" s="210">
        <v>150</v>
      </c>
      <c r="Q76" s="210"/>
      <c r="R76" s="210"/>
      <c r="S76" s="210"/>
      <c r="T76" s="210"/>
      <c r="U76" s="210"/>
      <c r="V76" s="210"/>
      <c r="W76" s="210"/>
      <c r="X76" s="210"/>
      <c r="Y76" s="210"/>
      <c r="Z76" s="210"/>
      <c r="AA76" s="210">
        <f t="shared" si="20"/>
        <v>150</v>
      </c>
      <c r="AB76" s="211">
        <f>IF(AA76=0,"",IFERROR(AA76/AA$104,""))</f>
        <v>8.7249883666821772E-3</v>
      </c>
      <c r="AC76" s="140"/>
      <c r="AD76" s="210">
        <v>298</v>
      </c>
      <c r="AE76" s="211">
        <f>IF(AD76=0,"",IFERROR(AD76/AD$104,""))</f>
        <v>3.811911584117888E-3</v>
      </c>
      <c r="AF76" s="253">
        <f t="shared" si="21"/>
        <v>-148</v>
      </c>
      <c r="AG76" s="210"/>
      <c r="AH76" s="211" t="str">
        <f>IF(AG76=0,"",IFERROR(AG76/AG$104,""))</f>
        <v/>
      </c>
      <c r="AI76" s="253">
        <f t="shared" si="22"/>
        <v>150</v>
      </c>
    </row>
    <row r="77" spans="1:35" x14ac:dyDescent="0.35">
      <c r="A77" s="11"/>
      <c r="B77" s="11"/>
      <c r="C77" s="11"/>
      <c r="D77" s="11"/>
      <c r="E77" s="11"/>
      <c r="F77" s="11"/>
      <c r="G77" s="11"/>
      <c r="H77" s="185" t="s">
        <v>325</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IF(_epmOfflineCondition_,"Private Dining - Average Check",IF(_xll.EVDES(H77,$B$1)="#NODATA","",_xll.EVDES(H77,$B$1)))</f>
        <v>Private Dining - Average Check</v>
      </c>
      <c r="O77" s="495"/>
      <c r="P77" s="495">
        <v>47.0133333333333</v>
      </c>
      <c r="Q77" s="495"/>
      <c r="R77" s="495"/>
      <c r="S77" s="495"/>
      <c r="T77" s="495"/>
      <c r="U77" s="495"/>
      <c r="V77" s="495"/>
      <c r="W77" s="495"/>
      <c r="X77" s="495"/>
      <c r="Y77" s="495"/>
      <c r="Z77" s="495"/>
      <c r="AA77" s="495">
        <f>IFERROR(AA75/AA76,"")</f>
        <v>47.013333333333335</v>
      </c>
      <c r="AB77" s="495"/>
      <c r="AC77" s="140"/>
      <c r="AD77" s="495">
        <v>108.2</v>
      </c>
      <c r="AE77" s="495"/>
      <c r="AF77" s="496">
        <f t="shared" si="21"/>
        <v>-61.186666666666667</v>
      </c>
      <c r="AG77" s="495"/>
      <c r="AH77" s="495"/>
      <c r="AI77" s="496">
        <f t="shared" si="22"/>
        <v>47.013333333333335</v>
      </c>
    </row>
    <row r="78" spans="1:35" x14ac:dyDescent="0.35">
      <c r="A78" s="11"/>
      <c r="B78" s="11"/>
      <c r="C78" s="11"/>
      <c r="D78" s="11"/>
      <c r="E78" s="11"/>
      <c r="F78" s="11"/>
      <c r="G78" s="490">
        <f>COUNTIF(O79:AI79,FALSE)</f>
        <v>0</v>
      </c>
      <c r="H78" s="88"/>
      <c r="I78" s="122"/>
      <c r="J78" s="122"/>
      <c r="K78" s="90"/>
      <c r="L78" s="90"/>
      <c r="M78" s="90"/>
      <c r="N78" s="491" t="s">
        <v>345</v>
      </c>
      <c r="O78" s="497">
        <f t="shared" ref="O78:AA78" si="23">ROUND(IFERROR(O75/O76,0),2)</f>
        <v>0</v>
      </c>
      <c r="P78" s="498">
        <f t="shared" si="23"/>
        <v>47.01</v>
      </c>
      <c r="Q78" s="498">
        <f t="shared" si="23"/>
        <v>0</v>
      </c>
      <c r="R78" s="498">
        <f t="shared" si="23"/>
        <v>0</v>
      </c>
      <c r="S78" s="498">
        <f t="shared" si="23"/>
        <v>0</v>
      </c>
      <c r="T78" s="498">
        <f t="shared" si="23"/>
        <v>0</v>
      </c>
      <c r="U78" s="498">
        <f t="shared" si="23"/>
        <v>0</v>
      </c>
      <c r="V78" s="498">
        <f t="shared" si="23"/>
        <v>0</v>
      </c>
      <c r="W78" s="498">
        <f t="shared" si="23"/>
        <v>0</v>
      </c>
      <c r="X78" s="498">
        <f t="shared" si="23"/>
        <v>0</v>
      </c>
      <c r="Y78" s="498">
        <f t="shared" si="23"/>
        <v>0</v>
      </c>
      <c r="Z78" s="498">
        <f t="shared" si="23"/>
        <v>0</v>
      </c>
      <c r="AA78" s="498">
        <f t="shared" si="23"/>
        <v>47.01</v>
      </c>
      <c r="AB78" s="499"/>
      <c r="AC78" s="140"/>
      <c r="AD78" s="497">
        <f>ROUND(IFERROR(AD75/AD76,0),2)</f>
        <v>108.2</v>
      </c>
      <c r="AE78" s="498"/>
      <c r="AF78" s="159"/>
      <c r="AG78" s="497">
        <f>ROUND(IFERROR(AG75/AG76,0),2)</f>
        <v>0</v>
      </c>
      <c r="AH78" s="498"/>
      <c r="AI78" s="159"/>
    </row>
    <row r="79" spans="1:35" x14ac:dyDescent="0.35">
      <c r="A79" s="11"/>
      <c r="B79" s="11"/>
      <c r="C79" s="11"/>
      <c r="D79" s="11"/>
      <c r="E79" s="11"/>
      <c r="F79" s="11"/>
      <c r="G79" s="11"/>
      <c r="H79" s="185"/>
      <c r="I79" s="122"/>
      <c r="J79" s="122"/>
      <c r="K79" s="90"/>
      <c r="L79" s="90"/>
      <c r="M79" s="90"/>
      <c r="N79" s="53" t="s">
        <v>807</v>
      </c>
      <c r="O79" s="500" t="b">
        <f t="shared" ref="O79:AA79" si="24">ROUND(O77,2)=ROUND(O78,2)</f>
        <v>1</v>
      </c>
      <c r="P79" s="501" t="b">
        <f t="shared" si="24"/>
        <v>1</v>
      </c>
      <c r="Q79" s="501" t="b">
        <f t="shared" si="24"/>
        <v>1</v>
      </c>
      <c r="R79" s="501" t="b">
        <f t="shared" si="24"/>
        <v>1</v>
      </c>
      <c r="S79" s="501" t="b">
        <f t="shared" si="24"/>
        <v>1</v>
      </c>
      <c r="T79" s="501" t="b">
        <f t="shared" si="24"/>
        <v>1</v>
      </c>
      <c r="U79" s="501" t="b">
        <f t="shared" si="24"/>
        <v>1</v>
      </c>
      <c r="V79" s="501" t="b">
        <f t="shared" si="24"/>
        <v>1</v>
      </c>
      <c r="W79" s="501" t="b">
        <f t="shared" si="24"/>
        <v>1</v>
      </c>
      <c r="X79" s="501" t="b">
        <f t="shared" si="24"/>
        <v>1</v>
      </c>
      <c r="Y79" s="501" t="b">
        <f t="shared" si="24"/>
        <v>1</v>
      </c>
      <c r="Z79" s="501" t="b">
        <f t="shared" si="24"/>
        <v>1</v>
      </c>
      <c r="AA79" s="501" t="b">
        <f t="shared" si="24"/>
        <v>1</v>
      </c>
      <c r="AB79" s="502"/>
      <c r="AC79" s="503"/>
      <c r="AD79" s="500"/>
      <c r="AE79" s="501" t="b">
        <f>ROUND(AD77,2)=ROUND(AD78,2)</f>
        <v>1</v>
      </c>
      <c r="AF79" s="502"/>
      <c r="AG79" s="500"/>
      <c r="AH79" s="501" t="b">
        <f>ROUND(AG77,2)=ROUND(AG78,2)</f>
        <v>1</v>
      </c>
      <c r="AI79" s="502"/>
    </row>
    <row r="80" spans="1:35" x14ac:dyDescent="0.35">
      <c r="A80" s="11"/>
      <c r="B80" s="11"/>
      <c r="C80" s="11"/>
      <c r="D80" s="11"/>
      <c r="E80" s="11"/>
      <c r="F80" s="11"/>
      <c r="G80" s="11"/>
      <c r="H80" s="185" t="s">
        <v>790</v>
      </c>
      <c r="I80" s="122" t="str">
        <f>IF(_epmOfflineCondition_,"N",_xll.EVPRO($B$1,$H80,"STYLE"))</f>
        <v>N</v>
      </c>
      <c r="J80" s="122" t="str">
        <f>IF(_epmOfflineCondition_,"N",_xll.EVPRO($B$1,$H80,"CALC"))</f>
        <v>N</v>
      </c>
      <c r="K80" s="90"/>
      <c r="L80" s="90" t="str">
        <f>IF(_epmOfflineCondition_,"471110",_xll.EVPRO($B$1,H80,"JDEID"))</f>
        <v>471110</v>
      </c>
      <c r="M80" s="90" t="str">
        <f>IF(_epmOfflineCondition_,"201017",IF(AND(I80="N",J80="N"),_xll.EVPRO($B$1,H80,"PSFTID"),""))</f>
        <v>201017</v>
      </c>
      <c r="N80" s="90" t="str">
        <f>IF(_epmOfflineCondition_,"Reception Food",IF(_xll.EVDES(H80,$B$1)="#NODATA","",_xll.EVDES(H80,$B$1)))</f>
        <v>Reception Food</v>
      </c>
      <c r="O80" s="143">
        <v>2790</v>
      </c>
      <c r="P80" s="143">
        <v>975</v>
      </c>
      <c r="Q80" s="143"/>
      <c r="R80" s="143"/>
      <c r="S80" s="143"/>
      <c r="T80" s="143"/>
      <c r="U80" s="143"/>
      <c r="V80" s="143"/>
      <c r="W80" s="143"/>
      <c r="X80" s="143"/>
      <c r="Y80" s="143"/>
      <c r="Z80" s="143"/>
      <c r="AA80" s="143">
        <f t="shared" ref="AA80:AA85" si="25">SUM(O80:Z80)</f>
        <v>3765</v>
      </c>
      <c r="AB80" s="144">
        <f>IF(AA80=0,"",IFERROR(AA80/AA$19,""))</f>
        <v>7.6539889571540674E-3</v>
      </c>
      <c r="AC80" s="140"/>
      <c r="AD80" s="143"/>
      <c r="AE80" s="144" t="str">
        <f>IF(AD80=0,"",IFERROR(AD80/AD$19,""))</f>
        <v/>
      </c>
      <c r="AF80" s="145">
        <f t="shared" ref="AF80:AF86" si="26">IF(AND($AA80="",AD80=""),"",$AA80-AD80)</f>
        <v>3765</v>
      </c>
      <c r="AG80" s="143">
        <v>7700</v>
      </c>
      <c r="AH80" s="144">
        <f>IF(AG80=0,"",IFERROR(AG80/AG$19,""))</f>
        <v>9.5429770387668814E-3</v>
      </c>
      <c r="AI80" s="145">
        <f t="shared" ref="AI80:AI86" si="27">IF(AND($AA80="",AG80=""),"",$AA80-AG80)</f>
        <v>-3935</v>
      </c>
    </row>
    <row r="81" spans="1:35" x14ac:dyDescent="0.35">
      <c r="A81" s="11"/>
      <c r="B81" s="11"/>
      <c r="C81" s="11"/>
      <c r="D81" s="11"/>
      <c r="E81" s="11"/>
      <c r="F81" s="11"/>
      <c r="G81" s="11"/>
      <c r="H81" s="185" t="s">
        <v>808</v>
      </c>
      <c r="I81" s="122" t="str">
        <f>IF(_epmOfflineCondition_,"N",_xll.EVPRO($B$1,$H81,"STYLE"))</f>
        <v>N</v>
      </c>
      <c r="J81" s="122" t="str">
        <f>IF(_epmOfflineCondition_,"N",_xll.EVPRO($B$1,$H81,"CALC"))</f>
        <v>N</v>
      </c>
      <c r="K81" s="90"/>
      <c r="L81" s="90" t="str">
        <f>IF(_epmOfflineCondition_,"471210",_xll.EVPRO($B$1,H81,"JDEID"))</f>
        <v>471210</v>
      </c>
      <c r="M81" s="90" t="str">
        <f>IF(_epmOfflineCondition_,"NA",IF(AND(I81="N",J81="N"),_xll.EVPRO($B$1,H81,"PSFTID"),""))</f>
        <v>NA</v>
      </c>
      <c r="N81" s="90" t="str">
        <f>IF(_epmOfflineCondition_,"Reception Liquor",IF(_xll.EVDES(H81,$B$1)="#NODATA","",_xll.EVDES(H81,$B$1)))</f>
        <v>Reception Liquor</v>
      </c>
      <c r="O81" s="143">
        <v>689</v>
      </c>
      <c r="P81" s="143"/>
      <c r="Q81" s="143"/>
      <c r="R81" s="143"/>
      <c r="S81" s="143"/>
      <c r="T81" s="143"/>
      <c r="U81" s="143"/>
      <c r="V81" s="143"/>
      <c r="W81" s="143"/>
      <c r="X81" s="143"/>
      <c r="Y81" s="143"/>
      <c r="Z81" s="143"/>
      <c r="AA81" s="143">
        <f t="shared" si="25"/>
        <v>689</v>
      </c>
      <c r="AB81" s="144">
        <f>IF(AA81=0,"",IFERROR(AA81/AA$19,""))</f>
        <v>1.4006901438191641E-3</v>
      </c>
      <c r="AC81" s="140"/>
      <c r="AD81" s="143"/>
      <c r="AE81" s="144" t="str">
        <f>IF(AD81=0,"",IFERROR(AD81/AD$19,""))</f>
        <v/>
      </c>
      <c r="AF81" s="145">
        <f t="shared" si="26"/>
        <v>689</v>
      </c>
      <c r="AG81" s="143"/>
      <c r="AH81" s="144" t="str">
        <f>IF(AG81=0,"",IFERROR(AG81/AG$19,""))</f>
        <v/>
      </c>
      <c r="AI81" s="145">
        <f t="shared" si="27"/>
        <v>689</v>
      </c>
    </row>
    <row r="82" spans="1:35" x14ac:dyDescent="0.35">
      <c r="A82" s="11"/>
      <c r="B82" s="11"/>
      <c r="C82" s="11"/>
      <c r="D82" s="11"/>
      <c r="E82" s="11"/>
      <c r="F82" s="11"/>
      <c r="G82" s="11"/>
      <c r="H82" s="185" t="s">
        <v>809</v>
      </c>
      <c r="I82" s="122" t="str">
        <f>IF(_epmOfflineCondition_,"N",_xll.EVPRO($B$1,$H82,"STYLE"))</f>
        <v>N</v>
      </c>
      <c r="J82" s="122" t="str">
        <f>IF(_epmOfflineCondition_,"N",_xll.EVPRO($B$1,$H82,"CALC"))</f>
        <v>N</v>
      </c>
      <c r="K82" s="90"/>
      <c r="L82" s="90" t="str">
        <f>IF(_epmOfflineCondition_,"471310",_xll.EVPRO($B$1,H82,"JDEID"))</f>
        <v>471310</v>
      </c>
      <c r="M82" s="90" t="str">
        <f>IF(_epmOfflineCondition_,"NA",IF(AND(I82="N",J82="N"),_xll.EVPRO($B$1,H82,"PSFTID"),""))</f>
        <v>NA</v>
      </c>
      <c r="N82" s="90" t="str">
        <f>IF(_epmOfflineCondition_,"Reception Beer",IF(_xll.EVDES(H82,$B$1)="#NODATA","",_xll.EVDES(H82,$B$1)))</f>
        <v>Reception Beer</v>
      </c>
      <c r="O82" s="143">
        <v>125</v>
      </c>
      <c r="P82" s="143"/>
      <c r="Q82" s="143"/>
      <c r="R82" s="143"/>
      <c r="S82" s="143"/>
      <c r="T82" s="143"/>
      <c r="U82" s="143"/>
      <c r="V82" s="143"/>
      <c r="W82" s="143"/>
      <c r="X82" s="143"/>
      <c r="Y82" s="143"/>
      <c r="Z82" s="143"/>
      <c r="AA82" s="143">
        <f t="shared" si="25"/>
        <v>125</v>
      </c>
      <c r="AB82" s="144">
        <f>IF(AA82=0,"",IFERROR(AA82/AA$19,""))</f>
        <v>2.5411649924150293E-4</v>
      </c>
      <c r="AC82" s="140"/>
      <c r="AD82" s="143"/>
      <c r="AE82" s="144" t="str">
        <f>IF(AD82=0,"",IFERROR(AD82/AD$19,""))</f>
        <v/>
      </c>
      <c r="AF82" s="145">
        <f t="shared" si="26"/>
        <v>125</v>
      </c>
      <c r="AG82" s="143"/>
      <c r="AH82" s="144" t="str">
        <f>IF(AG82=0,"",IFERROR(AG82/AG$19,""))</f>
        <v/>
      </c>
      <c r="AI82" s="145">
        <f t="shared" si="27"/>
        <v>125</v>
      </c>
    </row>
    <row r="83" spans="1:35" x14ac:dyDescent="0.35">
      <c r="A83" s="11"/>
      <c r="B83" s="11"/>
      <c r="C83" s="11"/>
      <c r="D83" s="11"/>
      <c r="E83" s="11"/>
      <c r="F83" s="11"/>
      <c r="G83" s="11"/>
      <c r="H83" s="185" t="s">
        <v>810</v>
      </c>
      <c r="I83" s="122" t="str">
        <f>IF(_epmOfflineCondition_,"N",_xll.EVPRO($B$1,$H83,"STYLE"))</f>
        <v>N</v>
      </c>
      <c r="J83" s="122" t="str">
        <f>IF(_epmOfflineCondition_,"N",_xll.EVPRO($B$1,$H83,"CALC"))</f>
        <v>N</v>
      </c>
      <c r="K83" s="90"/>
      <c r="L83" s="90" t="str">
        <f>IF(_epmOfflineCondition_,"471410",_xll.EVPRO($B$1,H83,"JDEID"))</f>
        <v>471410</v>
      </c>
      <c r="M83" s="90" t="str">
        <f>IF(_epmOfflineCondition_,"NA",IF(AND(I83="N",J83="N"),_xll.EVPRO($B$1,H83,"PSFTID"),""))</f>
        <v>NA</v>
      </c>
      <c r="N83" s="90" t="str">
        <f>IF(_epmOfflineCondition_,"Reception Wine",IF(_xll.EVDES(H83,$B$1)="#NODATA","",_xll.EVDES(H83,$B$1)))</f>
        <v>Reception Wine</v>
      </c>
      <c r="O83" s="217">
        <v>104</v>
      </c>
      <c r="P83" s="217">
        <v>1500</v>
      </c>
      <c r="Q83" s="217"/>
      <c r="R83" s="217"/>
      <c r="S83" s="217"/>
      <c r="T83" s="217"/>
      <c r="U83" s="217"/>
      <c r="V83" s="217"/>
      <c r="W83" s="217">
        <v>504</v>
      </c>
      <c r="X83" s="217"/>
      <c r="Y83" s="217"/>
      <c r="Z83" s="217"/>
      <c r="AA83" s="217">
        <f t="shared" si="25"/>
        <v>2108</v>
      </c>
      <c r="AB83" s="219">
        <f>IF(AA83=0,"",IFERROR(AA83/AA$19,""))</f>
        <v>4.2854206432087049E-3</v>
      </c>
      <c r="AC83" s="140"/>
      <c r="AD83" s="217"/>
      <c r="AE83" s="219" t="str">
        <f>IF(AD83=0,"",IFERROR(AD83/AD$19,""))</f>
        <v/>
      </c>
      <c r="AF83" s="220">
        <f t="shared" si="26"/>
        <v>2108</v>
      </c>
      <c r="AG83" s="217"/>
      <c r="AH83" s="219" t="str">
        <f>IF(AG83=0,"",IFERROR(AG83/AG$19,""))</f>
        <v/>
      </c>
      <c r="AI83" s="220">
        <f t="shared" si="27"/>
        <v>2108</v>
      </c>
    </row>
    <row r="84" spans="1:35" x14ac:dyDescent="0.35">
      <c r="A84" s="11"/>
      <c r="B84" s="11"/>
      <c r="C84" s="11"/>
      <c r="D84" s="11"/>
      <c r="E84" s="11"/>
      <c r="F84" s="11"/>
      <c r="G84" s="11"/>
      <c r="H84" s="185" t="s">
        <v>811</v>
      </c>
      <c r="I84" s="122" t="str">
        <f>IF(_epmOfflineCondition_,"N",_xll.EVPRO($B$1,$H84,"STYLE"))</f>
        <v>N</v>
      </c>
      <c r="J84" s="122" t="str">
        <f>IF(_epmOfflineCondition_,"Y",_xll.EVPRO($B$1,$H84,"CALC"))</f>
        <v>Y</v>
      </c>
      <c r="K84" s="90"/>
      <c r="L84" s="90" t="str">
        <f>IF(_epmOfflineCondition_,"",_xll.EVPRO($B$1,H84,"JDEID"))</f>
        <v/>
      </c>
      <c r="M84" s="90" t="str">
        <f>IF(_epmOfflineCondition_,"",IF(AND(I84="N",J84="N"),_xll.EVPRO($B$1,H84,"PSFTID"),""))</f>
        <v/>
      </c>
      <c r="N84" s="106" t="str">
        <f>IF(_epmOfflineCondition_,"Reception Revenue",IF(_xll.EVDES(H84,$B$1)="#NODATA","",_xll.EVDES(H84,$B$1)))</f>
        <v>Reception Revenue</v>
      </c>
      <c r="O84" s="166">
        <v>3708</v>
      </c>
      <c r="P84" s="166">
        <v>2475</v>
      </c>
      <c r="Q84" s="166"/>
      <c r="R84" s="166"/>
      <c r="S84" s="166"/>
      <c r="T84" s="166"/>
      <c r="U84" s="166"/>
      <c r="V84" s="166"/>
      <c r="W84" s="166">
        <v>504</v>
      </c>
      <c r="X84" s="166"/>
      <c r="Y84" s="166"/>
      <c r="Z84" s="166"/>
      <c r="AA84" s="166">
        <f t="shared" si="25"/>
        <v>6687</v>
      </c>
      <c r="AB84" s="167">
        <f>IF(AA84=0,"",IFERROR(AA84/AA$19,""))</f>
        <v>1.359421624342344E-2</v>
      </c>
      <c r="AC84" s="140"/>
      <c r="AD84" s="166"/>
      <c r="AE84" s="167" t="str">
        <f>IF(AD84=0,"",IFERROR(AD84/AD$19,""))</f>
        <v/>
      </c>
      <c r="AF84" s="168">
        <f t="shared" si="26"/>
        <v>6687</v>
      </c>
      <c r="AG84" s="166">
        <v>7700</v>
      </c>
      <c r="AH84" s="167">
        <f>IF(AG84=0,"",IFERROR(AG84/AG$19,""))</f>
        <v>9.5429770387668814E-3</v>
      </c>
      <c r="AI84" s="168">
        <f t="shared" si="27"/>
        <v>-1013</v>
      </c>
    </row>
    <row r="85" spans="1:35" x14ac:dyDescent="0.35">
      <c r="A85" s="11"/>
      <c r="B85" s="11"/>
      <c r="C85" s="11"/>
      <c r="D85" s="11"/>
      <c r="E85" s="11"/>
      <c r="F85" s="11"/>
      <c r="G85" s="11"/>
      <c r="H85" s="185" t="s">
        <v>812</v>
      </c>
      <c r="I85" s="122" t="str">
        <f>IF(_epmOfflineCondition_,"N",_xll.EVPRO($B$1,$H85,"STYLE"))</f>
        <v>N</v>
      </c>
      <c r="J85" s="122" t="str">
        <f>IF(_epmOfflineCondition_,"N",_xll.EVPRO($B$1,$H85,"CALC"))</f>
        <v>N</v>
      </c>
      <c r="K85" s="90"/>
      <c r="L85" s="90" t="str">
        <f>IF(_epmOfflineCondition_,"946700",_xll.EVPRO($B$1,H85,"JDEID"))</f>
        <v>946700</v>
      </c>
      <c r="M85" s="90" t="str">
        <f>IF(_epmOfflineCondition_,"991508",IF(AND(I85="N",J85="N"),_xll.EVPRO($B$1,H85,"PSFTID"),""))</f>
        <v>991508</v>
      </c>
      <c r="N85" s="90" t="str">
        <f>IF(_epmOfflineCondition_,"Reception Customers",IF(_xll.EVDES(H85,$B$1)="#NODATA","",_xll.EVDES(H85,$B$1)))</f>
        <v>Reception Customers</v>
      </c>
      <c r="O85" s="210">
        <v>30</v>
      </c>
      <c r="P85" s="210">
        <v>75</v>
      </c>
      <c r="Q85" s="210"/>
      <c r="R85" s="210"/>
      <c r="S85" s="210"/>
      <c r="T85" s="210"/>
      <c r="U85" s="210"/>
      <c r="V85" s="210"/>
      <c r="W85" s="210"/>
      <c r="X85" s="210"/>
      <c r="Y85" s="210"/>
      <c r="Z85" s="210"/>
      <c r="AA85" s="210">
        <f t="shared" si="25"/>
        <v>105</v>
      </c>
      <c r="AB85" s="211">
        <f>IF(AA85=0,"",IFERROR(AA85/AA$84,""))</f>
        <v>1.5702108568864961E-2</v>
      </c>
      <c r="AC85" s="140"/>
      <c r="AD85" s="210"/>
      <c r="AE85" s="211" t="str">
        <f>IF(AD85=0,"",IFERROR(AD85/AD$84,""))</f>
        <v/>
      </c>
      <c r="AF85" s="253">
        <f t="shared" si="26"/>
        <v>105</v>
      </c>
      <c r="AG85" s="210">
        <v>130</v>
      </c>
      <c r="AH85" s="211">
        <f>IF(AG85=0,"",IFERROR(AG85/AG$84,""))</f>
        <v>1.6883116883116882E-2</v>
      </c>
      <c r="AI85" s="253">
        <f t="shared" si="27"/>
        <v>-25</v>
      </c>
    </row>
    <row r="86" spans="1:35" x14ac:dyDescent="0.35">
      <c r="A86" s="11"/>
      <c r="B86" s="11"/>
      <c r="C86" s="11"/>
      <c r="D86" s="11"/>
      <c r="E86" s="11"/>
      <c r="F86" s="11"/>
      <c r="G86" s="11"/>
      <c r="H86" s="185" t="s">
        <v>813</v>
      </c>
      <c r="I86" s="122" t="str">
        <f>IF(_epmOfflineCondition_,"N",_xll.EVPRO($B$1,$H86,"STYLE"))</f>
        <v>N</v>
      </c>
      <c r="J86" s="122" t="str">
        <f>IF(_epmOfflineCondition_,"Y",_xll.EVPRO($B$1,$H86,"CALC"))</f>
        <v>Y</v>
      </c>
      <c r="K86" s="90"/>
      <c r="L86" s="90" t="str">
        <f>IF(_epmOfflineCondition_,"",_xll.EVPRO($B$1,H86,"JDEID"))</f>
        <v/>
      </c>
      <c r="M86" s="90" t="str">
        <f>IF(_epmOfflineCondition_,"",IF(AND(I86="N",J86="N"),_xll.EVPRO($B$1,H86,"PSFTID"),""))</f>
        <v/>
      </c>
      <c r="N86" s="190" t="str">
        <f>IF(_epmOfflineCondition_,"Reception Average Check",IF(_xll.EVDES(H86,$B$1)="#NODATA","",_xll.EVDES(H86,$B$1)))</f>
        <v>Reception Average Check</v>
      </c>
      <c r="O86" s="495">
        <v>123.6</v>
      </c>
      <c r="P86" s="495">
        <v>33</v>
      </c>
      <c r="Q86" s="495"/>
      <c r="R86" s="495"/>
      <c r="S86" s="495"/>
      <c r="T86" s="495"/>
      <c r="U86" s="495"/>
      <c r="V86" s="495"/>
      <c r="W86" s="495"/>
      <c r="X86" s="495"/>
      <c r="Y86" s="495"/>
      <c r="Z86" s="495"/>
      <c r="AA86" s="495">
        <f>IFERROR(AA84/AA85,"")</f>
        <v>63.685714285714283</v>
      </c>
      <c r="AB86" s="495"/>
      <c r="AC86" s="140"/>
      <c r="AD86" s="495"/>
      <c r="AE86" s="495"/>
      <c r="AF86" s="496">
        <f t="shared" si="26"/>
        <v>63.685714285714283</v>
      </c>
      <c r="AG86" s="495">
        <v>59.230769230769198</v>
      </c>
      <c r="AH86" s="495"/>
      <c r="AI86" s="496">
        <f t="shared" si="27"/>
        <v>4.4549450549450853</v>
      </c>
    </row>
    <row r="87" spans="1:35" x14ac:dyDescent="0.35">
      <c r="A87" s="11"/>
      <c r="B87" s="11"/>
      <c r="C87" s="11"/>
      <c r="D87" s="11"/>
      <c r="E87" s="11"/>
      <c r="F87" s="11"/>
      <c r="G87" s="490">
        <f>COUNTIF(O88:AI88,FALSE)</f>
        <v>0</v>
      </c>
      <c r="H87" s="88"/>
      <c r="I87" s="122"/>
      <c r="J87" s="122"/>
      <c r="K87" s="90"/>
      <c r="L87" s="90"/>
      <c r="M87" s="90"/>
      <c r="N87" s="491" t="s">
        <v>345</v>
      </c>
      <c r="O87" s="497">
        <f t="shared" ref="O87:AA87" si="28">ROUND(IFERROR(O84/O85,0),2)</f>
        <v>123.6</v>
      </c>
      <c r="P87" s="498">
        <f t="shared" si="28"/>
        <v>33</v>
      </c>
      <c r="Q87" s="498">
        <f t="shared" si="28"/>
        <v>0</v>
      </c>
      <c r="R87" s="498">
        <f t="shared" si="28"/>
        <v>0</v>
      </c>
      <c r="S87" s="498">
        <f t="shared" si="28"/>
        <v>0</v>
      </c>
      <c r="T87" s="498">
        <f t="shared" si="28"/>
        <v>0</v>
      </c>
      <c r="U87" s="498">
        <f t="shared" si="28"/>
        <v>0</v>
      </c>
      <c r="V87" s="498">
        <f t="shared" si="28"/>
        <v>0</v>
      </c>
      <c r="W87" s="498">
        <f t="shared" si="28"/>
        <v>0</v>
      </c>
      <c r="X87" s="498">
        <f t="shared" si="28"/>
        <v>0</v>
      </c>
      <c r="Y87" s="498">
        <f t="shared" si="28"/>
        <v>0</v>
      </c>
      <c r="Z87" s="498">
        <f t="shared" si="28"/>
        <v>0</v>
      </c>
      <c r="AA87" s="498">
        <f t="shared" si="28"/>
        <v>63.69</v>
      </c>
      <c r="AB87" s="499"/>
      <c r="AC87" s="140"/>
      <c r="AD87" s="497">
        <f>ROUND(IFERROR(AD84/AD85,0),2)</f>
        <v>0</v>
      </c>
      <c r="AE87" s="498"/>
      <c r="AF87" s="159"/>
      <c r="AG87" s="497">
        <f>ROUND(IFERROR(AG84/AG85,0),2)</f>
        <v>59.23</v>
      </c>
      <c r="AH87" s="498"/>
      <c r="AI87" s="159"/>
    </row>
    <row r="88" spans="1:35" x14ac:dyDescent="0.35">
      <c r="A88" s="11"/>
      <c r="B88" s="11"/>
      <c r="C88" s="11"/>
      <c r="D88" s="11"/>
      <c r="E88" s="11"/>
      <c r="F88" s="11"/>
      <c r="G88" s="11"/>
      <c r="H88" s="185"/>
      <c r="I88" s="122"/>
      <c r="J88" s="122"/>
      <c r="K88" s="90"/>
      <c r="L88" s="90"/>
      <c r="M88" s="90"/>
      <c r="N88" s="53" t="s">
        <v>814</v>
      </c>
      <c r="O88" s="500" t="b">
        <f t="shared" ref="O88:AA88" si="29">ROUND(O86,2)=ROUND(O87,2)</f>
        <v>1</v>
      </c>
      <c r="P88" s="501" t="b">
        <f t="shared" si="29"/>
        <v>1</v>
      </c>
      <c r="Q88" s="501" t="b">
        <f t="shared" si="29"/>
        <v>1</v>
      </c>
      <c r="R88" s="501" t="b">
        <f t="shared" si="29"/>
        <v>1</v>
      </c>
      <c r="S88" s="501" t="b">
        <f t="shared" si="29"/>
        <v>1</v>
      </c>
      <c r="T88" s="501" t="b">
        <f t="shared" si="29"/>
        <v>1</v>
      </c>
      <c r="U88" s="501" t="b">
        <f t="shared" si="29"/>
        <v>1</v>
      </c>
      <c r="V88" s="501" t="b">
        <f t="shared" si="29"/>
        <v>1</v>
      </c>
      <c r="W88" s="501" t="b">
        <f t="shared" si="29"/>
        <v>1</v>
      </c>
      <c r="X88" s="501" t="b">
        <f t="shared" si="29"/>
        <v>1</v>
      </c>
      <c r="Y88" s="501" t="b">
        <f t="shared" si="29"/>
        <v>1</v>
      </c>
      <c r="Z88" s="501" t="b">
        <f t="shared" si="29"/>
        <v>1</v>
      </c>
      <c r="AA88" s="501" t="b">
        <f t="shared" si="29"/>
        <v>1</v>
      </c>
      <c r="AB88" s="502"/>
      <c r="AC88" s="503"/>
      <c r="AD88" s="500"/>
      <c r="AE88" s="501" t="b">
        <f>ROUND(AD86,2)=ROUND(AD87,2)</f>
        <v>1</v>
      </c>
      <c r="AF88" s="502"/>
      <c r="AG88" s="500"/>
      <c r="AH88" s="501" t="b">
        <f>ROUND(AG86,2)=ROUND(AG87,2)</f>
        <v>1</v>
      </c>
      <c r="AI88" s="502"/>
    </row>
    <row r="89" spans="1:35" x14ac:dyDescent="0.35">
      <c r="A89" s="11"/>
      <c r="B89" s="11"/>
      <c r="C89" s="11"/>
      <c r="D89" s="11"/>
      <c r="E89" s="11"/>
      <c r="F89" s="11"/>
      <c r="G89" s="11"/>
      <c r="H89" s="185" t="s">
        <v>789</v>
      </c>
      <c r="I89" s="122" t="str">
        <f>IF(_epmOfflineCondition_,"N",_xll.EVPRO($B$1,$H89,"STYLE"))</f>
        <v>N</v>
      </c>
      <c r="J89" s="122" t="str">
        <f>IF(_epmOfflineCondition_,"N",_xll.EVPRO($B$1,$H89,"CALC"))</f>
        <v>N</v>
      </c>
      <c r="K89" s="90"/>
      <c r="L89" s="90" t="str">
        <f>IF(_epmOfflineCondition_,"470110",_xll.EVPRO($B$1,H89,"JDEID"))</f>
        <v>470110</v>
      </c>
      <c r="M89" s="90" t="str">
        <f>IF(_epmOfflineCondition_,"201016",IF(AND(I89="N",J89="N"),_xll.EVPRO($B$1,H89,"PSFTID"),""))</f>
        <v>201016</v>
      </c>
      <c r="N89" s="90" t="str">
        <f>IF(_epmOfflineCondition_,"Break Food",IF(_xll.EVDES(H89,$B$1)="#NODATA","",_xll.EVDES(H89,$B$1)))</f>
        <v>Break Food</v>
      </c>
      <c r="O89" s="143">
        <v>3326</v>
      </c>
      <c r="P89" s="143">
        <v>1127</v>
      </c>
      <c r="Q89" s="143"/>
      <c r="R89" s="143"/>
      <c r="S89" s="143"/>
      <c r="T89" s="143"/>
      <c r="U89" s="143"/>
      <c r="V89" s="143"/>
      <c r="W89" s="143"/>
      <c r="X89" s="143"/>
      <c r="Y89" s="143"/>
      <c r="Z89" s="143"/>
      <c r="AA89" s="143">
        <f>SUM(O89:Z89)</f>
        <v>4453</v>
      </c>
      <c r="AB89" s="144">
        <f>IF(AA89=0,"",IFERROR(AA89/AA$19,""))</f>
        <v>9.0526461689793003E-3</v>
      </c>
      <c r="AC89" s="140"/>
      <c r="AD89" s="143"/>
      <c r="AE89" s="144" t="str">
        <f>IF(AD89=0,"",IFERROR(AD89/AD$19,""))</f>
        <v/>
      </c>
      <c r="AF89" s="145">
        <f>IF(AND($AA89="",AD89=""),"",$AA89-AD89)</f>
        <v>4453</v>
      </c>
      <c r="AG89" s="143">
        <v>573</v>
      </c>
      <c r="AH89" s="144">
        <f>IF(AG89=0,"",IFERROR(AG89/AG$19,""))</f>
        <v>7.1014621340434068E-4</v>
      </c>
      <c r="AI89" s="145">
        <f>IF(AND($AA89="",AG89=""),"",$AA89-AG89)</f>
        <v>3880</v>
      </c>
    </row>
    <row r="90" spans="1:35" x14ac:dyDescent="0.35">
      <c r="A90" s="11"/>
      <c r="B90" s="11"/>
      <c r="C90" s="11"/>
      <c r="D90" s="11"/>
      <c r="E90" s="11"/>
      <c r="F90" s="11"/>
      <c r="G90" s="11"/>
      <c r="H90" s="185" t="s">
        <v>815</v>
      </c>
      <c r="I90" s="122" t="str">
        <f>IF(_epmOfflineCondition_,"N",_xll.EVPRO($B$1,$H90,"STYLE"))</f>
        <v>N</v>
      </c>
      <c r="J90" s="122" t="str">
        <f>IF(_epmOfflineCondition_,"Y",_xll.EVPRO($B$1,$H90,"CALC"))</f>
        <v>Y</v>
      </c>
      <c r="K90" s="90"/>
      <c r="L90" s="90" t="str">
        <f>IF(_epmOfflineCondition_,"",_xll.EVPRO($B$1,H90,"JDEID"))</f>
        <v/>
      </c>
      <c r="M90" s="90" t="str">
        <f>IF(_epmOfflineCondition_,"",IF(AND(I90="N",J90="N"),_xll.EVPRO($B$1,H90,"PSFTID"),""))</f>
        <v/>
      </c>
      <c r="N90" s="106" t="str">
        <f>IF(_epmOfflineCondition_,"Break Revenue",IF(_xll.EVDES(H90,$B$1)="#NODATA","",_xll.EVDES(H90,$B$1)))</f>
        <v>Break Revenue</v>
      </c>
      <c r="O90" s="166">
        <v>3326</v>
      </c>
      <c r="P90" s="166">
        <v>1127</v>
      </c>
      <c r="Q90" s="166"/>
      <c r="R90" s="166"/>
      <c r="S90" s="166"/>
      <c r="T90" s="166"/>
      <c r="U90" s="166"/>
      <c r="V90" s="166"/>
      <c r="W90" s="166"/>
      <c r="X90" s="166"/>
      <c r="Y90" s="166"/>
      <c r="Z90" s="166"/>
      <c r="AA90" s="166">
        <f>SUM(O90:Z90)</f>
        <v>4453</v>
      </c>
      <c r="AB90" s="167">
        <f>IF(AA90=0,"",IFERROR(AA90/AA$19,""))</f>
        <v>9.0526461689793003E-3</v>
      </c>
      <c r="AC90" s="140"/>
      <c r="AD90" s="166"/>
      <c r="AE90" s="167" t="str">
        <f>IF(AD90=0,"",IFERROR(AD90/AD$19,""))</f>
        <v/>
      </c>
      <c r="AF90" s="168">
        <f>IF(AND($AA90="",AD90=""),"",$AA90-AD90)</f>
        <v>4453</v>
      </c>
      <c r="AG90" s="166">
        <v>573</v>
      </c>
      <c r="AH90" s="167">
        <f>IF(AG90=0,"",IFERROR(AG90/AG$19,""))</f>
        <v>7.1014621340434068E-4</v>
      </c>
      <c r="AI90" s="168">
        <f>IF(AND($AA90="",AG90=""),"",$AA90-AG90)</f>
        <v>3880</v>
      </c>
    </row>
    <row r="91" spans="1:35" x14ac:dyDescent="0.35">
      <c r="A91" s="11"/>
      <c r="B91" s="11"/>
      <c r="C91" s="11"/>
      <c r="D91" s="11"/>
      <c r="E91" s="11"/>
      <c r="F91" s="11"/>
      <c r="G91" s="11"/>
      <c r="H91" s="185" t="s">
        <v>816</v>
      </c>
      <c r="I91" s="122" t="str">
        <f>IF(_epmOfflineCondition_,"N",_xll.EVPRO($B$1,$H91,"STYLE"))</f>
        <v>N</v>
      </c>
      <c r="J91" s="122" t="str">
        <f>IF(_epmOfflineCondition_,"N",_xll.EVPRO($B$1,$H91,"CALC"))</f>
        <v>N</v>
      </c>
      <c r="K91" s="90"/>
      <c r="L91" s="90" t="str">
        <f>IF(_epmOfflineCondition_,"946600",_xll.EVPRO($B$1,H91,"JDEID"))</f>
        <v>946600</v>
      </c>
      <c r="M91" s="90" t="str">
        <f>IF(_epmOfflineCondition_,"991507",IF(AND(I91="N",J91="N"),_xll.EVPRO($B$1,H91,"PSFTID"),""))</f>
        <v>991507</v>
      </c>
      <c r="N91" s="90" t="str">
        <f>IF(_epmOfflineCondition_,"Break Customers",IF(_xll.EVDES(H91,$B$1)="#NODATA","",_xll.EVDES(H91,$B$1)))</f>
        <v>Break Customers</v>
      </c>
      <c r="O91" s="210">
        <v>145</v>
      </c>
      <c r="P91" s="210">
        <v>47</v>
      </c>
      <c r="Q91" s="210"/>
      <c r="R91" s="210"/>
      <c r="S91" s="210"/>
      <c r="T91" s="210"/>
      <c r="U91" s="210"/>
      <c r="V91" s="210"/>
      <c r="W91" s="210"/>
      <c r="X91" s="210"/>
      <c r="Y91" s="210"/>
      <c r="Z91" s="210"/>
      <c r="AA91" s="210">
        <f>SUM(O91:Z91)</f>
        <v>192</v>
      </c>
      <c r="AB91" s="211">
        <f>IF(AA91=0,"",IFERROR(AA91/AA$84,""))</f>
        <v>2.8712427097353072E-2</v>
      </c>
      <c r="AC91" s="140"/>
      <c r="AD91" s="210"/>
      <c r="AE91" s="211" t="str">
        <f>IF(AD91=0,"",IFERROR(AD91/AD$84,""))</f>
        <v/>
      </c>
      <c r="AF91" s="253">
        <f>IF(AND($AA91="",AD91=""),"",$AA91-AD91)</f>
        <v>192</v>
      </c>
      <c r="AG91" s="210">
        <v>16</v>
      </c>
      <c r="AH91" s="211">
        <f>IF(AG91=0,"",IFERROR(AG91/AG$84,""))</f>
        <v>2.0779220779220779E-3</v>
      </c>
      <c r="AI91" s="253">
        <f>IF(AND($AA91="",AG91=""),"",$AA91-AG91)</f>
        <v>176</v>
      </c>
    </row>
    <row r="92" spans="1:35" x14ac:dyDescent="0.35">
      <c r="A92" s="11"/>
      <c r="B92" s="11"/>
      <c r="C92" s="11"/>
      <c r="D92" s="11"/>
      <c r="E92" s="11"/>
      <c r="F92" s="11"/>
      <c r="G92" s="11"/>
      <c r="H92" s="185" t="s">
        <v>817</v>
      </c>
      <c r="I92" s="122" t="str">
        <f>IF(_epmOfflineCondition_,"N",_xll.EVPRO($B$1,$H92,"STYLE"))</f>
        <v>N</v>
      </c>
      <c r="J92" s="122" t="str">
        <f>IF(_epmOfflineCondition_,"Y",_xll.EVPRO($B$1,$H92,"CALC"))</f>
        <v>Y</v>
      </c>
      <c r="K92" s="90"/>
      <c r="L92" s="90" t="str">
        <f>IF(_epmOfflineCondition_,"",_xll.EVPRO($B$1,H92,"JDEID"))</f>
        <v/>
      </c>
      <c r="M92" s="90" t="str">
        <f>IF(_epmOfflineCondition_,"",IF(AND(I92="N",J92="N"),_xll.EVPRO($B$1,H92,"PSFTID"),""))</f>
        <v/>
      </c>
      <c r="N92" s="190" t="str">
        <f>IF(_epmOfflineCondition_,"Break Average Check",IF(_xll.EVDES(H92,$B$1)="#NODATA","",_xll.EVDES(H92,$B$1)))</f>
        <v>Break Average Check</v>
      </c>
      <c r="O92" s="495">
        <v>22.937931034482801</v>
      </c>
      <c r="P92" s="495">
        <v>23.978723404255302</v>
      </c>
      <c r="Q92" s="495"/>
      <c r="R92" s="495"/>
      <c r="S92" s="495"/>
      <c r="T92" s="495"/>
      <c r="U92" s="495"/>
      <c r="V92" s="495"/>
      <c r="W92" s="495"/>
      <c r="X92" s="495"/>
      <c r="Y92" s="495"/>
      <c r="Z92" s="495"/>
      <c r="AA92" s="495">
        <f>IFERROR(AA90/AA91,"")</f>
        <v>23.192708333333332</v>
      </c>
      <c r="AB92" s="495"/>
      <c r="AC92" s="140"/>
      <c r="AD92" s="495"/>
      <c r="AE92" s="495"/>
      <c r="AF92" s="496">
        <f>IF(AND($AA92="",AD92=""),"",$AA92-AD92)</f>
        <v>23.192708333333332</v>
      </c>
      <c r="AG92" s="495">
        <v>35.8125</v>
      </c>
      <c r="AH92" s="495"/>
      <c r="AI92" s="496">
        <f>IF(AND($AA92="",AG92=""),"",$AA92-AG92)</f>
        <v>-12.619791666666668</v>
      </c>
    </row>
    <row r="93" spans="1:35" x14ac:dyDescent="0.35">
      <c r="A93" s="11"/>
      <c r="B93" s="11"/>
      <c r="C93" s="208"/>
      <c r="D93" s="11"/>
      <c r="E93" s="11"/>
      <c r="F93" s="11"/>
      <c r="G93" s="490">
        <f>COUNTIF(O94:AI94,FALSE)</f>
        <v>0</v>
      </c>
      <c r="H93" s="88"/>
      <c r="I93" s="122"/>
      <c r="J93" s="122"/>
      <c r="K93" s="90"/>
      <c r="L93" s="90"/>
      <c r="M93" s="90"/>
      <c r="N93" s="491" t="s">
        <v>345</v>
      </c>
      <c r="O93" s="497">
        <f t="shared" ref="O93:AA93" si="30">ROUND(IFERROR(O75/O76,0),2)</f>
        <v>0</v>
      </c>
      <c r="P93" s="498">
        <f t="shared" si="30"/>
        <v>47.01</v>
      </c>
      <c r="Q93" s="498">
        <f t="shared" si="30"/>
        <v>0</v>
      </c>
      <c r="R93" s="498">
        <f t="shared" si="30"/>
        <v>0</v>
      </c>
      <c r="S93" s="498">
        <f t="shared" si="30"/>
        <v>0</v>
      </c>
      <c r="T93" s="498">
        <f t="shared" si="30"/>
        <v>0</v>
      </c>
      <c r="U93" s="498">
        <f t="shared" si="30"/>
        <v>0</v>
      </c>
      <c r="V93" s="498">
        <f t="shared" si="30"/>
        <v>0</v>
      </c>
      <c r="W93" s="498">
        <f t="shared" si="30"/>
        <v>0</v>
      </c>
      <c r="X93" s="498">
        <f t="shared" si="30"/>
        <v>0</v>
      </c>
      <c r="Y93" s="498">
        <f t="shared" si="30"/>
        <v>0</v>
      </c>
      <c r="Z93" s="498">
        <f t="shared" si="30"/>
        <v>0</v>
      </c>
      <c r="AA93" s="498">
        <f t="shared" si="30"/>
        <v>47.01</v>
      </c>
      <c r="AB93" s="499"/>
      <c r="AC93" s="140"/>
      <c r="AD93" s="497">
        <f>ROUND(IFERROR(AD75/AD76,0),2)</f>
        <v>108.2</v>
      </c>
      <c r="AE93" s="498"/>
      <c r="AF93" s="159"/>
      <c r="AG93" s="497">
        <f>ROUND(IFERROR(AG75/AG76,0),2)</f>
        <v>0</v>
      </c>
      <c r="AH93" s="498"/>
      <c r="AI93" s="159"/>
    </row>
    <row r="94" spans="1:35" x14ac:dyDescent="0.35">
      <c r="A94" s="11"/>
      <c r="B94" s="11"/>
      <c r="C94" s="208"/>
      <c r="D94" s="11"/>
      <c r="E94" s="11"/>
      <c r="F94" s="11"/>
      <c r="G94" s="11"/>
      <c r="H94" s="88"/>
      <c r="I94" s="122"/>
      <c r="J94" s="122"/>
      <c r="K94" s="90"/>
      <c r="L94" s="90"/>
      <c r="M94" s="90"/>
      <c r="N94" s="53" t="s">
        <v>362</v>
      </c>
      <c r="O94" s="500" t="b">
        <f t="shared" ref="O94:AA94" si="31">ROUND(O77,2)=ROUND(O93,2)</f>
        <v>1</v>
      </c>
      <c r="P94" s="501" t="b">
        <f t="shared" si="31"/>
        <v>1</v>
      </c>
      <c r="Q94" s="501" t="b">
        <f t="shared" si="31"/>
        <v>1</v>
      </c>
      <c r="R94" s="501" t="b">
        <f t="shared" si="31"/>
        <v>1</v>
      </c>
      <c r="S94" s="501" t="b">
        <f t="shared" si="31"/>
        <v>1</v>
      </c>
      <c r="T94" s="501" t="b">
        <f t="shared" si="31"/>
        <v>1</v>
      </c>
      <c r="U94" s="501" t="b">
        <f t="shared" si="31"/>
        <v>1</v>
      </c>
      <c r="V94" s="501" t="b">
        <f t="shared" si="31"/>
        <v>1</v>
      </c>
      <c r="W94" s="501" t="b">
        <f t="shared" si="31"/>
        <v>1</v>
      </c>
      <c r="X94" s="501" t="b">
        <f t="shared" si="31"/>
        <v>1</v>
      </c>
      <c r="Y94" s="501" t="b">
        <f t="shared" si="31"/>
        <v>1</v>
      </c>
      <c r="Z94" s="501" t="b">
        <f t="shared" si="31"/>
        <v>1</v>
      </c>
      <c r="AA94" s="501" t="b">
        <f t="shared" si="31"/>
        <v>1</v>
      </c>
      <c r="AB94" s="502"/>
      <c r="AC94" s="503"/>
      <c r="AD94" s="500"/>
      <c r="AE94" s="501" t="b">
        <f>ROUND(AD77,2)=ROUND(AD93,2)</f>
        <v>1</v>
      </c>
      <c r="AF94" s="502"/>
      <c r="AG94" s="500"/>
      <c r="AH94" s="501" t="b">
        <f>ROUND(AG77,2)=ROUND(AG93,2)</f>
        <v>1</v>
      </c>
      <c r="AI94" s="502"/>
    </row>
    <row r="95" spans="1:35" x14ac:dyDescent="0.35">
      <c r="A95" s="11"/>
      <c r="B95" s="11"/>
      <c r="C95" s="208"/>
      <c r="D95" s="11"/>
      <c r="E95" s="11"/>
      <c r="F95" s="11"/>
      <c r="G95" s="11"/>
      <c r="H95" s="88" t="s">
        <v>350</v>
      </c>
      <c r="I95" s="122" t="str">
        <f>IF(_epmOfflineCondition_,"T5",_xll.EVPRO($B$1,$H95,"STYLE"))</f>
        <v>T5</v>
      </c>
      <c r="J95" s="122" t="str">
        <f>IF(_epmOfflineCondition_,"Y",_xll.EVPRO($B$1,$H95,"CALC"))</f>
        <v>Y</v>
      </c>
      <c r="K95" s="90"/>
      <c r="L95" s="90" t="str">
        <f>IF(_epmOfflineCondition_,"467100",_xll.EVPRO($B$1,H95,"JDEID"))</f>
        <v>467100</v>
      </c>
      <c r="M95" s="90" t="str">
        <f>IF(_epmOfflineCondition_,"",IF(AND(I95="N",J95="N"),_xll.EVPRO($B$1,H95,"PSFTID"),""))</f>
        <v/>
      </c>
      <c r="N95" s="90" t="str">
        <f>IF(_epmOfflineCondition_,"Mini Bar Food",IF(_xll.EVDES(H95,$B$1)="#NODATA","",_xll.EVDES(H95,$B$1)))</f>
        <v>Mini Bar Food</v>
      </c>
      <c r="O95" s="143">
        <v>6880.86</v>
      </c>
      <c r="P95" s="143">
        <v>6416.33</v>
      </c>
      <c r="Q95" s="143">
        <v>4662</v>
      </c>
      <c r="R95" s="143"/>
      <c r="S95" s="143">
        <v>-73</v>
      </c>
      <c r="T95" s="143">
        <v>247</v>
      </c>
      <c r="U95" s="143">
        <v>328</v>
      </c>
      <c r="V95" s="143">
        <v>982.5</v>
      </c>
      <c r="W95" s="143">
        <v>1064</v>
      </c>
      <c r="X95" s="143">
        <v>1624.1</v>
      </c>
      <c r="Y95" s="143">
        <v>884</v>
      </c>
      <c r="Z95" s="143">
        <v>645</v>
      </c>
      <c r="AA95" s="143">
        <f>SUM(O95:Z95)</f>
        <v>23660.789999999997</v>
      </c>
      <c r="AB95" s="144">
        <f>IF(AA95=0,"",IFERROR(AA95/AA$19,""))</f>
        <v>4.8100776992706873E-2</v>
      </c>
      <c r="AC95" s="140"/>
      <c r="AD95" s="143">
        <v>75464.3</v>
      </c>
      <c r="AE95" s="144">
        <f>IF(AD95=0,"",IFERROR(AD95/AD$19,""))</f>
        <v>2.7061840161381221E-2</v>
      </c>
      <c r="AF95" s="145">
        <f>IF(AND($AA95="",AD95=""),"",$AA95-AD95)</f>
        <v>-51803.510000000009</v>
      </c>
      <c r="AG95" s="143">
        <v>65688.17</v>
      </c>
      <c r="AH95" s="144">
        <f>IF(AG95=0,"",IFERROR(AG95/AG$19,""))</f>
        <v>8.1410480263456556E-2</v>
      </c>
      <c r="AI95" s="145">
        <f>IF(AND($AA95="",AG95=""),"",$AA95-AG95)</f>
        <v>-42027.380000000005</v>
      </c>
    </row>
    <row r="96" spans="1:35" x14ac:dyDescent="0.35">
      <c r="A96" s="11"/>
      <c r="B96" s="11"/>
      <c r="C96" s="208"/>
      <c r="D96" s="11"/>
      <c r="E96" s="11"/>
      <c r="F96" s="11"/>
      <c r="G96" s="11"/>
      <c r="H96" s="88" t="s">
        <v>351</v>
      </c>
      <c r="I96" s="122" t="str">
        <f>IF(_epmOfflineCondition_,"T5",_xll.EVPRO($B$1,$H96,"STYLE"))</f>
        <v>T5</v>
      </c>
      <c r="J96" s="122" t="str">
        <f>IF(_epmOfflineCondition_,"Y",_xll.EVPRO($B$1,$H96,"CALC"))</f>
        <v>Y</v>
      </c>
      <c r="K96" s="90"/>
      <c r="L96" s="90" t="str">
        <f>IF(_epmOfflineCondition_,"467200",_xll.EVPRO($B$1,H96,"JDEID"))</f>
        <v>467200</v>
      </c>
      <c r="M96" s="90" t="str">
        <f>IF(_epmOfflineCondition_,"",IF(AND(I96="N",J96="N"),_xll.EVPRO($B$1,H96,"PSFTID"),""))</f>
        <v/>
      </c>
      <c r="N96" s="90" t="str">
        <f>IF(_epmOfflineCondition_,"Mini Bar Beverage",IF(_xll.EVDES(H96,$B$1)="#NODATA","",_xll.EVDES(H96,$B$1)))</f>
        <v>Mini Bar Beverage</v>
      </c>
      <c r="O96" s="143">
        <v>3238</v>
      </c>
      <c r="P96" s="143">
        <v>5330</v>
      </c>
      <c r="Q96" s="143">
        <v>3203</v>
      </c>
      <c r="R96" s="143"/>
      <c r="S96" s="143">
        <v>-165</v>
      </c>
      <c r="T96" s="143">
        <v>664</v>
      </c>
      <c r="U96" s="143">
        <v>451.75</v>
      </c>
      <c r="V96" s="143">
        <v>2208</v>
      </c>
      <c r="W96" s="143">
        <v>2264</v>
      </c>
      <c r="X96" s="143">
        <v>3149</v>
      </c>
      <c r="Y96" s="143">
        <v>2144</v>
      </c>
      <c r="Z96" s="143">
        <v>2720</v>
      </c>
      <c r="AA96" s="143">
        <f>SUM(O96:Z96)</f>
        <v>25206.75</v>
      </c>
      <c r="AB96" s="144">
        <f>IF(AA96=0,"",IFERROR(AA96/AA$19,""))</f>
        <v>5.1243608538046027E-2</v>
      </c>
      <c r="AC96" s="140"/>
      <c r="AD96" s="143">
        <v>47420.1</v>
      </c>
      <c r="AE96" s="144">
        <f>IF(AD96=0,"",IFERROR(AD96/AD$19,""))</f>
        <v>1.7005062879225191E-2</v>
      </c>
      <c r="AF96" s="145">
        <f>IF(AND($AA96="",AD96=""),"",$AA96-AD96)</f>
        <v>-22213.35</v>
      </c>
      <c r="AG96" s="143">
        <v>39597</v>
      </c>
      <c r="AH96" s="144">
        <f>IF(AG96=0,"",IFERROR(AG96/AG$19,""))</f>
        <v>4.9074449584941851E-2</v>
      </c>
      <c r="AI96" s="145">
        <f>IF(AND($AA96="",AG96=""),"",$AA96-AG96)</f>
        <v>-14390.25</v>
      </c>
    </row>
    <row r="97" spans="1:35" x14ac:dyDescent="0.35">
      <c r="A97" s="11"/>
      <c r="B97" s="11"/>
      <c r="C97" s="208"/>
      <c r="D97" s="11"/>
      <c r="E97" s="11"/>
      <c r="F97" s="11"/>
      <c r="G97" s="11"/>
      <c r="H97" s="88" t="s">
        <v>363</v>
      </c>
      <c r="I97" s="122" t="str">
        <f>IF(_epmOfflineCondition_,"N",_xll.EVPRO($B$1,$H97,"STYLE"))</f>
        <v>N</v>
      </c>
      <c r="J97" s="122" t="str">
        <f>IF(_epmOfflineCondition_,"Y",_xll.EVPRO($B$1,$H97,"CALC"))</f>
        <v>Y</v>
      </c>
      <c r="K97" s="90"/>
      <c r="L97" s="90" t="str">
        <f>IF(_epmOfflineCondition_,"",_xll.EVPRO($B$1,H97,"JDEID"))</f>
        <v/>
      </c>
      <c r="M97" s="90" t="str">
        <f>IF(_epmOfflineCondition_,"",IF(AND(I97="N",J97="N"),_xll.EVPRO($B$1,H97,"PSFTID"),""))</f>
        <v/>
      </c>
      <c r="N97" s="106" t="str">
        <f>IF(_epmOfflineCondition_,"Mini Bar F&amp;B Revenue",IF(_xll.EVDES(H97,$B$1)="#NODATA","",_xll.EVDES(H97,$B$1)))</f>
        <v>Mini Bar F&amp;B Revenue</v>
      </c>
      <c r="O97" s="166">
        <v>10118.86</v>
      </c>
      <c r="P97" s="166">
        <v>11746.33</v>
      </c>
      <c r="Q97" s="166">
        <v>7865</v>
      </c>
      <c r="R97" s="166"/>
      <c r="S97" s="166">
        <v>-238</v>
      </c>
      <c r="T97" s="166">
        <v>911</v>
      </c>
      <c r="U97" s="166">
        <v>779.75</v>
      </c>
      <c r="V97" s="166">
        <v>3190.5</v>
      </c>
      <c r="W97" s="166">
        <v>3328</v>
      </c>
      <c r="X97" s="166">
        <v>4773.1000000000004</v>
      </c>
      <c r="Y97" s="166">
        <v>3028</v>
      </c>
      <c r="Z97" s="166">
        <v>3365</v>
      </c>
      <c r="AA97" s="166">
        <f>SUM(O97:Z97)</f>
        <v>48867.54</v>
      </c>
      <c r="AB97" s="167">
        <f>IF(AA97=0,"",IFERROR(AA97/AA$19,""))</f>
        <v>9.9344385530752907E-2</v>
      </c>
      <c r="AC97" s="140"/>
      <c r="AD97" s="166">
        <v>122884.4</v>
      </c>
      <c r="AE97" s="167">
        <f>IF(AD97=0,"",IFERROR(AD97/AD$19,""))</f>
        <v>4.4066903040606405E-2</v>
      </c>
      <c r="AF97" s="168">
        <f>IF(AND($AA97="",AD97=""),"",$AA97-AD97)</f>
        <v>-74016.859999999986</v>
      </c>
      <c r="AG97" s="166">
        <v>105285.17</v>
      </c>
      <c r="AH97" s="167">
        <f>IF(AG97=0,"",IFERROR(AG97/AG$19,""))</f>
        <v>0.13048492984839841</v>
      </c>
      <c r="AI97" s="168">
        <f>IF(AND($AA97="",AG97=""),"",$AA97-AG97)</f>
        <v>-56417.63</v>
      </c>
    </row>
    <row r="98" spans="1:35" x14ac:dyDescent="0.35">
      <c r="A98" s="11"/>
      <c r="B98" s="11"/>
      <c r="C98" s="208"/>
      <c r="D98" s="11"/>
      <c r="E98" s="11"/>
      <c r="F98" s="11"/>
      <c r="G98" s="11"/>
      <c r="H98" s="88"/>
      <c r="I98" s="122"/>
      <c r="J98" s="122"/>
      <c r="K98" s="90"/>
      <c r="L98" s="90"/>
      <c r="M98" s="90"/>
      <c r="N98" s="491"/>
      <c r="O98" s="504"/>
      <c r="P98" s="505"/>
      <c r="Q98" s="505"/>
      <c r="R98" s="505"/>
      <c r="S98" s="505"/>
      <c r="T98" s="505"/>
      <c r="U98" s="505"/>
      <c r="V98" s="505"/>
      <c r="W98" s="505"/>
      <c r="X98" s="505"/>
      <c r="Y98" s="505"/>
      <c r="Z98" s="505"/>
      <c r="AA98" s="505"/>
      <c r="AB98" s="506"/>
      <c r="AC98" s="140"/>
      <c r="AD98" s="504"/>
      <c r="AE98" s="505"/>
      <c r="AF98" s="165"/>
      <c r="AG98" s="504"/>
      <c r="AH98" s="505"/>
      <c r="AI98" s="165"/>
    </row>
    <row r="99" spans="1:35" x14ac:dyDescent="0.35">
      <c r="A99" s="11"/>
      <c r="B99" s="11"/>
      <c r="C99" s="208"/>
      <c r="D99" s="11"/>
      <c r="E99" s="11"/>
      <c r="F99" s="11"/>
      <c r="G99" s="11"/>
      <c r="H99" s="88" t="s">
        <v>486</v>
      </c>
      <c r="I99" s="122" t="str">
        <f>IF(_epmOfflineCondition_,"T5",_xll.EVPRO($B$1,$H99,"STYLE"))</f>
        <v>T5</v>
      </c>
      <c r="J99" s="122" t="str">
        <f>IF(_epmOfflineCondition_,"Y",_xll.EVPRO($B$1,$H99,"CALC"))</f>
        <v>Y</v>
      </c>
      <c r="K99" s="90"/>
      <c r="L99" s="90" t="str">
        <f>IF(_epmOfflineCondition_,"",_xll.EVPRO($B$1,H99,"JDEID"))</f>
        <v/>
      </c>
      <c r="M99" s="90" t="str">
        <f>IF(_epmOfflineCondition_,"",IF(AND(I99="N",J99="N"),_xll.EVPRO($B$1,H99,"PSFTID"),""))</f>
        <v/>
      </c>
      <c r="N99" s="90" t="str">
        <f>IF(_epmOfflineCondition_,"Food &amp; Beverage: Allowances",IF(_xll.EVDES(H99,$B$1)="#NODATA","",_xll.EVDES(H99,$B$1)))</f>
        <v>Food &amp; Beverage: Allowances</v>
      </c>
      <c r="O99" s="143">
        <v>-24.89</v>
      </c>
      <c r="P99" s="143">
        <v>-517.94000000000005</v>
      </c>
      <c r="Q99" s="143">
        <v>-442.52</v>
      </c>
      <c r="R99" s="143"/>
      <c r="S99" s="143"/>
      <c r="T99" s="143"/>
      <c r="U99" s="143"/>
      <c r="V99" s="143"/>
      <c r="W99" s="143">
        <v>-69.349999999999994</v>
      </c>
      <c r="X99" s="143">
        <v>-105.72</v>
      </c>
      <c r="Y99" s="143">
        <v>-33.020000000000003</v>
      </c>
      <c r="Z99" s="143"/>
      <c r="AA99" s="143">
        <f>SUM(O99:Z99)</f>
        <v>-1193.44</v>
      </c>
      <c r="AB99" s="144">
        <f>IF(AA99=0,"",IFERROR(AA99/AA$19,""))</f>
        <v>-2.4261823588382341E-3</v>
      </c>
      <c r="AC99" s="140"/>
      <c r="AD99" s="143"/>
      <c r="AE99" s="144" t="str">
        <f>IF(AD99=0,"",IFERROR(AD99/AD$19,""))</f>
        <v/>
      </c>
      <c r="AF99" s="145">
        <f>IF(AND($AA99="",AD99=""),"",$AA99-AD99)</f>
        <v>-1193.44</v>
      </c>
      <c r="AG99" s="143">
        <v>-1216.53</v>
      </c>
      <c r="AH99" s="144">
        <f>IF(AG99=0,"",IFERROR(AG99/AG$19,""))</f>
        <v>-1.5077036177884512E-3</v>
      </c>
      <c r="AI99" s="145">
        <f>IF(AND($AA99="",AG99=""),"",$AA99-AG99)</f>
        <v>23.089999999999918</v>
      </c>
    </row>
    <row r="100" spans="1:35" x14ac:dyDescent="0.35">
      <c r="A100" s="11"/>
      <c r="B100" s="11"/>
      <c r="C100" s="208"/>
      <c r="D100" s="11"/>
      <c r="E100" s="11"/>
      <c r="F100" s="11"/>
      <c r="G100" s="11"/>
      <c r="H100" s="185"/>
      <c r="I100" s="122"/>
      <c r="J100" s="122"/>
      <c r="K100" s="11"/>
      <c r="L100" s="90"/>
      <c r="M100" s="90"/>
      <c r="N100" s="53" t="s">
        <v>348</v>
      </c>
      <c r="O100" s="162"/>
      <c r="P100" s="163"/>
      <c r="Q100" s="163"/>
      <c r="R100" s="163"/>
      <c r="S100" s="163"/>
      <c r="T100" s="163"/>
      <c r="U100" s="163"/>
      <c r="V100" s="163"/>
      <c r="W100" s="163"/>
      <c r="X100" s="163"/>
      <c r="Y100" s="163"/>
      <c r="Z100" s="163"/>
      <c r="AA100" s="163"/>
      <c r="AB100" s="164"/>
      <c r="AC100" s="140"/>
      <c r="AD100" s="162"/>
      <c r="AE100" s="163"/>
      <c r="AF100" s="164"/>
      <c r="AG100" s="162"/>
      <c r="AH100" s="163"/>
      <c r="AI100" s="164"/>
    </row>
    <row r="101" spans="1:35" x14ac:dyDescent="0.35">
      <c r="A101" s="11"/>
      <c r="B101" s="11"/>
      <c r="C101" s="208"/>
      <c r="D101" s="11"/>
      <c r="E101" s="11"/>
      <c r="F101" s="11"/>
      <c r="G101" s="11"/>
      <c r="H101" s="185"/>
      <c r="I101" s="122"/>
      <c r="J101" s="122"/>
      <c r="K101" s="11"/>
      <c r="L101" s="90"/>
      <c r="M101" s="90"/>
      <c r="N101" s="53"/>
      <c r="O101" s="162"/>
      <c r="P101" s="163"/>
      <c r="Q101" s="163"/>
      <c r="R101" s="163"/>
      <c r="S101" s="163"/>
      <c r="T101" s="163"/>
      <c r="U101" s="163"/>
      <c r="V101" s="163"/>
      <c r="W101" s="163"/>
      <c r="X101" s="163"/>
      <c r="Y101" s="163"/>
      <c r="Z101" s="163"/>
      <c r="AA101" s="163"/>
      <c r="AB101" s="164"/>
      <c r="AC101" s="140"/>
      <c r="AD101" s="162"/>
      <c r="AE101" s="163"/>
      <c r="AF101" s="164"/>
      <c r="AG101" s="162"/>
      <c r="AH101" s="163"/>
      <c r="AI101" s="164"/>
    </row>
    <row r="102" spans="1:35" x14ac:dyDescent="0.35">
      <c r="A102" s="11"/>
      <c r="B102" s="11"/>
      <c r="C102" s="208"/>
      <c r="D102" s="11"/>
      <c r="E102" s="11"/>
      <c r="F102" s="11"/>
      <c r="G102" s="11"/>
      <c r="H102" s="185" t="s">
        <v>273</v>
      </c>
      <c r="I102" s="122" t="str">
        <f>IF(_epmOfflineCondition_,"T4",_xll.EVPRO($B$1,$H102,"STYLE"))</f>
        <v>T4</v>
      </c>
      <c r="J102" s="122" t="str">
        <f>IF(_epmOfflineCondition_,"Y",_xll.EVPRO($B$1,$H102,"CALC"))</f>
        <v>Y</v>
      </c>
      <c r="K102" s="11"/>
      <c r="L102" s="90" t="str">
        <f>IF(_epmOfflineCondition_,"",_xll.EVPRO($B$1,H102,"JDEID"))</f>
        <v/>
      </c>
      <c r="M102" s="90" t="str">
        <f>IF(_epmOfflineCondition_,"",IF(AND(I102="N",J102="N"),_xll.EVPRO($B$1,H102,"PSFTID"),""))</f>
        <v/>
      </c>
      <c r="N102" s="90" t="str">
        <f>IF(_epmOfflineCondition_,"Total Food &amp; Beverage Revenue",IF(_xll.EVDES(H102,$B$1)="#NODATA","",_xll.EVDES(H102,$B$1)))</f>
        <v>Total Food &amp; Beverage Revenue</v>
      </c>
      <c r="O102" s="507">
        <v>144287.29</v>
      </c>
      <c r="P102" s="507">
        <v>176498.6</v>
      </c>
      <c r="Q102" s="507">
        <v>66631.06</v>
      </c>
      <c r="R102" s="507"/>
      <c r="S102" s="507">
        <v>-11377.03</v>
      </c>
      <c r="T102" s="507">
        <v>911</v>
      </c>
      <c r="U102" s="507">
        <v>4224.75</v>
      </c>
      <c r="V102" s="507">
        <v>8442.5</v>
      </c>
      <c r="W102" s="507">
        <v>13347.45</v>
      </c>
      <c r="X102" s="507">
        <v>21943.96</v>
      </c>
      <c r="Y102" s="507">
        <v>23259.19</v>
      </c>
      <c r="Z102" s="507">
        <v>43731.6</v>
      </c>
      <c r="AA102" s="507">
        <f>SUM(O102:Z102)</f>
        <v>491900.37</v>
      </c>
      <c r="AB102" s="508">
        <f>IF(AA102=0,"",IFERROR(AA102/AA$19,""))</f>
        <v>1</v>
      </c>
      <c r="AC102" s="140"/>
      <c r="AD102" s="507">
        <v>2788587.16</v>
      </c>
      <c r="AE102" s="508">
        <f>IF(AD102=0,"",IFERROR(AD102/AD$19,""))</f>
        <v>1</v>
      </c>
      <c r="AF102" s="509">
        <f>IF(AND($AA102="",AD102=""),"",$AA102-AD102)</f>
        <v>-2296686.79</v>
      </c>
      <c r="AG102" s="507">
        <v>806876.09</v>
      </c>
      <c r="AH102" s="508">
        <f>IF(AG102=0,"",IFERROR(AG102/AG$19,""))</f>
        <v>1</v>
      </c>
      <c r="AI102" s="509">
        <f>IF(AND($AA102="",AG102=""),"",$AA102-AG102)</f>
        <v>-314975.71999999997</v>
      </c>
    </row>
    <row r="103" spans="1:35" x14ac:dyDescent="0.35">
      <c r="A103" s="11"/>
      <c r="B103" s="11"/>
      <c r="C103" s="208"/>
      <c r="D103" s="11"/>
      <c r="E103" s="11"/>
      <c r="F103" s="11"/>
      <c r="G103" s="11"/>
      <c r="H103" s="185" t="s">
        <v>767</v>
      </c>
      <c r="I103" s="122" t="str">
        <f>IF(_epmOfflineCondition_,"N",_xll.EVPRO($B$1,$H103,"STYLE"))</f>
        <v>N</v>
      </c>
      <c r="J103" s="122" t="str">
        <f>IF(_epmOfflineCondition_,"N",_xll.EVPRO($B$1,$H103,"CALC"))</f>
        <v>N</v>
      </c>
      <c r="K103" s="11"/>
      <c r="L103" s="90" t="str">
        <f>IF(_epmOfflineCondition_,"947500",_xll.EVPRO($B$1,H103,"JDEID"))</f>
        <v>947500</v>
      </c>
      <c r="M103" s="90" t="str">
        <f>IF(_epmOfflineCondition_,"991552",IF(AND(I103="N",J103="N"),_xll.EVPRO($B$1,H103,"PSFTID"),""))</f>
        <v>991552</v>
      </c>
      <c r="N103" s="90" t="str">
        <f>IF(_epmOfflineCondition_,"# of Seats in Outlet",IF(_xll.EVDES(H103,$B$1)="#NODATA","",_xll.EVDES(H103,$B$1)))</f>
        <v># of Seats in Outlet</v>
      </c>
      <c r="O103" s="507">
        <v>143</v>
      </c>
      <c r="P103" s="507">
        <v>143</v>
      </c>
      <c r="Q103" s="507">
        <v>143</v>
      </c>
      <c r="R103" s="507"/>
      <c r="S103" s="507"/>
      <c r="T103" s="507"/>
      <c r="U103" s="507">
        <v>143</v>
      </c>
      <c r="V103" s="507">
        <v>143</v>
      </c>
      <c r="W103" s="507">
        <v>143</v>
      </c>
      <c r="X103" s="507"/>
      <c r="Y103" s="507"/>
      <c r="Z103" s="507">
        <v>115</v>
      </c>
      <c r="AA103" s="507">
        <f>SUM(O103:Z103)</f>
        <v>973</v>
      </c>
      <c r="AB103" s="508"/>
      <c r="AC103" s="140"/>
      <c r="AD103" s="507"/>
      <c r="AE103" s="508"/>
      <c r="AF103" s="509">
        <f>IF(AND($AA103="",AD103=""),"",$AA103-AD103)</f>
        <v>973</v>
      </c>
      <c r="AG103" s="507">
        <v>208</v>
      </c>
      <c r="AH103" s="508"/>
      <c r="AI103" s="509">
        <f>IF(AND($AA103="",AG103=""),"",$AA103-AG103)</f>
        <v>765</v>
      </c>
    </row>
    <row r="104" spans="1:35" x14ac:dyDescent="0.35">
      <c r="A104" s="11"/>
      <c r="B104" s="11"/>
      <c r="C104" s="208"/>
      <c r="D104" s="11"/>
      <c r="E104" s="11"/>
      <c r="F104" s="11"/>
      <c r="G104" s="11"/>
      <c r="H104" s="185" t="s">
        <v>331</v>
      </c>
      <c r="I104" s="122" t="str">
        <f>IF(_epmOfflineCondition_,"T2",_xll.EVPRO($B$1,$H104,"STYLE"))</f>
        <v>T2</v>
      </c>
      <c r="J104" s="122" t="str">
        <f>IF(_epmOfflineCondition_,"Y",_xll.EVPRO($B$1,$H104,"CALC"))</f>
        <v>Y</v>
      </c>
      <c r="K104" s="11"/>
      <c r="L104" s="90" t="str">
        <f>IF(_epmOfflineCondition_,"946000",_xll.EVPRO($B$1,H104,"JDEID"))</f>
        <v>946000</v>
      </c>
      <c r="M104" s="90" t="str">
        <f>IF(_epmOfflineCondition_,"",IF(AND(I104="N",J104="N"),_xll.EVPRO($B$1,H104,"PSFTID"),""))</f>
        <v/>
      </c>
      <c r="N104" s="90" t="str">
        <f>IF(_epmOfflineCondition_,"Total Customers (excl Mini Bar)",IF(_xll.EVDES(H104,$B$1)="#NODATA","",_xll.EVDES(H104,$B$1))&amp;" (excl Mini Bar)")</f>
        <v>Total Customers (excl Mini Bar)</v>
      </c>
      <c r="O104" s="507">
        <v>4800</v>
      </c>
      <c r="P104" s="507">
        <v>5941</v>
      </c>
      <c r="Q104" s="507">
        <v>2430</v>
      </c>
      <c r="R104" s="507"/>
      <c r="S104" s="507">
        <v>-280</v>
      </c>
      <c r="T104" s="507"/>
      <c r="U104" s="507">
        <v>191</v>
      </c>
      <c r="V104" s="507">
        <v>269</v>
      </c>
      <c r="W104" s="507">
        <v>269</v>
      </c>
      <c r="X104" s="507">
        <v>961</v>
      </c>
      <c r="Y104" s="507">
        <v>970</v>
      </c>
      <c r="Z104" s="507">
        <v>1641</v>
      </c>
      <c r="AA104" s="507">
        <f>SUM(O104:Z104)</f>
        <v>17192</v>
      </c>
      <c r="AB104" s="508">
        <f>IF(AA104=0,"",IFERROR(AA104/AA$20,""))</f>
        <v>1</v>
      </c>
      <c r="AC104" s="140"/>
      <c r="AD104" s="507">
        <v>78176</v>
      </c>
      <c r="AE104" s="508">
        <f>IF(AD104=0,"",IFERROR(AD104/AD$20,""))</f>
        <v>1</v>
      </c>
      <c r="AF104" s="509">
        <f>IF(AND($AA104="",AD104=""),"",$AA104-AD104)</f>
        <v>-60984</v>
      </c>
      <c r="AG104" s="507">
        <v>34231</v>
      </c>
      <c r="AH104" s="508">
        <f>IF(AG104=0,"",IFERROR(AG104/AG$20,""))</f>
        <v>1</v>
      </c>
      <c r="AI104" s="509">
        <f>IF(AND($AA104="",AG104=""),"",$AA104-AG104)</f>
        <v>-17039</v>
      </c>
    </row>
    <row r="105" spans="1:35" x14ac:dyDescent="0.35">
      <c r="A105" s="11"/>
      <c r="B105" s="11"/>
      <c r="C105" s="208"/>
      <c r="D105" s="11"/>
      <c r="E105" s="11"/>
      <c r="F105" s="11"/>
      <c r="G105" s="11"/>
      <c r="H105" s="185" t="s">
        <v>311</v>
      </c>
      <c r="I105" s="122" t="str">
        <f>IF(_epmOfflineCondition_,"N",_xll.EVPRO($B$1,$H105,"STYLE"))</f>
        <v>N</v>
      </c>
      <c r="J105" s="122" t="str">
        <f>IF(_epmOfflineCondition_,"Y",_xll.EVPRO($B$1,$H105,"CALC"))</f>
        <v>Y</v>
      </c>
      <c r="K105" s="11"/>
      <c r="L105" s="90"/>
      <c r="M105" s="90"/>
      <c r="N105" s="90" t="str">
        <f>IF(_epmOfflineCondition_,"Total Average Check (excl Mini Bar)",IF(_xll.EVDES(H105,$B$1)="#NODATA","",_xll.EVDES(H105,$B$1))&amp;" (excl Mini Bar)")</f>
        <v>Total Average Check (excl Mini Bar)</v>
      </c>
      <c r="O105" s="495">
        <v>27.951756249999999</v>
      </c>
      <c r="P105" s="495">
        <v>27.731403804073398</v>
      </c>
      <c r="Q105" s="495">
        <v>24.1835637860082</v>
      </c>
      <c r="R105" s="495"/>
      <c r="S105" s="495">
        <v>39.782249999999998</v>
      </c>
      <c r="T105" s="495"/>
      <c r="U105" s="495">
        <v>18.0366492146597</v>
      </c>
      <c r="V105" s="495">
        <v>19.524163568773201</v>
      </c>
      <c r="W105" s="495">
        <v>37.247026022304802</v>
      </c>
      <c r="X105" s="495">
        <v>17.867700312174801</v>
      </c>
      <c r="Y105" s="495">
        <v>20.856896907216498</v>
      </c>
      <c r="Z105" s="495">
        <v>24.5987812309567</v>
      </c>
      <c r="AA105" s="495">
        <f>IFERROR(AA102/AA104,"")</f>
        <v>28.612166705444391</v>
      </c>
      <c r="AB105" s="495"/>
      <c r="AC105" s="140"/>
      <c r="AD105" s="495">
        <v>34.098735673352401</v>
      </c>
      <c r="AE105" s="495"/>
      <c r="AF105" s="496">
        <f>IF(AND($AA105="",AD105=""),"",$AA105-AD105)</f>
        <v>-5.4865689679080099</v>
      </c>
      <c r="AG105" s="495">
        <v>20.495776343080799</v>
      </c>
      <c r="AH105" s="495"/>
      <c r="AI105" s="496">
        <f>IF(AND($AA105="",AG105=""),"",$AA105-AG105)</f>
        <v>8.1163903623635925</v>
      </c>
    </row>
    <row r="106" spans="1:35" x14ac:dyDescent="0.35">
      <c r="A106" s="11"/>
      <c r="B106" s="11"/>
      <c r="C106" s="208"/>
      <c r="D106" s="11"/>
      <c r="E106" s="11"/>
      <c r="F106" s="11"/>
      <c r="G106" s="11"/>
      <c r="H106" s="185"/>
      <c r="I106" s="122"/>
      <c r="J106" s="122"/>
      <c r="K106" s="11"/>
      <c r="L106" s="90"/>
      <c r="M106" s="90"/>
      <c r="N106" s="90"/>
      <c r="O106" s="174"/>
      <c r="P106" s="175"/>
      <c r="Q106" s="175"/>
      <c r="R106" s="175"/>
      <c r="S106" s="175"/>
      <c r="T106" s="175"/>
      <c r="U106" s="175"/>
      <c r="V106" s="175"/>
      <c r="W106" s="175"/>
      <c r="X106" s="175"/>
      <c r="Y106" s="175"/>
      <c r="Z106" s="175"/>
      <c r="AA106" s="175"/>
      <c r="AB106" s="176"/>
      <c r="AC106" s="140"/>
      <c r="AD106" s="174"/>
      <c r="AE106" s="175"/>
      <c r="AF106" s="176"/>
      <c r="AG106" s="174"/>
      <c r="AH106" s="175"/>
      <c r="AI106" s="176"/>
    </row>
    <row r="107" spans="1:35" x14ac:dyDescent="0.35">
      <c r="A107" s="11"/>
      <c r="B107" s="11"/>
      <c r="C107" s="208"/>
      <c r="D107" s="11"/>
      <c r="E107" s="11"/>
      <c r="F107" s="11"/>
      <c r="G107" s="11"/>
      <c r="H107" s="185"/>
      <c r="I107" s="122"/>
      <c r="J107" s="122"/>
      <c r="K107" s="11"/>
      <c r="L107" s="90"/>
      <c r="M107" s="90"/>
      <c r="N107" s="53" t="s">
        <v>334</v>
      </c>
      <c r="O107" s="162"/>
      <c r="P107" s="163"/>
      <c r="Q107" s="163"/>
      <c r="R107" s="163"/>
      <c r="S107" s="163"/>
      <c r="T107" s="163"/>
      <c r="U107" s="163"/>
      <c r="V107" s="163"/>
      <c r="W107" s="163"/>
      <c r="X107" s="163"/>
      <c r="Y107" s="163"/>
      <c r="Z107" s="163"/>
      <c r="AA107" s="163"/>
      <c r="AB107" s="164"/>
      <c r="AC107" s="140"/>
      <c r="AD107" s="162"/>
      <c r="AE107" s="163"/>
      <c r="AF107" s="164"/>
      <c r="AG107" s="162"/>
      <c r="AH107" s="163"/>
      <c r="AI107" s="164"/>
    </row>
    <row r="108" spans="1:35" hidden="1" outlineLevel="1" x14ac:dyDescent="0.35">
      <c r="A108" s="11"/>
      <c r="B108" s="11"/>
      <c r="C108" s="208"/>
      <c r="D108" s="11"/>
      <c r="E108" s="11"/>
      <c r="F108" s="11"/>
      <c r="G108" s="11"/>
      <c r="H108" s="185" t="s">
        <v>332</v>
      </c>
      <c r="I108" s="122" t="str">
        <f>IF(_epmOfflineCondition_,"T4",_xll.EVPRO($B$1,$H108,"STYLE"))</f>
        <v>T4</v>
      </c>
      <c r="J108" s="122" t="str">
        <f>IF(_epmOfflineCondition_,"Y",_xll.EVPRO($B$1,$H108,"CALC"))</f>
        <v>Y</v>
      </c>
      <c r="K108" s="11"/>
      <c r="L108" s="90"/>
      <c r="M108" s="90"/>
      <c r="N108" s="90" t="str">
        <f>IF(_epmOfflineCondition_,"F&amp;B Kitchen - THW",IF(_xll.EVDES(H108,$B$1)="#NODATA","",_xll.EVDES(H108,$B$1)))</f>
        <v>F&amp;B Kitchen - THW</v>
      </c>
      <c r="O108" s="143">
        <v>944.25</v>
      </c>
      <c r="P108" s="143">
        <v>1036.25</v>
      </c>
      <c r="Q108" s="143">
        <v>496.25</v>
      </c>
      <c r="R108" s="143"/>
      <c r="S108" s="143"/>
      <c r="T108" s="143"/>
      <c r="U108" s="143"/>
      <c r="V108" s="143"/>
      <c r="W108" s="143"/>
      <c r="X108" s="143">
        <v>116</v>
      </c>
      <c r="Y108" s="143">
        <v>321.5</v>
      </c>
      <c r="Z108" s="143">
        <v>466.5</v>
      </c>
      <c r="AA108" s="143">
        <f>SUM(O108:Z108)</f>
        <v>3380.75</v>
      </c>
      <c r="AB108" s="144"/>
      <c r="AC108" s="140"/>
      <c r="AD108" s="143">
        <v>19100.714285714101</v>
      </c>
      <c r="AE108" s="144"/>
      <c r="AF108" s="145">
        <f>IF(AND($AA108="",AD108=""),"",$AA108-AD108)</f>
        <v>-15719.964285714101</v>
      </c>
      <c r="AG108" s="143">
        <v>8905.7900000000009</v>
      </c>
      <c r="AH108" s="144"/>
      <c r="AI108" s="145">
        <f>IF(AND($AA108="",AG108=""),"",$AA108-AG108)</f>
        <v>-5525.0400000000009</v>
      </c>
    </row>
    <row r="109" spans="1:35" hidden="1" outlineLevel="1" x14ac:dyDescent="0.35">
      <c r="A109" s="11"/>
      <c r="B109" s="11"/>
      <c r="C109" s="208"/>
      <c r="D109" s="11"/>
      <c r="E109" s="11"/>
      <c r="F109" s="11"/>
      <c r="G109" s="11"/>
      <c r="H109" s="185" t="s">
        <v>333</v>
      </c>
      <c r="I109" s="122" t="str">
        <f>IF(_epmOfflineCondition_,"T4",_xll.EVPRO($B$1,$H109,"STYLE"))</f>
        <v>T4</v>
      </c>
      <c r="J109" s="122" t="str">
        <f>IF(_epmOfflineCondition_,"Y",_xll.EVPRO($B$1,$H109,"CALC"))</f>
        <v>Y</v>
      </c>
      <c r="K109" s="11"/>
      <c r="L109" s="90"/>
      <c r="M109" s="90"/>
      <c r="N109" s="90" t="str">
        <f>IF(_epmOfflineCondition_,"F&amp;B Venues - THW",IF(_xll.EVDES(H109,$B$1)="#NODATA","",_xll.EVDES(H109,$B$1)))</f>
        <v>F&amp;B Venues - THW</v>
      </c>
      <c r="O109" s="143">
        <v>2841.48</v>
      </c>
      <c r="P109" s="143">
        <v>3233</v>
      </c>
      <c r="Q109" s="143">
        <v>1654</v>
      </c>
      <c r="R109" s="143"/>
      <c r="S109" s="143"/>
      <c r="T109" s="143">
        <v>8</v>
      </c>
      <c r="U109" s="143">
        <v>58.5</v>
      </c>
      <c r="V109" s="143">
        <v>6</v>
      </c>
      <c r="W109" s="143">
        <v>115.5</v>
      </c>
      <c r="X109" s="143">
        <v>172.75</v>
      </c>
      <c r="Y109" s="143">
        <v>210.3</v>
      </c>
      <c r="Z109" s="143">
        <v>410.25</v>
      </c>
      <c r="AA109" s="143">
        <f>SUM(O109:Z109)</f>
        <v>8709.7799999999988</v>
      </c>
      <c r="AB109" s="144"/>
      <c r="AC109" s="140"/>
      <c r="AD109" s="143">
        <v>31966.571428572101</v>
      </c>
      <c r="AE109" s="144"/>
      <c r="AF109" s="145">
        <f>IF(AND($AA109="",AD109=""),"",$AA109-AD109)</f>
        <v>-23256.791428572102</v>
      </c>
      <c r="AG109" s="143">
        <v>19679.849999999999</v>
      </c>
      <c r="AH109" s="144"/>
      <c r="AI109" s="145">
        <f>IF(AND($AA109="",AG109=""),"",$AA109-AG109)</f>
        <v>-10970.07</v>
      </c>
    </row>
    <row r="110" spans="1:35" collapsed="1" x14ac:dyDescent="0.35">
      <c r="A110" s="11"/>
      <c r="B110" s="11"/>
      <c r="C110" s="208"/>
      <c r="D110" s="11"/>
      <c r="E110" s="11"/>
      <c r="F110" s="11"/>
      <c r="G110" s="11"/>
      <c r="H110" s="185"/>
      <c r="I110" s="122"/>
      <c r="J110" s="122"/>
      <c r="K110" s="11"/>
      <c r="L110" s="90"/>
      <c r="M110" s="90"/>
      <c r="N110" s="104" t="s">
        <v>335</v>
      </c>
      <c r="O110" s="510">
        <f t="shared" ref="O110:AA110" si="32">IFERROR(O$104/O108,"")</f>
        <v>5.0833995234312948</v>
      </c>
      <c r="P110" s="510">
        <f t="shared" si="32"/>
        <v>5.7331724969843183</v>
      </c>
      <c r="Q110" s="510">
        <f t="shared" si="32"/>
        <v>4.896725440806045</v>
      </c>
      <c r="R110" s="510" t="str">
        <f t="shared" si="32"/>
        <v/>
      </c>
      <c r="S110" s="510" t="str">
        <f t="shared" si="32"/>
        <v/>
      </c>
      <c r="T110" s="510" t="str">
        <f t="shared" si="32"/>
        <v/>
      </c>
      <c r="U110" s="510" t="str">
        <f t="shared" si="32"/>
        <v/>
      </c>
      <c r="V110" s="510" t="str">
        <f t="shared" si="32"/>
        <v/>
      </c>
      <c r="W110" s="510" t="str">
        <f t="shared" si="32"/>
        <v/>
      </c>
      <c r="X110" s="510">
        <f t="shared" si="32"/>
        <v>8.2844827586206904</v>
      </c>
      <c r="Y110" s="510">
        <f t="shared" si="32"/>
        <v>3.0171073094867809</v>
      </c>
      <c r="Z110" s="510">
        <f t="shared" si="32"/>
        <v>3.517684887459807</v>
      </c>
      <c r="AA110" s="510">
        <f t="shared" si="32"/>
        <v>5.0852621459735268</v>
      </c>
      <c r="AB110" s="511"/>
      <c r="AC110" s="140"/>
      <c r="AD110" s="510">
        <f>IFERROR(AD$104/AD108,"")</f>
        <v>4.0928312329382246</v>
      </c>
      <c r="AE110" s="511"/>
      <c r="AF110" s="214">
        <f>IF(AND($AA110="",AD110=""),"",$AA110-AD110)</f>
        <v>0.99243091303530218</v>
      </c>
      <c r="AG110" s="510">
        <f>IFERROR(AG$104/AG108,"")</f>
        <v>3.8436792244146782</v>
      </c>
      <c r="AH110" s="511"/>
      <c r="AI110" s="214">
        <f>IF(AND($AA110="",AG110=""),"",$AA110-AG110)</f>
        <v>1.2415829215588485</v>
      </c>
    </row>
    <row r="111" spans="1:35" x14ac:dyDescent="0.35">
      <c r="A111" s="11"/>
      <c r="B111" s="11"/>
      <c r="C111" s="208"/>
      <c r="D111" s="11"/>
      <c r="E111" s="11"/>
      <c r="F111" s="11"/>
      <c r="G111" s="11"/>
      <c r="H111" s="185"/>
      <c r="I111" s="122"/>
      <c r="J111" s="122"/>
      <c r="K111" s="11"/>
      <c r="L111" s="90"/>
      <c r="M111" s="90"/>
      <c r="N111" s="104" t="s">
        <v>336</v>
      </c>
      <c r="O111" s="510">
        <f t="shared" ref="O111:AA111" si="33">IFERROR(O$104/O109,"")</f>
        <v>1.6892605262046538</v>
      </c>
      <c r="P111" s="510">
        <f t="shared" si="33"/>
        <v>1.8376121249613362</v>
      </c>
      <c r="Q111" s="510">
        <f t="shared" si="33"/>
        <v>1.4691656590084643</v>
      </c>
      <c r="R111" s="510" t="str">
        <f t="shared" si="33"/>
        <v/>
      </c>
      <c r="S111" s="510" t="str">
        <f t="shared" si="33"/>
        <v/>
      </c>
      <c r="T111" s="510">
        <f t="shared" si="33"/>
        <v>0</v>
      </c>
      <c r="U111" s="510">
        <f t="shared" si="33"/>
        <v>3.2649572649572649</v>
      </c>
      <c r="V111" s="510">
        <f t="shared" si="33"/>
        <v>44.833333333333336</v>
      </c>
      <c r="W111" s="510">
        <f t="shared" si="33"/>
        <v>2.329004329004329</v>
      </c>
      <c r="X111" s="510">
        <f t="shared" si="33"/>
        <v>5.5629522431259044</v>
      </c>
      <c r="Y111" s="510">
        <f t="shared" si="33"/>
        <v>4.61245839277223</v>
      </c>
      <c r="Z111" s="510">
        <f t="shared" si="33"/>
        <v>4</v>
      </c>
      <c r="AA111" s="510">
        <f t="shared" si="33"/>
        <v>1.9738730484581704</v>
      </c>
      <c r="AB111" s="511"/>
      <c r="AC111" s="140"/>
      <c r="AD111" s="510">
        <f>IFERROR(AD$104/AD109,"")</f>
        <v>2.4455547312817338</v>
      </c>
      <c r="AE111" s="511"/>
      <c r="AF111" s="214">
        <f>IF(AND($AA111="",AD111=""),"",$AA111-AD111)</f>
        <v>-0.47168168282356349</v>
      </c>
      <c r="AG111" s="510">
        <f>IFERROR(AG$104/AG109,"")</f>
        <v>1.7393933388719935</v>
      </c>
      <c r="AH111" s="511"/>
      <c r="AI111" s="214">
        <f>IF(AND($AA111="",AG111=""),"",$AA111-AG111)</f>
        <v>0.23447970958617681</v>
      </c>
    </row>
    <row r="112" spans="1:35" x14ac:dyDescent="0.35">
      <c r="A112" s="11"/>
      <c r="B112" s="11"/>
      <c r="C112" s="208"/>
      <c r="D112" s="11"/>
      <c r="E112" s="11"/>
      <c r="F112" s="11"/>
      <c r="G112" s="11"/>
      <c r="H112" s="185"/>
      <c r="I112" s="122"/>
      <c r="J112" s="122"/>
      <c r="K112" s="11"/>
      <c r="L112" s="90"/>
      <c r="M112" s="90"/>
      <c r="N112" s="90"/>
      <c r="O112" s="512"/>
      <c r="P112" s="513"/>
      <c r="Q112" s="513"/>
      <c r="R112" s="513"/>
      <c r="S112" s="513"/>
      <c r="T112" s="513"/>
      <c r="U112" s="513"/>
      <c r="V112" s="513"/>
      <c r="W112" s="513"/>
      <c r="X112" s="513"/>
      <c r="Y112" s="513"/>
      <c r="Z112" s="513"/>
      <c r="AA112" s="513"/>
      <c r="AB112" s="161"/>
      <c r="AC112" s="140"/>
      <c r="AD112" s="514"/>
      <c r="AE112" s="459"/>
      <c r="AF112" s="161"/>
      <c r="AG112" s="459"/>
      <c r="AH112" s="459"/>
      <c r="AI112" s="161"/>
    </row>
    <row r="113" spans="1:35" x14ac:dyDescent="0.35">
      <c r="A113" s="11"/>
      <c r="B113" s="11"/>
      <c r="C113" s="208"/>
      <c r="D113" s="11"/>
      <c r="E113" s="11"/>
      <c r="F113" s="11"/>
      <c r="G113" s="11"/>
      <c r="H113" s="185"/>
      <c r="I113" s="122"/>
      <c r="J113" s="122"/>
      <c r="K113" s="11"/>
      <c r="L113" s="90"/>
      <c r="M113" s="90"/>
      <c r="N113" s="53" t="s">
        <v>343</v>
      </c>
      <c r="O113" s="514"/>
      <c r="P113" s="459"/>
      <c r="Q113" s="459"/>
      <c r="R113" s="459"/>
      <c r="S113" s="459"/>
      <c r="T113" s="459"/>
      <c r="U113" s="459"/>
      <c r="V113" s="459"/>
      <c r="W113" s="459"/>
      <c r="X113" s="459"/>
      <c r="Y113" s="459"/>
      <c r="Z113" s="459"/>
      <c r="AA113" s="459"/>
      <c r="AB113" s="515"/>
      <c r="AC113" s="140"/>
      <c r="AD113" s="516"/>
      <c r="AE113" s="517"/>
      <c r="AF113" s="161"/>
      <c r="AG113" s="459"/>
      <c r="AH113" s="517"/>
      <c r="AI113" s="161"/>
    </row>
    <row r="114" spans="1:35" x14ac:dyDescent="0.35">
      <c r="A114" s="11"/>
      <c r="B114" s="11"/>
      <c r="C114" s="208"/>
      <c r="D114" s="11"/>
      <c r="E114" s="11"/>
      <c r="F114" s="11"/>
      <c r="G114" s="11"/>
      <c r="H114" s="185"/>
      <c r="I114" s="122"/>
      <c r="J114" s="122"/>
      <c r="K114" s="11"/>
      <c r="L114" s="90"/>
      <c r="M114" s="90"/>
      <c r="N114" s="53" t="s">
        <v>337</v>
      </c>
      <c r="O114" s="162"/>
      <c r="P114" s="163"/>
      <c r="Q114" s="163"/>
      <c r="R114" s="163"/>
      <c r="S114" s="163"/>
      <c r="T114" s="163"/>
      <c r="U114" s="163"/>
      <c r="V114" s="163"/>
      <c r="W114" s="163"/>
      <c r="X114" s="163"/>
      <c r="Y114" s="163"/>
      <c r="Z114" s="163"/>
      <c r="AA114" s="163"/>
      <c r="AB114" s="164"/>
      <c r="AC114" s="140"/>
      <c r="AD114" s="162"/>
      <c r="AE114" s="163"/>
      <c r="AF114" s="164"/>
      <c r="AG114" s="163"/>
      <c r="AH114" s="163"/>
      <c r="AI114" s="164"/>
    </row>
    <row r="115" spans="1:35" x14ac:dyDescent="0.35">
      <c r="A115" s="11"/>
      <c r="B115" s="11"/>
      <c r="C115" s="208"/>
      <c r="D115" s="11"/>
      <c r="E115" s="11"/>
      <c r="F115" s="11"/>
      <c r="G115" s="11"/>
      <c r="H115" s="185" t="s">
        <v>294</v>
      </c>
      <c r="I115" s="122"/>
      <c r="J115" s="122"/>
      <c r="K115" s="11"/>
      <c r="L115" s="90" t="str">
        <f>IF(_epmOfflineCondition_,"461200",_xll.EVPRO($B$1,H115,"JDEID"))</f>
        <v>461200</v>
      </c>
      <c r="M115" s="90" t="str">
        <f>IF(_epmOfflineCondition_,"",IF(AND(I115="N",J115="N"),_xll.EVPRO($B$1,H115,"PSFTID"),""))</f>
        <v/>
      </c>
      <c r="N115" s="90" t="str">
        <f>IF(_epmOfflineCondition_,"Breakfast Liquor",IF(_xll.EVDES(H115,$B$1)="#NODATA","",_xll.EVDES(H115,$B$1)))</f>
        <v>Breakfast Liquor</v>
      </c>
      <c r="O115" s="143">
        <v>96</v>
      </c>
      <c r="P115" s="143">
        <v>716.99</v>
      </c>
      <c r="Q115" s="143">
        <v>169</v>
      </c>
      <c r="R115" s="143"/>
      <c r="S115" s="143"/>
      <c r="T115" s="143"/>
      <c r="U115" s="143"/>
      <c r="V115" s="143">
        <v>25</v>
      </c>
      <c r="W115" s="143">
        <v>204</v>
      </c>
      <c r="X115" s="143">
        <v>91</v>
      </c>
      <c r="Y115" s="143">
        <v>157</v>
      </c>
      <c r="Z115" s="143">
        <v>209</v>
      </c>
      <c r="AA115" s="143">
        <f t="shared" ref="AA115:AA121" si="34">SUM(O115:Z115)</f>
        <v>1667.99</v>
      </c>
      <c r="AB115" s="144">
        <f t="shared" ref="AB115:AB121" si="35">IF(AA115=0,"",IFERROR(AA115/AA$19,""))</f>
        <v>3.3909102365586754E-3</v>
      </c>
      <c r="AC115" s="140"/>
      <c r="AD115" s="143">
        <v>6578.7049999999999</v>
      </c>
      <c r="AE115" s="144">
        <f t="shared" ref="AE115:AE121" si="36">IF(AD115=0,"",IFERROR(AD115/AD$19,""))</f>
        <v>2.3591534431364161E-3</v>
      </c>
      <c r="AF115" s="145">
        <f t="shared" ref="AF115:AF121" si="37">IF(AND($AA115="",AD115=""),"",$AA115-AD115)</f>
        <v>-4910.7150000000001</v>
      </c>
      <c r="AG115" s="143">
        <v>2498.1999999999998</v>
      </c>
      <c r="AH115" s="144">
        <f t="shared" ref="AH115:AH121" si="38">IF(AG115=0,"",IFERROR(AG115/AG$19,""))</f>
        <v>3.0961383426295354E-3</v>
      </c>
      <c r="AI115" s="145">
        <f t="shared" ref="AI115:AI121" si="39">IF(AND($AA115="",AG115=""),"",$AA115-AG115)</f>
        <v>-830.20999999999981</v>
      </c>
    </row>
    <row r="116" spans="1:35" x14ac:dyDescent="0.35">
      <c r="A116" s="11"/>
      <c r="B116" s="11"/>
      <c r="C116" s="208"/>
      <c r="D116" s="11"/>
      <c r="E116" s="11"/>
      <c r="F116" s="11"/>
      <c r="G116" s="11"/>
      <c r="H116" s="185" t="s">
        <v>301</v>
      </c>
      <c r="I116" s="122"/>
      <c r="J116" s="122"/>
      <c r="K116" s="11"/>
      <c r="L116" s="90" t="str">
        <f>IF(_epmOfflineCondition_,"462200",_xll.EVPRO($B$1,H116,"JDEID"))</f>
        <v>462200</v>
      </c>
      <c r="M116" s="90" t="str">
        <f>IF(_epmOfflineCondition_,"",IF(AND(I116="N",J116="N"),_xll.EVPRO($B$1,H116,"PSFTID"),""))</f>
        <v/>
      </c>
      <c r="N116" s="90" t="str">
        <f>IF(_epmOfflineCondition_,"Lunch Liquor",IF(_xll.EVDES(H116,$B$1)="#NODATA","",_xll.EVDES(H116,$B$1)))</f>
        <v>Lunch Liquor</v>
      </c>
      <c r="O116" s="143">
        <v>3594.11</v>
      </c>
      <c r="P116" s="143">
        <v>3951.5</v>
      </c>
      <c r="Q116" s="143">
        <v>2409.6999999999998</v>
      </c>
      <c r="R116" s="143"/>
      <c r="S116" s="143"/>
      <c r="T116" s="143"/>
      <c r="U116" s="143">
        <v>887</v>
      </c>
      <c r="V116" s="143">
        <v>316</v>
      </c>
      <c r="W116" s="143">
        <v>2570.2800000000002</v>
      </c>
      <c r="X116" s="143">
        <v>3684.72</v>
      </c>
      <c r="Y116" s="143">
        <v>4192</v>
      </c>
      <c r="Z116" s="143">
        <v>4647</v>
      </c>
      <c r="AA116" s="143">
        <f t="shared" si="34"/>
        <v>26252.31</v>
      </c>
      <c r="AB116" s="144">
        <f t="shared" si="35"/>
        <v>5.3369160913621594E-2</v>
      </c>
      <c r="AC116" s="140"/>
      <c r="AD116" s="143">
        <v>91495.115873999996</v>
      </c>
      <c r="AE116" s="144">
        <f t="shared" si="36"/>
        <v>3.2810563423092E-2</v>
      </c>
      <c r="AF116" s="145">
        <f t="shared" si="37"/>
        <v>-65242.805873999998</v>
      </c>
      <c r="AG116" s="143">
        <v>18508.2</v>
      </c>
      <c r="AH116" s="144">
        <f t="shared" si="38"/>
        <v>2.2938094497260416E-2</v>
      </c>
      <c r="AI116" s="145">
        <f t="shared" si="39"/>
        <v>7744.1100000000006</v>
      </c>
    </row>
    <row r="117" spans="1:35" x14ac:dyDescent="0.35">
      <c r="A117" s="11"/>
      <c r="B117" s="11"/>
      <c r="C117" s="208"/>
      <c r="D117" s="11"/>
      <c r="E117" s="11"/>
      <c r="F117" s="11"/>
      <c r="G117" s="11"/>
      <c r="H117" s="185" t="s">
        <v>302</v>
      </c>
      <c r="I117" s="122"/>
      <c r="J117" s="122"/>
      <c r="K117" s="11"/>
      <c r="L117" s="90" t="str">
        <f>IF(_epmOfflineCondition_,"463200",_xll.EVPRO($B$1,H117,"JDEID"))</f>
        <v>463200</v>
      </c>
      <c r="M117" s="90" t="str">
        <f>IF(_epmOfflineCondition_,"",IF(AND(I117="N",J117="N"),_xll.EVPRO($B$1,H117,"PSFTID"),""))</f>
        <v/>
      </c>
      <c r="N117" s="90" t="str">
        <f>IF(_epmOfflineCondition_,"Dinner Liquor",IF(_xll.EVDES(H117,$B$1)="#NODATA","",_xll.EVDES(H117,$B$1)))</f>
        <v>Dinner Liquor</v>
      </c>
      <c r="O117" s="143">
        <v>3979.83</v>
      </c>
      <c r="P117" s="143">
        <v>7702.93</v>
      </c>
      <c r="Q117" s="143">
        <v>2980.71</v>
      </c>
      <c r="R117" s="143"/>
      <c r="S117" s="143"/>
      <c r="T117" s="143"/>
      <c r="U117" s="143">
        <v>616</v>
      </c>
      <c r="V117" s="143">
        <v>89</v>
      </c>
      <c r="W117" s="143">
        <v>433</v>
      </c>
      <c r="X117" s="143">
        <v>5082</v>
      </c>
      <c r="Y117" s="143">
        <v>2042.3</v>
      </c>
      <c r="Z117" s="143">
        <v>2416.6</v>
      </c>
      <c r="AA117" s="143">
        <f t="shared" si="34"/>
        <v>25342.37</v>
      </c>
      <c r="AB117" s="144">
        <f t="shared" si="35"/>
        <v>5.1519314775063087E-2</v>
      </c>
      <c r="AC117" s="140"/>
      <c r="AD117" s="143">
        <v>135835.43437199999</v>
      </c>
      <c r="AE117" s="144">
        <f t="shared" si="36"/>
        <v>4.8711202690899569E-2</v>
      </c>
      <c r="AF117" s="145">
        <f t="shared" si="37"/>
        <v>-110493.06437199999</v>
      </c>
      <c r="AG117" s="143">
        <v>11897.86</v>
      </c>
      <c r="AH117" s="144">
        <f t="shared" si="38"/>
        <v>1.4745585037722461E-2</v>
      </c>
      <c r="AI117" s="145">
        <f t="shared" si="39"/>
        <v>13444.509999999998</v>
      </c>
    </row>
    <row r="118" spans="1:35" x14ac:dyDescent="0.35">
      <c r="A118" s="11"/>
      <c r="B118" s="11"/>
      <c r="C118" s="208"/>
      <c r="D118" s="11"/>
      <c r="E118" s="11"/>
      <c r="F118" s="11"/>
      <c r="G118" s="11"/>
      <c r="H118" s="185" t="s">
        <v>308</v>
      </c>
      <c r="I118" s="122"/>
      <c r="J118" s="122"/>
      <c r="K118" s="11"/>
      <c r="L118" s="90" t="str">
        <f>IF(_epmOfflineCondition_,"464200",_xll.EVPRO($B$1,H118,"JDEID"))</f>
        <v>464200</v>
      </c>
      <c r="M118" s="90" t="str">
        <f>IF(_epmOfflineCondition_,"",IF(AND(I118="N",J118="N"),_xll.EVPRO($B$1,H118,"PSFTID"),""))</f>
        <v/>
      </c>
      <c r="N118" s="90" t="str">
        <f>IF(_epmOfflineCondition_,"Bar Liquor",IF(_xll.EVDES(H118,$B$1)="#NODATA","",_xll.EVDES(H118,$B$1)))</f>
        <v>Bar Liquor</v>
      </c>
      <c r="O118" s="143">
        <v>18199.400000000001</v>
      </c>
      <c r="P118" s="143">
        <v>20006.2</v>
      </c>
      <c r="Q118" s="143">
        <v>7560.2</v>
      </c>
      <c r="R118" s="143"/>
      <c r="S118" s="143"/>
      <c r="T118" s="143"/>
      <c r="U118" s="143"/>
      <c r="V118" s="143"/>
      <c r="W118" s="143"/>
      <c r="X118" s="143"/>
      <c r="Y118" s="143">
        <v>1314.04</v>
      </c>
      <c r="Z118" s="143">
        <v>3183.2</v>
      </c>
      <c r="AA118" s="143">
        <f t="shared" si="34"/>
        <v>50263.040000000001</v>
      </c>
      <c r="AB118" s="144">
        <f t="shared" si="35"/>
        <v>0.10218134212828504</v>
      </c>
      <c r="AC118" s="140"/>
      <c r="AD118" s="143">
        <v>208994.044857</v>
      </c>
      <c r="AE118" s="144">
        <f t="shared" si="36"/>
        <v>7.4946212137403656E-2</v>
      </c>
      <c r="AF118" s="145">
        <f t="shared" si="37"/>
        <v>-158731.00485699999</v>
      </c>
      <c r="AG118" s="143">
        <v>153272.54</v>
      </c>
      <c r="AH118" s="144">
        <f t="shared" si="38"/>
        <v>0.18995796492123099</v>
      </c>
      <c r="AI118" s="145">
        <f t="shared" si="39"/>
        <v>-103009.5</v>
      </c>
    </row>
    <row r="119" spans="1:35" x14ac:dyDescent="0.35">
      <c r="A119" s="11"/>
      <c r="B119" s="11"/>
      <c r="C119" s="208"/>
      <c r="D119" s="11"/>
      <c r="E119" s="11"/>
      <c r="F119" s="11"/>
      <c r="G119" s="11"/>
      <c r="H119" s="185" t="s">
        <v>321</v>
      </c>
      <c r="I119" s="122"/>
      <c r="J119" s="122"/>
      <c r="K119" s="11"/>
      <c r="L119" s="90" t="str">
        <f>IF(_epmOfflineCondition_,"465200",_xll.EVPRO($B$1,H119,"JDEID"))</f>
        <v>465200</v>
      </c>
      <c r="M119" s="90" t="str">
        <f>IF(_epmOfflineCondition_,"",IF(AND(I119="N",J119="N"),_xll.EVPRO($B$1,H119,"PSFTID"),""))</f>
        <v/>
      </c>
      <c r="N119" s="90" t="str">
        <f>IF(_epmOfflineCondition_,"Private Dining Liquor",IF(_xll.EVDES(H119,$B$1)="#NODATA","",_xll.EVDES(H119,$B$1)))</f>
        <v>Private Dining Liquor</v>
      </c>
      <c r="O119" s="143"/>
      <c r="P119" s="143">
        <v>2214</v>
      </c>
      <c r="Q119" s="143"/>
      <c r="R119" s="143"/>
      <c r="S119" s="143"/>
      <c r="T119" s="143"/>
      <c r="U119" s="143"/>
      <c r="V119" s="143"/>
      <c r="W119" s="143"/>
      <c r="X119" s="143"/>
      <c r="Y119" s="143"/>
      <c r="Z119" s="143"/>
      <c r="AA119" s="143">
        <f t="shared" si="34"/>
        <v>2214</v>
      </c>
      <c r="AB119" s="144">
        <f t="shared" si="35"/>
        <v>4.5009114345654997E-3</v>
      </c>
      <c r="AC119" s="140"/>
      <c r="AD119" s="143">
        <v>3569.36652</v>
      </c>
      <c r="AE119" s="144">
        <f t="shared" si="36"/>
        <v>1.279991018821158E-3</v>
      </c>
      <c r="AF119" s="145">
        <f t="shared" si="37"/>
        <v>-1355.36652</v>
      </c>
      <c r="AG119" s="143">
        <v>140</v>
      </c>
      <c r="AH119" s="144">
        <f t="shared" si="38"/>
        <v>1.7350867343212512E-4</v>
      </c>
      <c r="AI119" s="145">
        <f t="shared" si="39"/>
        <v>2074</v>
      </c>
    </row>
    <row r="120" spans="1:35" x14ac:dyDescent="0.35">
      <c r="A120" s="11"/>
      <c r="B120" s="11"/>
      <c r="C120" s="208"/>
      <c r="D120" s="11"/>
      <c r="E120" s="11"/>
      <c r="F120" s="11"/>
      <c r="G120" s="11"/>
      <c r="H120" s="185" t="s">
        <v>808</v>
      </c>
      <c r="I120" s="122"/>
      <c r="J120" s="122"/>
      <c r="K120" s="11"/>
      <c r="L120" s="90" t="str">
        <f>IF(_epmOfflineCondition_,"471210",_xll.EVPRO($B$1,H120,"JDEID"))</f>
        <v>471210</v>
      </c>
      <c r="M120" s="90" t="str">
        <f>IF(_epmOfflineCondition_,"",IF(AND(I120="N",J120="N"),_xll.EVPRO($B$1,H120,"PSFTID"),""))</f>
        <v/>
      </c>
      <c r="N120" s="90" t="str">
        <f>IF(_epmOfflineCondition_,"Reception Liquor",IF(_xll.EVDES(H120,$B$1)="#NODATA","",_xll.EVDES(H120,$B$1)))</f>
        <v>Reception Liquor</v>
      </c>
      <c r="O120" s="143">
        <v>689</v>
      </c>
      <c r="P120" s="143"/>
      <c r="Q120" s="143"/>
      <c r="R120" s="143"/>
      <c r="S120" s="143"/>
      <c r="T120" s="143"/>
      <c r="U120" s="143"/>
      <c r="V120" s="143"/>
      <c r="W120" s="143"/>
      <c r="X120" s="143"/>
      <c r="Y120" s="143"/>
      <c r="Z120" s="143"/>
      <c r="AA120" s="143">
        <f t="shared" si="34"/>
        <v>689</v>
      </c>
      <c r="AB120" s="144">
        <f t="shared" si="35"/>
        <v>1.4006901438191641E-3</v>
      </c>
      <c r="AC120" s="140"/>
      <c r="AD120" s="143"/>
      <c r="AE120" s="144" t="str">
        <f t="shared" si="36"/>
        <v/>
      </c>
      <c r="AF120" s="145">
        <f t="shared" si="37"/>
        <v>689</v>
      </c>
      <c r="AG120" s="143"/>
      <c r="AH120" s="144" t="str">
        <f t="shared" si="38"/>
        <v/>
      </c>
      <c r="AI120" s="145">
        <f t="shared" si="39"/>
        <v>689</v>
      </c>
    </row>
    <row r="121" spans="1:35" x14ac:dyDescent="0.35">
      <c r="A121" s="11"/>
      <c r="B121" s="11"/>
      <c r="C121" s="208"/>
      <c r="D121" s="11"/>
      <c r="E121" s="11"/>
      <c r="F121" s="11"/>
      <c r="G121" s="11"/>
      <c r="H121" s="185" t="s">
        <v>340</v>
      </c>
      <c r="I121" s="122"/>
      <c r="J121" s="122"/>
      <c r="K121" s="11"/>
      <c r="L121" s="90" t="str">
        <f>IF(_epmOfflineCondition_,"",_xll.EVPRO($B$1,H121,"JDEID"))</f>
        <v/>
      </c>
      <c r="M121" s="90" t="str">
        <f>IF(_epmOfflineCondition_,"",IF(AND(I121="N",J121="N"),_xll.EVPRO($B$1,H121,"PSFTID"),""))</f>
        <v/>
      </c>
      <c r="N121" s="106" t="str">
        <f>IF(_epmOfflineCondition_,"Liquor Revenue ",IF(_xll.EVDES(H121,$B$1)="#NODATA","",_xll.EVDES(H121,$B$1)))</f>
        <v xml:space="preserve">Liquor Revenue </v>
      </c>
      <c r="O121" s="166">
        <v>26558.34</v>
      </c>
      <c r="P121" s="166">
        <v>34591.620000000003</v>
      </c>
      <c r="Q121" s="166">
        <v>13119.61</v>
      </c>
      <c r="R121" s="166"/>
      <c r="S121" s="166"/>
      <c r="T121" s="166"/>
      <c r="U121" s="166">
        <v>1503</v>
      </c>
      <c r="V121" s="166">
        <v>430</v>
      </c>
      <c r="W121" s="166">
        <v>3207.28</v>
      </c>
      <c r="X121" s="166">
        <v>8857.7199999999993</v>
      </c>
      <c r="Y121" s="166">
        <v>7705.34</v>
      </c>
      <c r="Z121" s="166">
        <v>10455.799999999999</v>
      </c>
      <c r="AA121" s="166">
        <f t="shared" si="34"/>
        <v>106428.71</v>
      </c>
      <c r="AB121" s="167">
        <f t="shared" si="35"/>
        <v>0.21636232963191307</v>
      </c>
      <c r="AC121" s="140"/>
      <c r="AD121" s="166">
        <v>446472.666623</v>
      </c>
      <c r="AE121" s="167">
        <f t="shared" si="36"/>
        <v>0.16010712271335281</v>
      </c>
      <c r="AF121" s="168">
        <f t="shared" si="37"/>
        <v>-340043.95662299998</v>
      </c>
      <c r="AG121" s="166">
        <v>186316.79999999999</v>
      </c>
      <c r="AH121" s="167">
        <f t="shared" si="38"/>
        <v>0.23091129147227549</v>
      </c>
      <c r="AI121" s="168">
        <f t="shared" si="39"/>
        <v>-79888.089999999982</v>
      </c>
    </row>
    <row r="122" spans="1:35" x14ac:dyDescent="0.35">
      <c r="A122" s="11"/>
      <c r="B122" s="11"/>
      <c r="C122" s="208"/>
      <c r="D122" s="11"/>
      <c r="E122" s="11"/>
      <c r="F122" s="11"/>
      <c r="G122" s="11"/>
      <c r="H122" s="185"/>
      <c r="I122" s="122"/>
      <c r="J122" s="122"/>
      <c r="K122" s="11"/>
      <c r="L122" s="90"/>
      <c r="M122" s="90"/>
      <c r="N122" s="53"/>
      <c r="O122" s="174"/>
      <c r="P122" s="175"/>
      <c r="Q122" s="175"/>
      <c r="R122" s="175"/>
      <c r="S122" s="175"/>
      <c r="T122" s="175"/>
      <c r="U122" s="175"/>
      <c r="V122" s="175"/>
      <c r="W122" s="175"/>
      <c r="X122" s="175"/>
      <c r="Y122" s="175"/>
      <c r="Z122" s="175"/>
      <c r="AA122" s="175"/>
      <c r="AB122" s="176"/>
      <c r="AC122" s="140"/>
      <c r="AD122" s="174"/>
      <c r="AE122" s="175"/>
      <c r="AF122" s="176"/>
      <c r="AG122" s="174"/>
      <c r="AH122" s="175"/>
      <c r="AI122" s="176"/>
    </row>
    <row r="123" spans="1:35" x14ac:dyDescent="0.35">
      <c r="A123" s="11"/>
      <c r="B123" s="11"/>
      <c r="C123" s="208"/>
      <c r="D123" s="11"/>
      <c r="E123" s="11"/>
      <c r="F123" s="11"/>
      <c r="G123" s="11"/>
      <c r="H123" s="185"/>
      <c r="I123" s="122"/>
      <c r="J123" s="122"/>
      <c r="K123" s="11"/>
      <c r="L123" s="90"/>
      <c r="M123" s="90"/>
      <c r="N123" s="53" t="s">
        <v>339</v>
      </c>
      <c r="O123" s="162"/>
      <c r="P123" s="163"/>
      <c r="Q123" s="163"/>
      <c r="R123" s="163"/>
      <c r="S123" s="163"/>
      <c r="T123" s="163"/>
      <c r="U123" s="163"/>
      <c r="V123" s="163"/>
      <c r="W123" s="163"/>
      <c r="X123" s="163"/>
      <c r="Y123" s="163"/>
      <c r="Z123" s="163"/>
      <c r="AA123" s="163"/>
      <c r="AB123" s="164"/>
      <c r="AC123" s="140"/>
      <c r="AD123" s="162"/>
      <c r="AE123" s="163"/>
      <c r="AF123" s="164"/>
      <c r="AG123" s="162"/>
      <c r="AH123" s="163"/>
      <c r="AI123" s="164"/>
    </row>
    <row r="124" spans="1:35" x14ac:dyDescent="0.35">
      <c r="A124" s="11"/>
      <c r="B124" s="11"/>
      <c r="C124" s="208"/>
      <c r="D124" s="11"/>
      <c r="E124" s="11"/>
      <c r="F124" s="11"/>
      <c r="G124" s="11"/>
      <c r="H124" s="185" t="s">
        <v>295</v>
      </c>
      <c r="I124" s="122"/>
      <c r="J124" s="122"/>
      <c r="K124" s="11"/>
      <c r="L124" s="90" t="str">
        <f>IF(_epmOfflineCondition_,"461300",_xll.EVPRO($B$1,H124,"JDEID"))</f>
        <v>461300</v>
      </c>
      <c r="M124" s="90" t="str">
        <f>IF(_epmOfflineCondition_,"",IF(AND(I124="N",J124="N"),_xll.EVPRO($B$1,H124,"PSFTID"),""))</f>
        <v/>
      </c>
      <c r="N124" s="90" t="str">
        <f>IF(_epmOfflineCondition_,"Breakfast Beer",IF(_xll.EVDES(H124,$B$1)="#NODATA","",_xll.EVDES(H124,$B$1)))</f>
        <v>Breakfast Beer</v>
      </c>
      <c r="O124" s="143">
        <v>26</v>
      </c>
      <c r="P124" s="143">
        <v>16</v>
      </c>
      <c r="Q124" s="143">
        <v>14</v>
      </c>
      <c r="R124" s="143"/>
      <c r="S124" s="143"/>
      <c r="T124" s="143"/>
      <c r="U124" s="143">
        <v>28</v>
      </c>
      <c r="V124" s="143"/>
      <c r="W124" s="143"/>
      <c r="X124" s="143"/>
      <c r="Y124" s="143"/>
      <c r="Z124" s="143">
        <v>7</v>
      </c>
      <c r="AA124" s="143">
        <f t="shared" ref="AA124:AA130" si="40">SUM(O124:Z124)</f>
        <v>91</v>
      </c>
      <c r="AB124" s="144">
        <f t="shared" ref="AB124:AB130" si="41">IF(AA124=0,"",IFERROR(AA124/AA$19,""))</f>
        <v>1.8499681144781412E-4</v>
      </c>
      <c r="AC124" s="140"/>
      <c r="AD124" s="143">
        <v>1247.92975</v>
      </c>
      <c r="AE124" s="144">
        <f t="shared" ref="AE124:AE130" si="42">IF(AD124=0,"",IFERROR(AD124/AD$19,""))</f>
        <v>4.4751326689749225E-4</v>
      </c>
      <c r="AF124" s="145">
        <f t="shared" ref="AF124:AF130" si="43">IF(AND($AA124="",AD124=""),"",$AA124-AD124)</f>
        <v>-1156.92975</v>
      </c>
      <c r="AG124" s="143">
        <v>352</v>
      </c>
      <c r="AH124" s="144">
        <f t="shared" ref="AH124:AH130" si="44">IF(AG124=0,"",IFERROR(AG124/AG$19,""))</f>
        <v>4.3625037891505749E-4</v>
      </c>
      <c r="AI124" s="145">
        <f t="shared" ref="AI124:AI130" si="45">IF(AND($AA124="",AG124=""),"",$AA124-AG124)</f>
        <v>-261</v>
      </c>
    </row>
    <row r="125" spans="1:35" x14ac:dyDescent="0.35">
      <c r="A125" s="11"/>
      <c r="B125" s="11"/>
      <c r="C125" s="208"/>
      <c r="D125" s="11"/>
      <c r="E125" s="11"/>
      <c r="F125" s="11"/>
      <c r="G125" s="11"/>
      <c r="H125" s="185" t="s">
        <v>305</v>
      </c>
      <c r="I125" s="122"/>
      <c r="J125" s="122"/>
      <c r="K125" s="11"/>
      <c r="L125" s="90" t="str">
        <f>IF(_epmOfflineCondition_,"462300",_xll.EVPRO($B$1,H125,"JDEID"))</f>
        <v>462300</v>
      </c>
      <c r="M125" s="90" t="str">
        <f>IF(_epmOfflineCondition_,"",IF(AND(I125="N",J125="N"),_xll.EVPRO($B$1,H125,"PSFTID"),""))</f>
        <v/>
      </c>
      <c r="N125" s="90" t="str">
        <f>IF(_epmOfflineCondition_,"Lunch Beer",IF(_xll.EVDES(H125,$B$1)="#NODATA","",_xll.EVDES(H125,$B$1)))</f>
        <v>Lunch Beer</v>
      </c>
      <c r="O125" s="143">
        <v>1256.2</v>
      </c>
      <c r="P125" s="143">
        <v>984</v>
      </c>
      <c r="Q125" s="143">
        <v>817</v>
      </c>
      <c r="R125" s="143"/>
      <c r="S125" s="143"/>
      <c r="T125" s="143"/>
      <c r="U125" s="143">
        <v>262</v>
      </c>
      <c r="V125" s="143">
        <v>396</v>
      </c>
      <c r="W125" s="143">
        <v>411</v>
      </c>
      <c r="X125" s="143">
        <v>309</v>
      </c>
      <c r="Y125" s="143">
        <v>279</v>
      </c>
      <c r="Z125" s="143">
        <v>695</v>
      </c>
      <c r="AA125" s="143">
        <f t="shared" si="40"/>
        <v>5409.2</v>
      </c>
      <c r="AB125" s="144">
        <f t="shared" si="41"/>
        <v>1.09965357415771E-2</v>
      </c>
      <c r="AC125" s="140"/>
      <c r="AD125" s="143">
        <v>21388.822896000001</v>
      </c>
      <c r="AE125" s="144">
        <f t="shared" si="42"/>
        <v>7.6701288748672282E-3</v>
      </c>
      <c r="AF125" s="145">
        <f t="shared" si="43"/>
        <v>-15979.622896000001</v>
      </c>
      <c r="AG125" s="143">
        <v>6979</v>
      </c>
      <c r="AH125" s="144">
        <f t="shared" si="44"/>
        <v>8.6494073705914373E-3</v>
      </c>
      <c r="AI125" s="145">
        <f t="shared" si="45"/>
        <v>-1569.8000000000002</v>
      </c>
    </row>
    <row r="126" spans="1:35" x14ac:dyDescent="0.35">
      <c r="A126" s="11"/>
      <c r="B126" s="11"/>
      <c r="C126" s="208"/>
      <c r="D126" s="11"/>
      <c r="E126" s="11"/>
      <c r="F126" s="11"/>
      <c r="G126" s="11"/>
      <c r="H126" s="185" t="s">
        <v>306</v>
      </c>
      <c r="I126" s="122"/>
      <c r="J126" s="122"/>
      <c r="K126" s="11"/>
      <c r="L126" s="90" t="str">
        <f>IF(_epmOfflineCondition_,"463300",_xll.EVPRO($B$1,H126,"JDEID"))</f>
        <v>463300</v>
      </c>
      <c r="M126" s="90" t="str">
        <f>IF(_epmOfflineCondition_,"",IF(AND(I126="N",J126="N"),_xll.EVPRO($B$1,H126,"PSFTID"),""))</f>
        <v/>
      </c>
      <c r="N126" s="90" t="str">
        <f>IF(_epmOfflineCondition_,"Dinner Beer",IF(_xll.EVDES(H126,$B$1)="#NODATA","",_xll.EVDES(H126,$B$1)))</f>
        <v>Dinner Beer</v>
      </c>
      <c r="O126" s="143">
        <v>825.6</v>
      </c>
      <c r="P126" s="143">
        <v>1082.98</v>
      </c>
      <c r="Q126" s="143">
        <v>446.58</v>
      </c>
      <c r="R126" s="143"/>
      <c r="S126" s="143"/>
      <c r="T126" s="143"/>
      <c r="U126" s="143"/>
      <c r="V126" s="143">
        <v>57</v>
      </c>
      <c r="W126" s="143">
        <v>33</v>
      </c>
      <c r="X126" s="143">
        <v>200</v>
      </c>
      <c r="Y126" s="143">
        <v>188.4</v>
      </c>
      <c r="Z126" s="143">
        <v>361.4</v>
      </c>
      <c r="AA126" s="143">
        <f t="shared" si="40"/>
        <v>3194.96</v>
      </c>
      <c r="AB126" s="144">
        <f t="shared" si="41"/>
        <v>6.4951364033330574E-3</v>
      </c>
      <c r="AC126" s="140"/>
      <c r="AD126" s="143">
        <v>72090.089642000006</v>
      </c>
      <c r="AE126" s="144">
        <f t="shared" si="42"/>
        <v>2.5851833027159172E-2</v>
      </c>
      <c r="AF126" s="145">
        <f t="shared" si="43"/>
        <v>-68895.129642</v>
      </c>
      <c r="AG126" s="143">
        <v>3208.6</v>
      </c>
      <c r="AH126" s="144">
        <f t="shared" si="44"/>
        <v>3.976570925530833E-3</v>
      </c>
      <c r="AI126" s="145">
        <f t="shared" si="45"/>
        <v>-13.639999999999873</v>
      </c>
    </row>
    <row r="127" spans="1:35" x14ac:dyDescent="0.35">
      <c r="A127" s="11"/>
      <c r="B127" s="11"/>
      <c r="C127" s="208"/>
      <c r="D127" s="11"/>
      <c r="E127" s="11"/>
      <c r="F127" s="11"/>
      <c r="G127" s="11"/>
      <c r="H127" s="185" t="s">
        <v>310</v>
      </c>
      <c r="I127" s="122"/>
      <c r="J127" s="122"/>
      <c r="K127" s="11"/>
      <c r="L127" s="90" t="str">
        <f>IF(_epmOfflineCondition_,"464300",_xll.EVPRO($B$1,H127,"JDEID"))</f>
        <v>464300</v>
      </c>
      <c r="M127" s="90" t="str">
        <f>IF(_epmOfflineCondition_,"",IF(AND(I127="N",J127="N"),_xll.EVPRO($B$1,H127,"PSFTID"),""))</f>
        <v/>
      </c>
      <c r="N127" s="90" t="str">
        <f>IF(_epmOfflineCondition_,"Bar Beer",IF(_xll.EVDES(H127,$B$1)="#NODATA","",_xll.EVDES(H127,$B$1)))</f>
        <v>Bar Beer</v>
      </c>
      <c r="O127" s="143">
        <v>3630.51</v>
      </c>
      <c r="P127" s="143">
        <v>2708.8</v>
      </c>
      <c r="Q127" s="143">
        <v>1005.2</v>
      </c>
      <c r="R127" s="143"/>
      <c r="S127" s="143"/>
      <c r="T127" s="143"/>
      <c r="U127" s="143"/>
      <c r="V127" s="143"/>
      <c r="W127" s="143"/>
      <c r="X127" s="143"/>
      <c r="Y127" s="143">
        <v>174</v>
      </c>
      <c r="Z127" s="143">
        <v>374</v>
      </c>
      <c r="AA127" s="143">
        <f t="shared" si="40"/>
        <v>7892.51</v>
      </c>
      <c r="AB127" s="144">
        <f t="shared" si="41"/>
        <v>1.6044936091428433E-2</v>
      </c>
      <c r="AC127" s="140"/>
      <c r="AD127" s="143">
        <v>48068.261982999997</v>
      </c>
      <c r="AE127" s="144">
        <f t="shared" si="42"/>
        <v>1.7237496705320838E-2</v>
      </c>
      <c r="AF127" s="145">
        <f t="shared" si="43"/>
        <v>-40175.751982999995</v>
      </c>
      <c r="AG127" s="143">
        <v>28036.880000000001</v>
      </c>
      <c r="AH127" s="144">
        <f t="shared" si="44"/>
        <v>3.4747441828397715E-2</v>
      </c>
      <c r="AI127" s="145">
        <f t="shared" si="45"/>
        <v>-20144.370000000003</v>
      </c>
    </row>
    <row r="128" spans="1:35" x14ac:dyDescent="0.35">
      <c r="A128" s="11"/>
      <c r="B128" s="11"/>
      <c r="C128" s="208"/>
      <c r="D128" s="11"/>
      <c r="E128" s="11"/>
      <c r="F128" s="11"/>
      <c r="G128" s="11"/>
      <c r="H128" s="185" t="s">
        <v>323</v>
      </c>
      <c r="I128" s="122"/>
      <c r="J128" s="122"/>
      <c r="K128" s="11"/>
      <c r="L128" s="90" t="str">
        <f>IF(_epmOfflineCondition_,"465300",_xll.EVPRO($B$1,H128,"JDEID"))</f>
        <v>465300</v>
      </c>
      <c r="M128" s="90" t="str">
        <f>IF(_epmOfflineCondition_,"",IF(AND(I128="N",J128="N"),_xll.EVPRO($B$1,H128,"PSFTID"),""))</f>
        <v/>
      </c>
      <c r="N128" s="90" t="str">
        <f>IF(_epmOfflineCondition_,"Private Dining Beer",IF(_xll.EVDES(H128,$B$1)="#NODATA","",_xll.EVDES(H128,$B$1)))</f>
        <v>Private Dining Beer</v>
      </c>
      <c r="O128" s="143"/>
      <c r="P128" s="143">
        <v>748</v>
      </c>
      <c r="Q128" s="143"/>
      <c r="R128" s="143"/>
      <c r="S128" s="143"/>
      <c r="T128" s="143"/>
      <c r="U128" s="143"/>
      <c r="V128" s="143"/>
      <c r="W128" s="143"/>
      <c r="X128" s="143"/>
      <c r="Y128" s="143"/>
      <c r="Z128" s="143"/>
      <c r="AA128" s="143">
        <f t="shared" si="40"/>
        <v>748</v>
      </c>
      <c r="AB128" s="144">
        <f t="shared" si="41"/>
        <v>1.5206331314611533E-3</v>
      </c>
      <c r="AC128" s="140"/>
      <c r="AD128" s="143">
        <v>2108.73144</v>
      </c>
      <c r="AE128" s="144">
        <f t="shared" si="42"/>
        <v>7.5620065610572482E-4</v>
      </c>
      <c r="AF128" s="145">
        <f t="shared" si="43"/>
        <v>-1360.73144</v>
      </c>
      <c r="AG128" s="143"/>
      <c r="AH128" s="144" t="str">
        <f t="shared" si="44"/>
        <v/>
      </c>
      <c r="AI128" s="145">
        <f t="shared" si="45"/>
        <v>748</v>
      </c>
    </row>
    <row r="129" spans="1:35" x14ac:dyDescent="0.35">
      <c r="A129" s="11"/>
      <c r="B129" s="11"/>
      <c r="C129" s="208"/>
      <c r="D129" s="11"/>
      <c r="E129" s="11"/>
      <c r="F129" s="11"/>
      <c r="G129" s="11"/>
      <c r="H129" s="185" t="s">
        <v>809</v>
      </c>
      <c r="I129" s="122"/>
      <c r="J129" s="122"/>
      <c r="K129" s="11"/>
      <c r="L129" s="90" t="str">
        <f>IF(_epmOfflineCondition_,"471310",_xll.EVPRO($B$1,H129,"JDEID"))</f>
        <v>471310</v>
      </c>
      <c r="M129" s="90" t="str">
        <f>IF(_epmOfflineCondition_,"",IF(AND(I129="N",J129="N"),_xll.EVPRO($B$1,H129,"PSFTID"),""))</f>
        <v/>
      </c>
      <c r="N129" s="90" t="str">
        <f>IF(_epmOfflineCondition_,"Reception Beer",IF(_xll.EVDES(H129,$B$1)="#NODATA","",_xll.EVDES(H129,$B$1)))</f>
        <v>Reception Beer</v>
      </c>
      <c r="O129" s="143">
        <v>125</v>
      </c>
      <c r="P129" s="143"/>
      <c r="Q129" s="143"/>
      <c r="R129" s="143"/>
      <c r="S129" s="143"/>
      <c r="T129" s="143"/>
      <c r="U129" s="143"/>
      <c r="V129" s="143"/>
      <c r="W129" s="143"/>
      <c r="X129" s="143"/>
      <c r="Y129" s="143"/>
      <c r="Z129" s="143"/>
      <c r="AA129" s="143">
        <f t="shared" si="40"/>
        <v>125</v>
      </c>
      <c r="AB129" s="144">
        <f t="shared" si="41"/>
        <v>2.5411649924150293E-4</v>
      </c>
      <c r="AC129" s="140"/>
      <c r="AD129" s="143"/>
      <c r="AE129" s="144" t="str">
        <f t="shared" si="42"/>
        <v/>
      </c>
      <c r="AF129" s="145">
        <f t="shared" si="43"/>
        <v>125</v>
      </c>
      <c r="AG129" s="143"/>
      <c r="AH129" s="144" t="str">
        <f t="shared" si="44"/>
        <v/>
      </c>
      <c r="AI129" s="145">
        <f t="shared" si="45"/>
        <v>125</v>
      </c>
    </row>
    <row r="130" spans="1:35" x14ac:dyDescent="0.35">
      <c r="A130" s="11"/>
      <c r="B130" s="11"/>
      <c r="C130" s="208"/>
      <c r="D130" s="11"/>
      <c r="E130" s="11"/>
      <c r="F130" s="11"/>
      <c r="G130" s="11"/>
      <c r="H130" s="185" t="s">
        <v>342</v>
      </c>
      <c r="I130" s="122"/>
      <c r="J130" s="122"/>
      <c r="K130" s="11"/>
      <c r="L130" s="90" t="str">
        <f>IF(_epmOfflineCondition_,"",_xll.EVPRO($B$1,H130,"JDEID"))</f>
        <v/>
      </c>
      <c r="M130" s="90" t="str">
        <f>IF(_epmOfflineCondition_,"",IF(AND(I130="N",J130="N"),_xll.EVPRO($B$1,H130,"PSFTID"),""))</f>
        <v/>
      </c>
      <c r="N130" s="106" t="str">
        <f>IF(_epmOfflineCondition_,"Beer Revenue",IF(_xll.EVDES(H130,$B$1)="#NODATA","",_xll.EVDES(H130,$B$1)))</f>
        <v>Beer Revenue</v>
      </c>
      <c r="O130" s="166">
        <v>5863.31</v>
      </c>
      <c r="P130" s="166">
        <v>5539.78</v>
      </c>
      <c r="Q130" s="166">
        <v>2282.7800000000002</v>
      </c>
      <c r="R130" s="166"/>
      <c r="S130" s="166"/>
      <c r="T130" s="166"/>
      <c r="U130" s="166">
        <v>290</v>
      </c>
      <c r="V130" s="166">
        <v>453</v>
      </c>
      <c r="W130" s="166">
        <v>444</v>
      </c>
      <c r="X130" s="166">
        <v>509</v>
      </c>
      <c r="Y130" s="166">
        <v>641.4</v>
      </c>
      <c r="Z130" s="166">
        <v>1437.4</v>
      </c>
      <c r="AA130" s="166">
        <f t="shared" si="40"/>
        <v>17460.670000000002</v>
      </c>
      <c r="AB130" s="167">
        <f t="shared" si="41"/>
        <v>3.5496354678489064E-2</v>
      </c>
      <c r="AC130" s="140"/>
      <c r="AD130" s="166">
        <v>144903.83571099999</v>
      </c>
      <c r="AE130" s="167">
        <f t="shared" si="42"/>
        <v>5.1963172530350453E-2</v>
      </c>
      <c r="AF130" s="168">
        <f t="shared" si="43"/>
        <v>-127443.16571099999</v>
      </c>
      <c r="AG130" s="166">
        <v>38576.480000000003</v>
      </c>
      <c r="AH130" s="167">
        <f t="shared" si="44"/>
        <v>4.7809670503435049E-2</v>
      </c>
      <c r="AI130" s="168">
        <f t="shared" si="45"/>
        <v>-21115.81</v>
      </c>
    </row>
    <row r="131" spans="1:35" x14ac:dyDescent="0.35">
      <c r="A131" s="11"/>
      <c r="B131" s="11"/>
      <c r="C131" s="208"/>
      <c r="D131" s="11"/>
      <c r="E131" s="11"/>
      <c r="F131" s="11"/>
      <c r="G131" s="11"/>
      <c r="H131" s="185"/>
      <c r="I131" s="122"/>
      <c r="J131" s="122"/>
      <c r="K131" s="11"/>
      <c r="L131" s="90"/>
      <c r="M131" s="90"/>
      <c r="N131" s="53"/>
      <c r="O131" s="174"/>
      <c r="P131" s="175"/>
      <c r="Q131" s="175"/>
      <c r="R131" s="175"/>
      <c r="S131" s="175"/>
      <c r="T131" s="175"/>
      <c r="U131" s="175"/>
      <c r="V131" s="175"/>
      <c r="W131" s="175"/>
      <c r="X131" s="175"/>
      <c r="Y131" s="175"/>
      <c r="Z131" s="175"/>
      <c r="AA131" s="175"/>
      <c r="AB131" s="176"/>
      <c r="AC131" s="140"/>
      <c r="AD131" s="174"/>
      <c r="AE131" s="175"/>
      <c r="AF131" s="176"/>
      <c r="AG131" s="174"/>
      <c r="AH131" s="175"/>
      <c r="AI131" s="176"/>
    </row>
    <row r="132" spans="1:35" x14ac:dyDescent="0.35">
      <c r="A132" s="11"/>
      <c r="B132" s="11"/>
      <c r="C132" s="208"/>
      <c r="D132" s="11"/>
      <c r="E132" s="11"/>
      <c r="F132" s="11"/>
      <c r="G132" s="11"/>
      <c r="H132" s="185"/>
      <c r="I132" s="122"/>
      <c r="J132" s="122"/>
      <c r="K132" s="11"/>
      <c r="L132" s="90"/>
      <c r="M132" s="90"/>
      <c r="N132" s="53" t="s">
        <v>338</v>
      </c>
      <c r="O132" s="162"/>
      <c r="P132" s="163"/>
      <c r="Q132" s="163"/>
      <c r="R132" s="163"/>
      <c r="S132" s="163"/>
      <c r="T132" s="163"/>
      <c r="U132" s="163"/>
      <c r="V132" s="163"/>
      <c r="W132" s="163"/>
      <c r="X132" s="163"/>
      <c r="Y132" s="163"/>
      <c r="Z132" s="163"/>
      <c r="AA132" s="163"/>
      <c r="AB132" s="164"/>
      <c r="AC132" s="140"/>
      <c r="AD132" s="162"/>
      <c r="AE132" s="163"/>
      <c r="AF132" s="164"/>
      <c r="AG132" s="162"/>
      <c r="AH132" s="163"/>
      <c r="AI132" s="164"/>
    </row>
    <row r="133" spans="1:35" x14ac:dyDescent="0.35">
      <c r="A133" s="11"/>
      <c r="B133" s="11"/>
      <c r="C133" s="208"/>
      <c r="D133" s="11"/>
      <c r="E133" s="11"/>
      <c r="F133" s="11"/>
      <c r="G133" s="11"/>
      <c r="H133" s="185" t="s">
        <v>296</v>
      </c>
      <c r="I133" s="122"/>
      <c r="J133" s="122"/>
      <c r="K133" s="11"/>
      <c r="L133" s="90" t="str">
        <f>IF(_epmOfflineCondition_,"461400",_xll.EVPRO($B$1,H133,"JDEID"))</f>
        <v>461400</v>
      </c>
      <c r="M133" s="90" t="str">
        <f>IF(_epmOfflineCondition_,"",IF(AND(I133="N",J133="N"),_xll.EVPRO($B$1,H133,"PSFTID"),""))</f>
        <v/>
      </c>
      <c r="N133" s="90" t="str">
        <f>IF(_epmOfflineCondition_,"Breakfast Wine",IF(_xll.EVDES(H133,$B$1)="#NODATA","",_xll.EVDES(H133,$B$1)))</f>
        <v>Breakfast Wine</v>
      </c>
      <c r="O133" s="143">
        <v>212</v>
      </c>
      <c r="P133" s="143">
        <v>624</v>
      </c>
      <c r="Q133" s="143">
        <v>626</v>
      </c>
      <c r="R133" s="143"/>
      <c r="S133" s="143"/>
      <c r="T133" s="143"/>
      <c r="U133" s="143">
        <v>14</v>
      </c>
      <c r="V133" s="143"/>
      <c r="W133" s="143">
        <v>20</v>
      </c>
      <c r="X133" s="143">
        <v>206</v>
      </c>
      <c r="Y133" s="143">
        <v>64</v>
      </c>
      <c r="Z133" s="143">
        <v>420</v>
      </c>
      <c r="AA133" s="143">
        <f t="shared" ref="AA133:AA139" si="46">SUM(O133:Z133)</f>
        <v>2186</v>
      </c>
      <c r="AB133" s="144">
        <f t="shared" ref="AB133:AB139" si="47">IF(AA133=0,"",IFERROR(AA133/AA$19,""))</f>
        <v>4.4439893387354032E-3</v>
      </c>
      <c r="AC133" s="140"/>
      <c r="AD133" s="143">
        <v>14218.40775</v>
      </c>
      <c r="AE133" s="144">
        <f t="shared" ref="AE133:AE139" si="48">IF(AD133=0,"",IFERROR(AD133/AD$19,""))</f>
        <v>5.0987854903556248E-3</v>
      </c>
      <c r="AF133" s="145">
        <f t="shared" ref="AF133:AF139" si="49">IF(AND($AA133="",AD133=""),"",$AA133-AD133)</f>
        <v>-12032.40775</v>
      </c>
      <c r="AG133" s="143">
        <v>1764.6</v>
      </c>
      <c r="AH133" s="144">
        <f t="shared" ref="AH133:AH139" si="50">IF(AG133=0,"",IFERROR(AG133/AG$19,""))</f>
        <v>2.1869528938451999E-3</v>
      </c>
      <c r="AI133" s="145">
        <f t="shared" ref="AI133:AI139" si="51">IF(AND($AA133="",AG133=""),"",$AA133-AG133)</f>
        <v>421.40000000000009</v>
      </c>
    </row>
    <row r="134" spans="1:35" x14ac:dyDescent="0.35">
      <c r="A134" s="11"/>
      <c r="B134" s="11"/>
      <c r="C134" s="208"/>
      <c r="D134" s="11"/>
      <c r="E134" s="11"/>
      <c r="F134" s="11"/>
      <c r="G134" s="11"/>
      <c r="H134" s="185" t="s">
        <v>303</v>
      </c>
      <c r="I134" s="122"/>
      <c r="J134" s="122"/>
      <c r="K134" s="11"/>
      <c r="L134" s="90" t="str">
        <f>IF(_epmOfflineCondition_,"462400",_xll.EVPRO($B$1,H134,"JDEID"))</f>
        <v>462400</v>
      </c>
      <c r="M134" s="90" t="str">
        <f>IF(_epmOfflineCondition_,"",IF(AND(I134="N",J134="N"),_xll.EVPRO($B$1,H134,"PSFTID"),""))</f>
        <v/>
      </c>
      <c r="N134" s="90" t="str">
        <f>IF(_epmOfflineCondition_,"Lunch Wine",IF(_xll.EVDES(H134,$B$1)="#NODATA","",_xll.EVDES(H134,$B$1)))</f>
        <v>Lunch Wine</v>
      </c>
      <c r="O134" s="143">
        <v>2466.6999999999998</v>
      </c>
      <c r="P134" s="143">
        <v>4160</v>
      </c>
      <c r="Q134" s="143">
        <v>2295</v>
      </c>
      <c r="R134" s="143"/>
      <c r="S134" s="143"/>
      <c r="T134" s="143"/>
      <c r="U134" s="143">
        <v>42</v>
      </c>
      <c r="V134" s="143">
        <v>110</v>
      </c>
      <c r="W134" s="143">
        <v>254</v>
      </c>
      <c r="X134" s="143">
        <v>337</v>
      </c>
      <c r="Y134" s="143">
        <v>440</v>
      </c>
      <c r="Z134" s="143">
        <v>1001</v>
      </c>
      <c r="AA134" s="143">
        <f t="shared" si="46"/>
        <v>11105.7</v>
      </c>
      <c r="AB134" s="144">
        <f t="shared" si="47"/>
        <v>2.2577132845010874E-2</v>
      </c>
      <c r="AC134" s="140"/>
      <c r="AD134" s="143">
        <v>112862.268402</v>
      </c>
      <c r="AE134" s="144">
        <f t="shared" si="48"/>
        <v>4.0472921205733439E-2</v>
      </c>
      <c r="AF134" s="145">
        <f t="shared" si="49"/>
        <v>-101756.568402</v>
      </c>
      <c r="AG134" s="143">
        <v>7266</v>
      </c>
      <c r="AH134" s="144">
        <f t="shared" si="50"/>
        <v>9.005100151127295E-3</v>
      </c>
      <c r="AI134" s="145">
        <f t="shared" si="51"/>
        <v>3839.7000000000007</v>
      </c>
    </row>
    <row r="135" spans="1:35" x14ac:dyDescent="0.35">
      <c r="A135" s="11"/>
      <c r="B135" s="11"/>
      <c r="C135" s="208"/>
      <c r="D135" s="11"/>
      <c r="E135" s="11"/>
      <c r="F135" s="11"/>
      <c r="G135" s="11"/>
      <c r="H135" s="185" t="s">
        <v>304</v>
      </c>
      <c r="I135" s="122"/>
      <c r="J135" s="122"/>
      <c r="K135" s="11"/>
      <c r="L135" s="90" t="str">
        <f>IF(_epmOfflineCondition_,"463400",_xll.EVPRO($B$1,H135,"JDEID"))</f>
        <v>463400</v>
      </c>
      <c r="M135" s="90" t="str">
        <f>IF(_epmOfflineCondition_,"",IF(AND(I135="N",J135="N"),_xll.EVPRO($B$1,H135,"PSFTID"),""))</f>
        <v/>
      </c>
      <c r="N135" s="90" t="str">
        <f>IF(_epmOfflineCondition_,"Dinner Wine",IF(_xll.EVDES(H135,$B$1)="#NODATA","",_xll.EVDES(H135,$B$1)))</f>
        <v>Dinner Wine</v>
      </c>
      <c r="O135" s="143">
        <v>4740.84</v>
      </c>
      <c r="P135" s="143">
        <v>9319.07</v>
      </c>
      <c r="Q135" s="143">
        <v>2902.15</v>
      </c>
      <c r="R135" s="143"/>
      <c r="S135" s="143"/>
      <c r="T135" s="143"/>
      <c r="U135" s="143"/>
      <c r="V135" s="143"/>
      <c r="W135" s="143">
        <v>13</v>
      </c>
      <c r="X135" s="143">
        <v>432</v>
      </c>
      <c r="Y135" s="143">
        <v>746.2</v>
      </c>
      <c r="Z135" s="143">
        <v>1847.8</v>
      </c>
      <c r="AA135" s="143">
        <f t="shared" si="46"/>
        <v>20001.060000000001</v>
      </c>
      <c r="AB135" s="144">
        <f t="shared" si="47"/>
        <v>4.0660794786554037E-2</v>
      </c>
      <c r="AC135" s="140"/>
      <c r="AD135" s="143">
        <v>243760.40103400001</v>
      </c>
      <c r="AE135" s="144">
        <f t="shared" si="48"/>
        <v>8.741358510522583E-2</v>
      </c>
      <c r="AF135" s="145">
        <f t="shared" si="49"/>
        <v>-223759.34103400001</v>
      </c>
      <c r="AG135" s="143">
        <v>16270.71</v>
      </c>
      <c r="AH135" s="144">
        <f t="shared" si="50"/>
        <v>2.0165066484991518E-2</v>
      </c>
      <c r="AI135" s="145">
        <f t="shared" si="51"/>
        <v>3730.3500000000022</v>
      </c>
    </row>
    <row r="136" spans="1:35" x14ac:dyDescent="0.35">
      <c r="A136" s="11"/>
      <c r="B136" s="11"/>
      <c r="C136" s="208"/>
      <c r="D136" s="11"/>
      <c r="E136" s="11"/>
      <c r="F136" s="11"/>
      <c r="G136" s="11"/>
      <c r="H136" s="185" t="s">
        <v>309</v>
      </c>
      <c r="I136" s="122"/>
      <c r="J136" s="122"/>
      <c r="K136" s="11"/>
      <c r="L136" s="90" t="str">
        <f>IF(_epmOfflineCondition_,"464400",_xll.EVPRO($B$1,H136,"JDEID"))</f>
        <v>464400</v>
      </c>
      <c r="M136" s="90" t="str">
        <f>IF(_epmOfflineCondition_,"",IF(AND(I136="N",J136="N"),_xll.EVPRO($B$1,H136,"PSFTID"),""))</f>
        <v/>
      </c>
      <c r="N136" s="90" t="str">
        <f>IF(_epmOfflineCondition_,"Bar Wine",IF(_xll.EVDES(H136,$B$1)="#NODATA","",_xll.EVDES(H136,$B$1)))</f>
        <v>Bar Wine</v>
      </c>
      <c r="O136" s="143">
        <v>6431.59</v>
      </c>
      <c r="P136" s="143">
        <v>5575.4</v>
      </c>
      <c r="Q136" s="143">
        <v>3006.2</v>
      </c>
      <c r="R136" s="143"/>
      <c r="S136" s="143"/>
      <c r="T136" s="143"/>
      <c r="U136" s="143"/>
      <c r="V136" s="143"/>
      <c r="W136" s="143"/>
      <c r="X136" s="143"/>
      <c r="Y136" s="143">
        <v>118</v>
      </c>
      <c r="Z136" s="143">
        <v>983.5</v>
      </c>
      <c r="AA136" s="143">
        <f t="shared" si="46"/>
        <v>16114.689999999999</v>
      </c>
      <c r="AB136" s="144">
        <f t="shared" si="47"/>
        <v>3.2760068873296432E-2</v>
      </c>
      <c r="AC136" s="140"/>
      <c r="AD136" s="143">
        <v>89777.399478000007</v>
      </c>
      <c r="AE136" s="144">
        <f t="shared" si="48"/>
        <v>3.2194582534762872E-2</v>
      </c>
      <c r="AF136" s="145">
        <f t="shared" si="49"/>
        <v>-73662.709478000004</v>
      </c>
      <c r="AG136" s="143">
        <v>45506.96</v>
      </c>
      <c r="AH136" s="144">
        <f t="shared" si="50"/>
        <v>5.6398944725205576E-2</v>
      </c>
      <c r="AI136" s="145">
        <f t="shared" si="51"/>
        <v>-29392.27</v>
      </c>
    </row>
    <row r="137" spans="1:35" x14ac:dyDescent="0.35">
      <c r="A137" s="11"/>
      <c r="B137" s="11"/>
      <c r="C137" s="208"/>
      <c r="D137" s="11"/>
      <c r="E137" s="11"/>
      <c r="F137" s="11"/>
      <c r="G137" s="11"/>
      <c r="H137" s="185" t="s">
        <v>322</v>
      </c>
      <c r="I137" s="122"/>
      <c r="J137" s="122"/>
      <c r="K137" s="11"/>
      <c r="L137" s="90" t="str">
        <f>IF(_epmOfflineCondition_,"465400",_xll.EVPRO($B$1,H137,"JDEID"))</f>
        <v>465400</v>
      </c>
      <c r="M137" s="90" t="str">
        <f>IF(_epmOfflineCondition_,"",IF(AND(I137="N",J137="N"),_xll.EVPRO($B$1,H137,"PSFTID"),""))</f>
        <v/>
      </c>
      <c r="N137" s="90" t="str">
        <f>IF(_epmOfflineCondition_,"Private Dining Wine",IF(_xll.EVDES(H137,$B$1)="#NODATA","",_xll.EVDES(H137,$B$1)))</f>
        <v>Private Dining Wine</v>
      </c>
      <c r="O137" s="143"/>
      <c r="P137" s="143">
        <v>40</v>
      </c>
      <c r="Q137" s="143"/>
      <c r="R137" s="143"/>
      <c r="S137" s="143"/>
      <c r="T137" s="143"/>
      <c r="U137" s="143"/>
      <c r="V137" s="143"/>
      <c r="W137" s="143"/>
      <c r="X137" s="143"/>
      <c r="Y137" s="143"/>
      <c r="Z137" s="143"/>
      <c r="AA137" s="143">
        <f t="shared" si="46"/>
        <v>40</v>
      </c>
      <c r="AB137" s="144">
        <f t="shared" si="47"/>
        <v>8.1317279757280934E-5</v>
      </c>
      <c r="AC137" s="140"/>
      <c r="AD137" s="143">
        <v>7545.0024000000003</v>
      </c>
      <c r="AE137" s="144">
        <f t="shared" si="48"/>
        <v>2.705672072304887E-3</v>
      </c>
      <c r="AF137" s="145">
        <f t="shared" si="49"/>
        <v>-7505.0024000000003</v>
      </c>
      <c r="AG137" s="143"/>
      <c r="AH137" s="144" t="str">
        <f t="shared" si="50"/>
        <v/>
      </c>
      <c r="AI137" s="145">
        <f t="shared" si="51"/>
        <v>40</v>
      </c>
    </row>
    <row r="138" spans="1:35" x14ac:dyDescent="0.35">
      <c r="A138" s="11"/>
      <c r="B138" s="11"/>
      <c r="C138" s="208"/>
      <c r="D138" s="11"/>
      <c r="E138" s="11"/>
      <c r="F138" s="11"/>
      <c r="G138" s="11"/>
      <c r="H138" s="185" t="s">
        <v>810</v>
      </c>
      <c r="I138" s="122"/>
      <c r="J138" s="122"/>
      <c r="K138" s="11"/>
      <c r="L138" s="90" t="str">
        <f>IF(_epmOfflineCondition_,"471410",_xll.EVPRO($B$1,H138,"JDEID"))</f>
        <v>471410</v>
      </c>
      <c r="M138" s="90" t="str">
        <f>IF(_epmOfflineCondition_,"",IF(AND(I138="N",J138="N"),_xll.EVPRO($B$1,H138,"PSFTID"),""))</f>
        <v/>
      </c>
      <c r="N138" s="90" t="str">
        <f>IF(_epmOfflineCondition_,"Reception Wine",IF(_xll.EVDES(H138,$B$1)="#NODATA","",_xll.EVDES(H138,$B$1)))</f>
        <v>Reception Wine</v>
      </c>
      <c r="O138" s="143">
        <v>104</v>
      </c>
      <c r="P138" s="143">
        <v>1500</v>
      </c>
      <c r="Q138" s="143"/>
      <c r="R138" s="143"/>
      <c r="S138" s="143"/>
      <c r="T138" s="143"/>
      <c r="U138" s="143"/>
      <c r="V138" s="143"/>
      <c r="W138" s="143">
        <v>504</v>
      </c>
      <c r="X138" s="143"/>
      <c r="Y138" s="143"/>
      <c r="Z138" s="143"/>
      <c r="AA138" s="143">
        <f t="shared" si="46"/>
        <v>2108</v>
      </c>
      <c r="AB138" s="144">
        <f t="shared" si="47"/>
        <v>4.2854206432087049E-3</v>
      </c>
      <c r="AC138" s="140"/>
      <c r="AD138" s="143"/>
      <c r="AE138" s="144" t="str">
        <f t="shared" si="48"/>
        <v/>
      </c>
      <c r="AF138" s="145">
        <f t="shared" si="49"/>
        <v>2108</v>
      </c>
      <c r="AG138" s="143"/>
      <c r="AH138" s="144" t="str">
        <f t="shared" si="50"/>
        <v/>
      </c>
      <c r="AI138" s="145">
        <f t="shared" si="51"/>
        <v>2108</v>
      </c>
    </row>
    <row r="139" spans="1:35" x14ac:dyDescent="0.35">
      <c r="A139" s="11"/>
      <c r="B139" s="11"/>
      <c r="C139" s="208"/>
      <c r="D139" s="11"/>
      <c r="E139" s="11"/>
      <c r="F139" s="11"/>
      <c r="G139" s="11"/>
      <c r="H139" s="185" t="s">
        <v>341</v>
      </c>
      <c r="I139" s="122"/>
      <c r="J139" s="122"/>
      <c r="K139" s="11"/>
      <c r="L139" s="90" t="str">
        <f>IF(_epmOfflineCondition_,"",_xll.EVPRO($B$1,H139,"JDEID"))</f>
        <v/>
      </c>
      <c r="M139" s="90" t="str">
        <f>IF(_epmOfflineCondition_,"",IF(AND(I139="N",J139="N"),_xll.EVPRO($B$1,H139,"PSFTID"),""))</f>
        <v/>
      </c>
      <c r="N139" s="106" t="str">
        <f>IF(_epmOfflineCondition_,"Wine Revenue",IF(_xll.EVDES(H139,$B$1)="#NODATA","",_xll.EVDES(H139,$B$1)))</f>
        <v>Wine Revenue</v>
      </c>
      <c r="O139" s="166">
        <v>13955.13</v>
      </c>
      <c r="P139" s="166">
        <v>21218.47</v>
      </c>
      <c r="Q139" s="166">
        <v>8829.35</v>
      </c>
      <c r="R139" s="166"/>
      <c r="S139" s="166"/>
      <c r="T139" s="166"/>
      <c r="U139" s="166">
        <v>56</v>
      </c>
      <c r="V139" s="166">
        <v>110</v>
      </c>
      <c r="W139" s="166">
        <v>791</v>
      </c>
      <c r="X139" s="166">
        <v>975</v>
      </c>
      <c r="Y139" s="166">
        <v>1368.2</v>
      </c>
      <c r="Z139" s="166">
        <v>4252.3</v>
      </c>
      <c r="AA139" s="166">
        <f t="shared" si="46"/>
        <v>51555.45</v>
      </c>
      <c r="AB139" s="167">
        <f t="shared" si="47"/>
        <v>0.10480872376656272</v>
      </c>
      <c r="AC139" s="140"/>
      <c r="AD139" s="166">
        <v>468163.47906400001</v>
      </c>
      <c r="AE139" s="167">
        <f t="shared" si="48"/>
        <v>0.16788554640838266</v>
      </c>
      <c r="AF139" s="168">
        <f t="shared" si="49"/>
        <v>-416608.029064</v>
      </c>
      <c r="AG139" s="166">
        <v>70808.27</v>
      </c>
      <c r="AH139" s="167">
        <f t="shared" si="50"/>
        <v>8.7756064255169602E-2</v>
      </c>
      <c r="AI139" s="168">
        <f t="shared" si="51"/>
        <v>-19252.820000000007</v>
      </c>
    </row>
    <row r="140" spans="1:35" x14ac:dyDescent="0.35">
      <c r="A140" s="11"/>
      <c r="B140" s="11"/>
      <c r="C140" s="208"/>
      <c r="D140" s="11"/>
      <c r="E140" s="11"/>
      <c r="F140" s="11"/>
      <c r="G140" s="11"/>
      <c r="H140" s="185"/>
      <c r="I140" s="122"/>
      <c r="J140" s="122"/>
      <c r="K140" s="11"/>
      <c r="L140" s="90"/>
      <c r="M140" s="90"/>
      <c r="N140" s="11"/>
      <c r="O140" s="174"/>
      <c r="P140" s="175"/>
      <c r="Q140" s="175"/>
      <c r="R140" s="175"/>
      <c r="S140" s="175"/>
      <c r="T140" s="175"/>
      <c r="U140" s="175"/>
      <c r="V140" s="175"/>
      <c r="W140" s="175"/>
      <c r="X140" s="175"/>
      <c r="Y140" s="175"/>
      <c r="Z140" s="175"/>
      <c r="AA140" s="175"/>
      <c r="AB140" s="176"/>
      <c r="AC140" s="140"/>
      <c r="AD140" s="174"/>
      <c r="AE140" s="175"/>
      <c r="AF140" s="176"/>
      <c r="AG140" s="174"/>
      <c r="AH140" s="175"/>
      <c r="AI140" s="176"/>
    </row>
    <row r="141" spans="1:35" x14ac:dyDescent="0.35">
      <c r="A141" s="11"/>
      <c r="B141" s="11"/>
      <c r="C141" s="208"/>
      <c r="D141" s="11"/>
      <c r="E141" s="11"/>
      <c r="F141" s="11"/>
      <c r="G141" s="11"/>
      <c r="H141" s="88" t="s">
        <v>267</v>
      </c>
      <c r="I141" s="122"/>
      <c r="J141" s="122"/>
      <c r="K141" s="11"/>
      <c r="L141" s="90" t="str">
        <f>IF(_epmOfflineCondition_,"",_xll.EVPRO($B$1,H141,"JDEID"))</f>
        <v/>
      </c>
      <c r="M141" s="90" t="str">
        <f>IF(_epmOfflineCondition_,"",IF(AND(I141="N",J141="N"),_xll.EVPRO($B$1,H141,"PSFTID"),""))</f>
        <v/>
      </c>
      <c r="N141" s="90" t="str">
        <f>IF(_epmOfflineCondition_,"Breakfast  Beverage Revenue",IF(_xll.EVDES(H141,$B$1)="#NODATA","",_xll.EVDES(H141,$B$1)))</f>
        <v>Breakfast  Beverage Revenue</v>
      </c>
      <c r="O141" s="143">
        <f t="shared" ref="O141:Z141" si="52">O115+O124+O133</f>
        <v>334</v>
      </c>
      <c r="P141" s="143">
        <f t="shared" si="52"/>
        <v>1356.99</v>
      </c>
      <c r="Q141" s="143">
        <f t="shared" si="52"/>
        <v>809</v>
      </c>
      <c r="R141" s="143">
        <f t="shared" si="52"/>
        <v>0</v>
      </c>
      <c r="S141" s="143">
        <f t="shared" si="52"/>
        <v>0</v>
      </c>
      <c r="T141" s="143">
        <f t="shared" si="52"/>
        <v>0</v>
      </c>
      <c r="U141" s="143">
        <f t="shared" si="52"/>
        <v>42</v>
      </c>
      <c r="V141" s="143">
        <f t="shared" si="52"/>
        <v>25</v>
      </c>
      <c r="W141" s="143">
        <f t="shared" si="52"/>
        <v>224</v>
      </c>
      <c r="X141" s="143">
        <f t="shared" si="52"/>
        <v>297</v>
      </c>
      <c r="Y141" s="143">
        <f t="shared" si="52"/>
        <v>221</v>
      </c>
      <c r="Z141" s="143">
        <f t="shared" si="52"/>
        <v>636</v>
      </c>
      <c r="AA141" s="143">
        <f t="shared" ref="AA141:AA148" si="53">SUM(O141:Z141)</f>
        <v>3944.99</v>
      </c>
      <c r="AB141" s="144">
        <f t="shared" ref="AB141:AB148" si="54">IF(AA141=0,"",IFERROR(AA141/AA$19,""))</f>
        <v>8.0198963867418923E-3</v>
      </c>
      <c r="AC141" s="140"/>
      <c r="AD141" s="143">
        <f t="shared" ref="AD141:AD146" si="55">AD115+AD124+AD133</f>
        <v>22045.0425</v>
      </c>
      <c r="AE141" s="144">
        <f t="shared" ref="AE141:AE148" si="56">IF(AD141=0,"",IFERROR(AD141/AD$19,""))</f>
        <v>7.9054522003895334E-3</v>
      </c>
      <c r="AF141" s="145">
        <f t="shared" ref="AF141:AF148" si="57">IF(AND($AA141="",AD141=""),"",$AA141-AD141)</f>
        <v>-18100.052499999998</v>
      </c>
      <c r="AG141" s="143">
        <f t="shared" ref="AG141:AG146" si="58">AG115+AG124+AG133</f>
        <v>4614.7999999999993</v>
      </c>
      <c r="AH141" s="144">
        <f t="shared" ref="AH141:AH148" si="59">IF(AG141=0,"",IFERROR(AG141/AG$19,""))</f>
        <v>5.7193416153897923E-3</v>
      </c>
      <c r="AI141" s="145">
        <f t="shared" ref="AI141:AI148" si="60">IF(AND($AA141="",AG141=""),"",$AA141-AG141)</f>
        <v>-669.80999999999949</v>
      </c>
    </row>
    <row r="142" spans="1:35" x14ac:dyDescent="0.35">
      <c r="A142" s="11"/>
      <c r="B142" s="11"/>
      <c r="C142" s="208"/>
      <c r="D142" s="11"/>
      <c r="E142" s="11"/>
      <c r="F142" s="11"/>
      <c r="G142" s="11"/>
      <c r="H142" s="88" t="s">
        <v>268</v>
      </c>
      <c r="I142" s="122"/>
      <c r="J142" s="122"/>
      <c r="K142" s="11"/>
      <c r="L142" s="90" t="str">
        <f>IF(_epmOfflineCondition_,"",_xll.EVPRO($B$1,H142,"JDEID"))</f>
        <v/>
      </c>
      <c r="M142" s="90" t="str">
        <f>IF(_epmOfflineCondition_,"",IF(AND(I142="N",J142="N"),_xll.EVPRO($B$1,H142,"PSFTID"),""))</f>
        <v/>
      </c>
      <c r="N142" s="90" t="str">
        <f>IF(_epmOfflineCondition_,"Lunch Beverage Revenue",IF(_xll.EVDES(H142,$B$1)="#NODATA","",_xll.EVDES(H142,$B$1)))</f>
        <v>Lunch Beverage Revenue</v>
      </c>
      <c r="O142" s="143">
        <f t="shared" ref="O142:Z142" si="61">O116+O125+O134</f>
        <v>7317.01</v>
      </c>
      <c r="P142" s="143">
        <f t="shared" si="61"/>
        <v>9095.5</v>
      </c>
      <c r="Q142" s="143">
        <f t="shared" si="61"/>
        <v>5521.7</v>
      </c>
      <c r="R142" s="143">
        <f t="shared" si="61"/>
        <v>0</v>
      </c>
      <c r="S142" s="143">
        <f t="shared" si="61"/>
        <v>0</v>
      </c>
      <c r="T142" s="143">
        <f t="shared" si="61"/>
        <v>0</v>
      </c>
      <c r="U142" s="143">
        <f t="shared" si="61"/>
        <v>1191</v>
      </c>
      <c r="V142" s="143">
        <f t="shared" si="61"/>
        <v>822</v>
      </c>
      <c r="W142" s="143">
        <f t="shared" si="61"/>
        <v>3235.28</v>
      </c>
      <c r="X142" s="143">
        <f t="shared" si="61"/>
        <v>4330.7199999999993</v>
      </c>
      <c r="Y142" s="143">
        <f t="shared" si="61"/>
        <v>4911</v>
      </c>
      <c r="Z142" s="143">
        <f t="shared" si="61"/>
        <v>6343</v>
      </c>
      <c r="AA142" s="143">
        <f t="shared" si="53"/>
        <v>42767.21</v>
      </c>
      <c r="AB142" s="144">
        <f t="shared" si="54"/>
        <v>8.6942829500209567E-2</v>
      </c>
      <c r="AC142" s="140"/>
      <c r="AD142" s="143">
        <f t="shared" si="55"/>
        <v>225746.20717199999</v>
      </c>
      <c r="AE142" s="144">
        <f t="shared" si="56"/>
        <v>8.0953613503692665E-2</v>
      </c>
      <c r="AF142" s="145">
        <f t="shared" si="57"/>
        <v>-182978.997172</v>
      </c>
      <c r="AG142" s="143">
        <f t="shared" si="58"/>
        <v>32753.200000000001</v>
      </c>
      <c r="AH142" s="144">
        <f t="shared" si="59"/>
        <v>4.059260201897915E-2</v>
      </c>
      <c r="AI142" s="145">
        <f t="shared" si="60"/>
        <v>10014.009999999998</v>
      </c>
    </row>
    <row r="143" spans="1:35" x14ac:dyDescent="0.35">
      <c r="A143" s="11"/>
      <c r="B143" s="11"/>
      <c r="C143" s="208"/>
      <c r="D143" s="11"/>
      <c r="E143" s="11"/>
      <c r="F143" s="11"/>
      <c r="G143" s="11"/>
      <c r="H143" s="185" t="s">
        <v>269</v>
      </c>
      <c r="I143" s="122"/>
      <c r="J143" s="122"/>
      <c r="K143" s="11"/>
      <c r="L143" s="90" t="str">
        <f>IF(_epmOfflineCondition_,"",_xll.EVPRO($B$1,H143,"JDEID"))</f>
        <v/>
      </c>
      <c r="M143" s="90" t="str">
        <f>IF(_epmOfflineCondition_,"",IF(AND(I143="N",J143="N"),_xll.EVPRO($B$1,H143,"PSFTID"),""))</f>
        <v/>
      </c>
      <c r="N143" s="90" t="str">
        <f>IF(_epmOfflineCondition_,"Dinner Beverage Revenue",IF(_xll.EVDES(H143,$B$1)="#NODATA","",_xll.EVDES(H143,$B$1)))</f>
        <v>Dinner Beverage Revenue</v>
      </c>
      <c r="O143" s="143">
        <f t="shared" ref="O143:Z143" si="62">O117+O126+O135</f>
        <v>9546.27</v>
      </c>
      <c r="P143" s="143">
        <f t="shared" si="62"/>
        <v>18104.98</v>
      </c>
      <c r="Q143" s="143">
        <f t="shared" si="62"/>
        <v>6329.4400000000005</v>
      </c>
      <c r="R143" s="143">
        <f t="shared" si="62"/>
        <v>0</v>
      </c>
      <c r="S143" s="143">
        <f t="shared" si="62"/>
        <v>0</v>
      </c>
      <c r="T143" s="143">
        <f t="shared" si="62"/>
        <v>0</v>
      </c>
      <c r="U143" s="143">
        <f t="shared" si="62"/>
        <v>616</v>
      </c>
      <c r="V143" s="143">
        <f t="shared" si="62"/>
        <v>146</v>
      </c>
      <c r="W143" s="143">
        <f t="shared" si="62"/>
        <v>479</v>
      </c>
      <c r="X143" s="143">
        <f t="shared" si="62"/>
        <v>5714</v>
      </c>
      <c r="Y143" s="143">
        <f t="shared" si="62"/>
        <v>2976.8999999999996</v>
      </c>
      <c r="Z143" s="143">
        <f t="shared" si="62"/>
        <v>4625.8</v>
      </c>
      <c r="AA143" s="143">
        <f t="shared" si="53"/>
        <v>48538.390000000007</v>
      </c>
      <c r="AB143" s="144">
        <f t="shared" si="54"/>
        <v>9.8675245964950198E-2</v>
      </c>
      <c r="AC143" s="140"/>
      <c r="AD143" s="143">
        <f t="shared" si="55"/>
        <v>451685.925048</v>
      </c>
      <c r="AE143" s="144">
        <f t="shared" si="56"/>
        <v>0.16197662082328457</v>
      </c>
      <c r="AF143" s="145">
        <f t="shared" si="57"/>
        <v>-403147.53504799999</v>
      </c>
      <c r="AG143" s="143">
        <f t="shared" si="58"/>
        <v>31377.17</v>
      </c>
      <c r="AH143" s="144">
        <f t="shared" si="59"/>
        <v>3.8887222448244808E-2</v>
      </c>
      <c r="AI143" s="145">
        <f t="shared" si="60"/>
        <v>17161.220000000008</v>
      </c>
    </row>
    <row r="144" spans="1:35" x14ac:dyDescent="0.35">
      <c r="A144" s="11"/>
      <c r="B144" s="11"/>
      <c r="C144" s="208"/>
      <c r="D144" s="11"/>
      <c r="E144" s="11"/>
      <c r="F144" s="11"/>
      <c r="G144" s="11"/>
      <c r="H144" s="185" t="s">
        <v>270</v>
      </c>
      <c r="I144" s="122"/>
      <c r="J144" s="122"/>
      <c r="K144" s="11"/>
      <c r="L144" s="90" t="str">
        <f>IF(_epmOfflineCondition_,"",_xll.EVPRO($B$1,H144,"JDEID"))</f>
        <v/>
      </c>
      <c r="M144" s="90" t="str">
        <f>IF(_epmOfflineCondition_,"",IF(AND(I144="N",J144="N"),_xll.EVPRO($B$1,H144,"PSFTID"),""))</f>
        <v/>
      </c>
      <c r="N144" s="90" t="str">
        <f>IF(_epmOfflineCondition_,"Bar Beverage Revenue",IF(_xll.EVDES(H144,$B$1)="#NODATA","",_xll.EVDES(H144,$B$1)))</f>
        <v>Bar Beverage Revenue</v>
      </c>
      <c r="O144" s="143">
        <f t="shared" ref="O144:Z144" si="63">O118+O127+O136</f>
        <v>28261.500000000004</v>
      </c>
      <c r="P144" s="143">
        <f t="shared" si="63"/>
        <v>28290.400000000001</v>
      </c>
      <c r="Q144" s="143">
        <f t="shared" si="63"/>
        <v>11571.599999999999</v>
      </c>
      <c r="R144" s="143">
        <f t="shared" si="63"/>
        <v>0</v>
      </c>
      <c r="S144" s="143">
        <f t="shared" si="63"/>
        <v>0</v>
      </c>
      <c r="T144" s="143">
        <f t="shared" si="63"/>
        <v>0</v>
      </c>
      <c r="U144" s="143">
        <f t="shared" si="63"/>
        <v>0</v>
      </c>
      <c r="V144" s="143">
        <f t="shared" si="63"/>
        <v>0</v>
      </c>
      <c r="W144" s="143">
        <f t="shared" si="63"/>
        <v>0</v>
      </c>
      <c r="X144" s="143">
        <f t="shared" si="63"/>
        <v>0</v>
      </c>
      <c r="Y144" s="143">
        <f t="shared" si="63"/>
        <v>1606.04</v>
      </c>
      <c r="Z144" s="143">
        <f t="shared" si="63"/>
        <v>4540.7</v>
      </c>
      <c r="AA144" s="143">
        <f t="shared" si="53"/>
        <v>74270.239999999991</v>
      </c>
      <c r="AB144" s="144">
        <f t="shared" si="54"/>
        <v>0.1509863470930099</v>
      </c>
      <c r="AC144" s="140"/>
      <c r="AD144" s="143">
        <f t="shared" si="55"/>
        <v>346839.70631799998</v>
      </c>
      <c r="AE144" s="144">
        <f t="shared" si="56"/>
        <v>0.12437829137748736</v>
      </c>
      <c r="AF144" s="145">
        <f t="shared" si="57"/>
        <v>-272569.46631799999</v>
      </c>
      <c r="AG144" s="143">
        <f t="shared" si="58"/>
        <v>226816.38</v>
      </c>
      <c r="AH144" s="144">
        <f t="shared" si="59"/>
        <v>0.28110435147483426</v>
      </c>
      <c r="AI144" s="145">
        <f t="shared" si="60"/>
        <v>-152546.14000000001</v>
      </c>
    </row>
    <row r="145" spans="1:35" x14ac:dyDescent="0.35">
      <c r="A145" s="11"/>
      <c r="B145" s="11"/>
      <c r="C145" s="208"/>
      <c r="D145" s="11"/>
      <c r="E145" s="11"/>
      <c r="F145" s="11"/>
      <c r="G145" s="11"/>
      <c r="H145" s="185" t="s">
        <v>271</v>
      </c>
      <c r="I145" s="122"/>
      <c r="J145" s="122"/>
      <c r="K145" s="11"/>
      <c r="L145" s="90" t="str">
        <f>IF(_epmOfflineCondition_,"",_xll.EVPRO($B$1,H145,"JDEID"))</f>
        <v/>
      </c>
      <c r="M145" s="90" t="str">
        <f>IF(_epmOfflineCondition_,"",IF(AND(I145="N",J145="N"),_xll.EVPRO($B$1,H145,"PSFTID"),""))</f>
        <v/>
      </c>
      <c r="N145" s="90" t="str">
        <f>IF(_epmOfflineCondition_,"Private Dining Beverage Revenue",IF(_xll.EVDES(H145,$B$1)="#NODATA","",_xll.EVDES(H145,$B$1)))</f>
        <v>Private Dining Beverage Revenue</v>
      </c>
      <c r="O145" s="143">
        <f t="shared" ref="O145:Z145" si="64">O119+O128+O137</f>
        <v>0</v>
      </c>
      <c r="P145" s="143">
        <f t="shared" si="64"/>
        <v>3002</v>
      </c>
      <c r="Q145" s="143">
        <f t="shared" si="64"/>
        <v>0</v>
      </c>
      <c r="R145" s="143">
        <f t="shared" si="64"/>
        <v>0</v>
      </c>
      <c r="S145" s="143">
        <f t="shared" si="64"/>
        <v>0</v>
      </c>
      <c r="T145" s="143">
        <f t="shared" si="64"/>
        <v>0</v>
      </c>
      <c r="U145" s="143">
        <f t="shared" si="64"/>
        <v>0</v>
      </c>
      <c r="V145" s="143">
        <f t="shared" si="64"/>
        <v>0</v>
      </c>
      <c r="W145" s="143">
        <f t="shared" si="64"/>
        <v>0</v>
      </c>
      <c r="X145" s="143">
        <f t="shared" si="64"/>
        <v>0</v>
      </c>
      <c r="Y145" s="143">
        <f t="shared" si="64"/>
        <v>0</v>
      </c>
      <c r="Z145" s="143">
        <f t="shared" si="64"/>
        <v>0</v>
      </c>
      <c r="AA145" s="143">
        <f t="shared" si="53"/>
        <v>3002</v>
      </c>
      <c r="AB145" s="144">
        <f t="shared" si="54"/>
        <v>6.1028618457839336E-3</v>
      </c>
      <c r="AC145" s="140"/>
      <c r="AD145" s="143">
        <f t="shared" si="55"/>
        <v>13223.10036</v>
      </c>
      <c r="AE145" s="144">
        <f t="shared" si="56"/>
        <v>4.7418637472317702E-3</v>
      </c>
      <c r="AF145" s="145">
        <f t="shared" si="57"/>
        <v>-10221.10036</v>
      </c>
      <c r="AG145" s="143">
        <f t="shared" si="58"/>
        <v>140</v>
      </c>
      <c r="AH145" s="144">
        <f t="shared" si="59"/>
        <v>1.7350867343212512E-4</v>
      </c>
      <c r="AI145" s="145">
        <f t="shared" si="60"/>
        <v>2862</v>
      </c>
    </row>
    <row r="146" spans="1:35" x14ac:dyDescent="0.35">
      <c r="A146" s="11"/>
      <c r="B146" s="11"/>
      <c r="C146" s="208"/>
      <c r="D146" s="11"/>
      <c r="E146" s="11"/>
      <c r="F146" s="11"/>
      <c r="G146" s="11"/>
      <c r="H146" s="185" t="s">
        <v>811</v>
      </c>
      <c r="I146" s="122"/>
      <c r="J146" s="122"/>
      <c r="K146" s="11"/>
      <c r="L146" s="90" t="str">
        <f>IF(_epmOfflineCondition_,"",_xll.EVPRO($B$1,H146,"JDEID"))</f>
        <v/>
      </c>
      <c r="M146" s="90" t="str">
        <f>IF(_epmOfflineCondition_,"",IF(AND(I146="N",J146="N"),_xll.EVPRO($B$1,H146,"PSFTID"),""))</f>
        <v/>
      </c>
      <c r="N146" s="90" t="str">
        <f>IF(_epmOfflineCondition_,"Reception Revenue",IF(_xll.EVDES(H146,$B$1)="#NODATA","",_xll.EVDES(H146,$B$1)))</f>
        <v>Reception Revenue</v>
      </c>
      <c r="O146" s="143">
        <f t="shared" ref="O146:Z146" si="65">O120+O129+O138</f>
        <v>918</v>
      </c>
      <c r="P146" s="143">
        <f t="shared" si="65"/>
        <v>1500</v>
      </c>
      <c r="Q146" s="143">
        <f t="shared" si="65"/>
        <v>0</v>
      </c>
      <c r="R146" s="143">
        <f t="shared" si="65"/>
        <v>0</v>
      </c>
      <c r="S146" s="143">
        <f t="shared" si="65"/>
        <v>0</v>
      </c>
      <c r="T146" s="143">
        <f t="shared" si="65"/>
        <v>0</v>
      </c>
      <c r="U146" s="143">
        <f t="shared" si="65"/>
        <v>0</v>
      </c>
      <c r="V146" s="143">
        <f t="shared" si="65"/>
        <v>0</v>
      </c>
      <c r="W146" s="143">
        <f t="shared" si="65"/>
        <v>504</v>
      </c>
      <c r="X146" s="143">
        <f t="shared" si="65"/>
        <v>0</v>
      </c>
      <c r="Y146" s="143">
        <f t="shared" si="65"/>
        <v>0</v>
      </c>
      <c r="Z146" s="143">
        <f t="shared" si="65"/>
        <v>0</v>
      </c>
      <c r="AA146" s="143">
        <f t="shared" si="53"/>
        <v>2922</v>
      </c>
      <c r="AB146" s="144">
        <f t="shared" si="54"/>
        <v>5.9402272862693721E-3</v>
      </c>
      <c r="AC146" s="140"/>
      <c r="AD146" s="143">
        <f t="shared" si="55"/>
        <v>0</v>
      </c>
      <c r="AE146" s="144" t="str">
        <f t="shared" si="56"/>
        <v/>
      </c>
      <c r="AF146" s="145">
        <f t="shared" si="57"/>
        <v>2922</v>
      </c>
      <c r="AG146" s="143">
        <f t="shared" si="58"/>
        <v>0</v>
      </c>
      <c r="AH146" s="144" t="str">
        <f t="shared" si="59"/>
        <v/>
      </c>
      <c r="AI146" s="145">
        <f t="shared" si="60"/>
        <v>2922</v>
      </c>
    </row>
    <row r="147" spans="1:35" x14ac:dyDescent="0.35">
      <c r="A147" s="11"/>
      <c r="B147" s="11"/>
      <c r="C147" s="208"/>
      <c r="D147" s="11"/>
      <c r="E147" s="11"/>
      <c r="F147" s="11"/>
      <c r="G147" s="11"/>
      <c r="H147" s="185" t="s">
        <v>351</v>
      </c>
      <c r="I147" s="122"/>
      <c r="J147" s="122"/>
      <c r="K147" s="11"/>
      <c r="L147" s="90" t="str">
        <f>IF(_epmOfflineCondition_,"467200",_xll.EVPRO($B$1,H147,"JDEID"))</f>
        <v>467200</v>
      </c>
      <c r="M147" s="90" t="str">
        <f>IF(_epmOfflineCondition_,"",IF(AND(I147="N",J147="N"),_xll.EVPRO($B$1,H147,"PSFTID"),""))</f>
        <v/>
      </c>
      <c r="N147" s="90" t="str">
        <f>IF(_epmOfflineCondition_,"Mini Bar Beverage",IF(_xll.EVDES(H147,$B$1)="#NODATA","",_xll.EVDES(H147,$B$1)))</f>
        <v>Mini Bar Beverage</v>
      </c>
      <c r="O147" s="143">
        <f t="shared" ref="O147:Z147" si="66">O96</f>
        <v>3238</v>
      </c>
      <c r="P147" s="143">
        <f t="shared" si="66"/>
        <v>5330</v>
      </c>
      <c r="Q147" s="143">
        <f t="shared" si="66"/>
        <v>3203</v>
      </c>
      <c r="R147" s="143">
        <f t="shared" si="66"/>
        <v>0</v>
      </c>
      <c r="S147" s="143">
        <f t="shared" si="66"/>
        <v>-165</v>
      </c>
      <c r="T147" s="143">
        <f t="shared" si="66"/>
        <v>664</v>
      </c>
      <c r="U147" s="143">
        <f t="shared" si="66"/>
        <v>451.75</v>
      </c>
      <c r="V147" s="143">
        <f t="shared" si="66"/>
        <v>2208</v>
      </c>
      <c r="W147" s="143">
        <f t="shared" si="66"/>
        <v>2264</v>
      </c>
      <c r="X147" s="143">
        <f t="shared" si="66"/>
        <v>3149</v>
      </c>
      <c r="Y147" s="143">
        <f t="shared" si="66"/>
        <v>2144</v>
      </c>
      <c r="Z147" s="143">
        <f t="shared" si="66"/>
        <v>2720</v>
      </c>
      <c r="AA147" s="143">
        <f t="shared" si="53"/>
        <v>25206.75</v>
      </c>
      <c r="AB147" s="144">
        <f t="shared" si="54"/>
        <v>5.1243608538046027E-2</v>
      </c>
      <c r="AC147" s="140"/>
      <c r="AD147" s="143">
        <f>AD96</f>
        <v>47420.1</v>
      </c>
      <c r="AE147" s="144">
        <f t="shared" si="56"/>
        <v>1.7005062879225191E-2</v>
      </c>
      <c r="AF147" s="145">
        <f t="shared" si="57"/>
        <v>-22213.35</v>
      </c>
      <c r="AG147" s="143">
        <f>AG96</f>
        <v>39597</v>
      </c>
      <c r="AH147" s="144">
        <f t="shared" si="59"/>
        <v>4.9074449584941851E-2</v>
      </c>
      <c r="AI147" s="145">
        <f t="shared" si="60"/>
        <v>-14390.25</v>
      </c>
    </row>
    <row r="148" spans="1:35" x14ac:dyDescent="0.35">
      <c r="A148" s="11"/>
      <c r="B148" s="11"/>
      <c r="C148" s="208"/>
      <c r="D148" s="11"/>
      <c r="E148" s="11"/>
      <c r="F148" s="11"/>
      <c r="G148" s="11"/>
      <c r="H148" s="88" t="s">
        <v>272</v>
      </c>
      <c r="I148" s="122"/>
      <c r="J148" s="122"/>
      <c r="K148" s="11"/>
      <c r="L148" s="90" t="str">
        <f>IF(_epmOfflineCondition_,"",_xll.EVPRO($B$1,H148,"JDEID"))</f>
        <v/>
      </c>
      <c r="M148" s="90" t="str">
        <f>IF(_epmOfflineCondition_,"",IF(AND(I148="N",J148="N"),_xll.EVPRO($B$1,H148,"PSFTID"),""))</f>
        <v/>
      </c>
      <c r="N148" s="106" t="str">
        <f>IF(_epmOfflineCondition_,"Total Beverage Revenue",IF(_xll.EVDES(H148,$B$1)="#NODATA","",_xll.EVDES(H148,$B$1)))</f>
        <v>Total Beverage Revenue</v>
      </c>
      <c r="O148" s="166">
        <f t="shared" ref="O148:Z148" si="67">SUM(O141:O147)</f>
        <v>49614.78</v>
      </c>
      <c r="P148" s="166">
        <f t="shared" si="67"/>
        <v>66679.87</v>
      </c>
      <c r="Q148" s="166">
        <f t="shared" si="67"/>
        <v>27434.739999999998</v>
      </c>
      <c r="R148" s="166">
        <f t="shared" si="67"/>
        <v>0</v>
      </c>
      <c r="S148" s="166">
        <f t="shared" si="67"/>
        <v>-165</v>
      </c>
      <c r="T148" s="166">
        <f t="shared" si="67"/>
        <v>664</v>
      </c>
      <c r="U148" s="166">
        <f t="shared" si="67"/>
        <v>2300.75</v>
      </c>
      <c r="V148" s="166">
        <f t="shared" si="67"/>
        <v>3201</v>
      </c>
      <c r="W148" s="166">
        <f t="shared" si="67"/>
        <v>6706.2800000000007</v>
      </c>
      <c r="X148" s="166">
        <f t="shared" si="67"/>
        <v>13490.72</v>
      </c>
      <c r="Y148" s="166">
        <f t="shared" si="67"/>
        <v>11858.939999999999</v>
      </c>
      <c r="Z148" s="166">
        <f t="shared" si="67"/>
        <v>18865.5</v>
      </c>
      <c r="AA148" s="166">
        <f t="shared" si="53"/>
        <v>200651.58</v>
      </c>
      <c r="AB148" s="167">
        <f t="shared" si="54"/>
        <v>0.40791101661501084</v>
      </c>
      <c r="AC148" s="140"/>
      <c r="AD148" s="166">
        <f>SUM(AD141:AD147)</f>
        <v>1106960.081398</v>
      </c>
      <c r="AE148" s="167">
        <f t="shared" si="56"/>
        <v>0.39696090453131111</v>
      </c>
      <c r="AF148" s="168">
        <f t="shared" si="57"/>
        <v>-906308.50139800005</v>
      </c>
      <c r="AG148" s="166">
        <f>SUM(AG141:AG147)</f>
        <v>335298.55</v>
      </c>
      <c r="AH148" s="167">
        <f t="shared" si="59"/>
        <v>0.41555147581582197</v>
      </c>
      <c r="AI148" s="168">
        <f t="shared" si="60"/>
        <v>-134646.97</v>
      </c>
    </row>
    <row r="149" spans="1:35" x14ac:dyDescent="0.35">
      <c r="A149" s="11"/>
      <c r="B149" s="11"/>
      <c r="C149" s="208"/>
      <c r="D149" s="11"/>
      <c r="E149" s="11"/>
      <c r="F149" s="11"/>
      <c r="G149" s="11"/>
      <c r="H149" s="185"/>
      <c r="I149" s="122"/>
      <c r="J149" s="122"/>
      <c r="K149" s="11"/>
      <c r="L149" s="11"/>
      <c r="M149" s="11"/>
      <c r="N149" s="11"/>
      <c r="O149" s="174"/>
      <c r="P149" s="175"/>
      <c r="Q149" s="175"/>
      <c r="R149" s="175"/>
      <c r="S149" s="175"/>
      <c r="T149" s="175"/>
      <c r="U149" s="175"/>
      <c r="V149" s="175"/>
      <c r="W149" s="175"/>
      <c r="X149" s="175"/>
      <c r="Y149" s="175"/>
      <c r="Z149" s="175"/>
      <c r="AA149" s="175"/>
      <c r="AB149" s="176"/>
      <c r="AC149" s="140"/>
      <c r="AD149" s="174"/>
      <c r="AE149" s="175"/>
      <c r="AF149" s="176"/>
      <c r="AG149" s="174"/>
      <c r="AH149" s="175"/>
      <c r="AI149" s="176"/>
    </row>
    <row r="150" spans="1:35" x14ac:dyDescent="0.35">
      <c r="A150" s="11"/>
      <c r="B150" s="11"/>
      <c r="C150" s="208"/>
      <c r="D150" s="11"/>
      <c r="E150" s="11"/>
      <c r="F150" s="11"/>
      <c r="G150" s="11"/>
      <c r="H150" s="185"/>
      <c r="I150" s="122"/>
      <c r="J150" s="122"/>
      <c r="K150" s="11"/>
      <c r="L150" s="11"/>
      <c r="M150" s="11"/>
      <c r="N150" s="11"/>
      <c r="O150" s="162"/>
      <c r="P150" s="163"/>
      <c r="Q150" s="163"/>
      <c r="R150" s="163"/>
      <c r="S150" s="163"/>
      <c r="T150" s="163"/>
      <c r="U150" s="163"/>
      <c r="V150" s="163"/>
      <c r="W150" s="163"/>
      <c r="X150" s="163"/>
      <c r="Y150" s="163"/>
      <c r="Z150" s="163"/>
      <c r="AA150" s="163"/>
      <c r="AB150" s="164"/>
      <c r="AC150" s="140"/>
      <c r="AD150" s="162"/>
      <c r="AE150" s="163"/>
      <c r="AF150" s="164"/>
      <c r="AG150" s="162"/>
      <c r="AH150" s="163"/>
      <c r="AI150" s="164"/>
    </row>
    <row r="151" spans="1:35" ht="15" customHeight="1" x14ac:dyDescent="0.35">
      <c r="A151" s="11"/>
      <c r="B151" s="11"/>
      <c r="C151" s="208"/>
      <c r="D151" s="11"/>
      <c r="E151" s="11"/>
      <c r="F151" s="11"/>
      <c r="G151" s="11"/>
      <c r="H151" s="185" t="s">
        <v>281</v>
      </c>
      <c r="I151" s="122"/>
      <c r="J151" s="122"/>
      <c r="K151" s="11"/>
      <c r="L151" s="11"/>
      <c r="M151" s="11"/>
      <c r="N151" s="489" t="str">
        <f>IF(_epmOfflineCondition_,"Cost of Sales",IF(_xll.EVDES(H151,$B$1)="#NODATA","",_xll.EVDES(H151,$B$1)))</f>
        <v>Cost of Sales</v>
      </c>
      <c r="O151" s="518"/>
      <c r="P151" s="519"/>
      <c r="Q151" s="519"/>
      <c r="R151" s="519"/>
      <c r="S151" s="519"/>
      <c r="T151" s="519"/>
      <c r="U151" s="519"/>
      <c r="V151" s="519"/>
      <c r="W151" s="519"/>
      <c r="X151" s="519"/>
      <c r="Y151" s="519"/>
      <c r="Z151" s="519"/>
      <c r="AA151" s="519"/>
      <c r="AB151" s="520"/>
      <c r="AC151" s="140"/>
      <c r="AD151" s="518"/>
      <c r="AE151" s="519"/>
      <c r="AF151" s="519"/>
      <c r="AG151" s="519"/>
      <c r="AH151" s="519"/>
      <c r="AI151" s="520"/>
    </row>
    <row r="152" spans="1:35" x14ac:dyDescent="0.35">
      <c r="A152" s="11"/>
      <c r="B152" s="11"/>
      <c r="C152" s="208"/>
      <c r="D152" s="11"/>
      <c r="E152" s="11"/>
      <c r="F152" s="11"/>
      <c r="G152" s="11"/>
      <c r="H152" s="185">
        <v>561100</v>
      </c>
      <c r="I152" s="122"/>
      <c r="J152" s="122"/>
      <c r="K152" s="11"/>
      <c r="L152" s="90" t="str">
        <f>IF(_epmOfflineCondition_,"561100",_xll.EVPRO($B$1,H152,"JDEID"))</f>
        <v>561100</v>
      </c>
      <c r="M152" s="90" t="str">
        <f>IF(_epmOfflineCondition_,"",IF(AND(I152="N",J152="N"),_xll.EVPRO($B$1,H152,"PSFTID"),""))</f>
        <v/>
      </c>
      <c r="N152" s="90" t="str">
        <f>IF(_epmOfflineCondition_,"Cost of Food Sales",IF(_xll.EVDES(H152,$B$1)="#NODATA","",_xll.EVDES(H152,$B$1)))</f>
        <v>Cost of Food Sales</v>
      </c>
      <c r="O152" s="143">
        <v>38081.29</v>
      </c>
      <c r="P152" s="143">
        <v>43411.75</v>
      </c>
      <c r="Q152" s="143">
        <v>20098.509999999998</v>
      </c>
      <c r="R152" s="143">
        <v>-145</v>
      </c>
      <c r="S152" s="143">
        <v>-3040.95</v>
      </c>
      <c r="T152" s="143">
        <v>407.47</v>
      </c>
      <c r="U152" s="143">
        <v>9317.76</v>
      </c>
      <c r="V152" s="143">
        <v>2565.12</v>
      </c>
      <c r="W152" s="143">
        <v>2112.98</v>
      </c>
      <c r="X152" s="143">
        <v>2993.72</v>
      </c>
      <c r="Y152" s="143">
        <v>1819.51</v>
      </c>
      <c r="Z152" s="143">
        <v>8178.79</v>
      </c>
      <c r="AA152" s="143">
        <f>SUM(O152:Z152)</f>
        <v>125800.94999999998</v>
      </c>
      <c r="AB152" s="436">
        <f>IF(_epmOfflineCondition_,0.430173679088687,IF(AA152=0,"",IFERROR(AA152/_xll.EVGTS($B$1,1,_xll.EVPRO($B$1,$H152,"COSBASIS"),$B$3,$B$5,$B$6,$B$7,$B$9,AA$16,AA$17,AA$11),"")))</f>
        <v>0.43017367908868698</v>
      </c>
      <c r="AC152" s="140"/>
      <c r="AD152" s="143">
        <v>455777.67895999999</v>
      </c>
      <c r="AE152" s="436">
        <f>IF(_epmOfflineCondition_,0.271033741523064,IF(AD152=0,"",IFERROR(AD152/_xll.EVGTS($B$1,1,_xll.EVPRO($B$1,$H152,"COSBASIS"),$B$3,$B$5,$B$6,$B$7,$B$9,AD$16,AD$17,AD$18),"")))</f>
        <v>0.27103374152306398</v>
      </c>
      <c r="AF152" s="145">
        <f t="shared" ref="AF152:AF157" si="68">IF(AND($AA152="",AD152=""),"",$AA152-AD152)</f>
        <v>-329976.72895999998</v>
      </c>
      <c r="AG152" s="143">
        <v>238263.61</v>
      </c>
      <c r="AH152" s="436">
        <f>IF(_epmOfflineCondition_,0.503947966183248,IF(AG152=0,"",IFERROR(AG152/_xll.EVGTS($B$1,1,_xll.EVPRO($B$1,$H152,"COSBASIS"),$B$3,$B$5,$B$6,$B$7,$B$9,AG$16,AG$17,AG$18),"")))</f>
        <v>0.503947966183248</v>
      </c>
      <c r="AI152" s="145">
        <f t="shared" ref="AI152:AI157" si="69">IF(AND($AA152="",AG152=""),"",$AA152-AG152)</f>
        <v>-112462.66</v>
      </c>
    </row>
    <row r="153" spans="1:35" x14ac:dyDescent="0.35">
      <c r="A153" s="11"/>
      <c r="B153" s="11"/>
      <c r="C153" s="208"/>
      <c r="D153" s="11"/>
      <c r="E153" s="11"/>
      <c r="F153" s="11"/>
      <c r="G153" s="11"/>
      <c r="H153" s="185" t="s">
        <v>756</v>
      </c>
      <c r="I153" s="122"/>
      <c r="J153" s="122"/>
      <c r="K153" s="11"/>
      <c r="L153" s="90" t="str">
        <f>IF(_epmOfflineCondition_,"",_xll.EVPRO($B$1,H153,"JDEID"))</f>
        <v/>
      </c>
      <c r="M153" s="90" t="str">
        <f>IF(_epmOfflineCondition_,"",IF(AND(I153="N",J153="N"),_xll.EVPRO($B$1,H153,"PSFTID"),""))</f>
        <v/>
      </c>
      <c r="N153" s="493" t="str">
        <f>IF(_epmOfflineCondition_,"Food Cost %",IF(_xll.EVDES(H153,$B$1)="#NODATA","",_xll.EVDES(H153,$B$1)))</f>
        <v>Food Cost %</v>
      </c>
      <c r="O153" s="508">
        <v>0.402136595091312</v>
      </c>
      <c r="P153" s="508">
        <v>0.39344807125319298</v>
      </c>
      <c r="Q153" s="508">
        <v>0.50704082157802799</v>
      </c>
      <c r="R153" s="508"/>
      <c r="S153" s="508">
        <v>0.27122207129306602</v>
      </c>
      <c r="T153" s="508">
        <v>1.6496761133603199</v>
      </c>
      <c r="U153" s="508">
        <v>4.8429106029106004</v>
      </c>
      <c r="V153" s="508">
        <v>0.48938662596584898</v>
      </c>
      <c r="W153" s="508">
        <v>0.314875747334037</v>
      </c>
      <c r="X153" s="508">
        <v>0.34977614102648003</v>
      </c>
      <c r="Y153" s="508">
        <v>0.159141697869463</v>
      </c>
      <c r="Z153" s="508">
        <v>0.32891325941743998</v>
      </c>
      <c r="AA153" s="508">
        <v>0.43017367908868698</v>
      </c>
      <c r="AB153" s="436"/>
      <c r="AC153" s="140"/>
      <c r="AD153" s="508">
        <v>0.27103374152306398</v>
      </c>
      <c r="AE153" s="436"/>
      <c r="AF153" s="521">
        <f t="shared" si="68"/>
        <v>0.159139937565623</v>
      </c>
      <c r="AG153" s="508">
        <v>0.503947966183248</v>
      </c>
      <c r="AH153" s="436"/>
      <c r="AI153" s="521">
        <f t="shared" si="69"/>
        <v>-7.377428709456102E-2</v>
      </c>
    </row>
    <row r="154" spans="1:35" x14ac:dyDescent="0.35">
      <c r="A154" s="11"/>
      <c r="B154" s="11"/>
      <c r="C154" s="208"/>
      <c r="D154" s="11"/>
      <c r="E154" s="11"/>
      <c r="F154" s="11"/>
      <c r="G154" s="11"/>
      <c r="H154" s="185" t="s">
        <v>770</v>
      </c>
      <c r="I154" s="122"/>
      <c r="J154" s="122"/>
      <c r="K154" s="11"/>
      <c r="L154" s="90" t="str">
        <f>IF(_epmOfflineCondition_,"",_xll.EVPRO($B$1,H154,"JDEID"))</f>
        <v/>
      </c>
      <c r="M154" s="90" t="str">
        <f>IF(_epmOfflineCondition_,"",IF(AND(I154="N",J154="N"),_xll.EVPRO($B$1,H154,"PSFTID"),""))</f>
        <v/>
      </c>
      <c r="N154" s="90" t="str">
        <f>IF(_epmOfflineCondition_,"Cost of Food (Excl Minibar)",IF(_xll.EVDES(H154,$B$1)="#NODATA","",_xll.EVDES(H154,$B$1)))</f>
        <v>Cost of Food (Excl Minibar)</v>
      </c>
      <c r="O154" s="143">
        <v>36979.75</v>
      </c>
      <c r="P154" s="143">
        <v>41969.93</v>
      </c>
      <c r="Q154" s="143">
        <v>19308.28</v>
      </c>
      <c r="R154" s="143">
        <v>-145</v>
      </c>
      <c r="S154" s="143">
        <v>-3040.95</v>
      </c>
      <c r="T154" s="143">
        <v>-315.74</v>
      </c>
      <c r="U154" s="143">
        <v>9108.9599999999991</v>
      </c>
      <c r="V154" s="143">
        <v>1907.93</v>
      </c>
      <c r="W154" s="143">
        <v>1330.23</v>
      </c>
      <c r="X154" s="143">
        <v>2726.88</v>
      </c>
      <c r="Y154" s="143">
        <v>1728.52</v>
      </c>
      <c r="Z154" s="143">
        <v>8025.49</v>
      </c>
      <c r="AA154" s="143">
        <f>SUM(O154:Z154)</f>
        <v>119584.27999999998</v>
      </c>
      <c r="AB154" s="436">
        <f>IF(_epmOfflineCondition_,0.444912714211219,IF(AA154=0,"",IFERROR(AA154/_xll.EVGTS($B$1,1,_xll.EVPRO($B$1,$H154,"COSBASIS"),$B$3,$B$5,$B$6,$B$7,$B$9,AA$16,AA$17,AA$11),"")))</f>
        <v>0.44491271421121897</v>
      </c>
      <c r="AC154" s="140"/>
      <c r="AD154" s="143">
        <v>438632.19</v>
      </c>
      <c r="AE154" s="436">
        <f>IF(_epmOfflineCondition_,0.273093235532319,IF(AD154=0,"",IFERROR(AD154/_xll.EVGTS($B$1,1,_xll.EVPRO($B$1,$H154,"COSBASIS"),$B$3,$B$5,$B$6,$B$7,$B$9,AD$16,AD$17,AD$18),"")))</f>
        <v>0.27309323553231901</v>
      </c>
      <c r="AF154" s="145">
        <f t="shared" si="68"/>
        <v>-319047.91000000003</v>
      </c>
      <c r="AG154" s="143">
        <v>224293.81</v>
      </c>
      <c r="AH154" s="436">
        <f>IF(_epmOfflineCondition_,0.550947087723366,IF(AG154=0,"",IFERROR(AG154/_xll.EVGTS($B$1,1,_xll.EVPRO($B$1,$H154,"COSBASIS"),$B$3,$B$5,$B$6,$B$7,$B$9,AG$16,AG$17,AG$18),"")))</f>
        <v>0.55094708772336598</v>
      </c>
      <c r="AI154" s="145">
        <f t="shared" si="69"/>
        <v>-104709.53000000001</v>
      </c>
    </row>
    <row r="155" spans="1:35" x14ac:dyDescent="0.35">
      <c r="A155" s="11"/>
      <c r="B155" s="11"/>
      <c r="C155" s="208"/>
      <c r="D155" s="11"/>
      <c r="E155" s="11"/>
      <c r="F155" s="11"/>
      <c r="G155" s="11"/>
      <c r="H155" s="185" t="s">
        <v>771</v>
      </c>
      <c r="I155" s="122"/>
      <c r="J155" s="122"/>
      <c r="K155" s="11"/>
      <c r="L155" s="90" t="str">
        <f>IF(_epmOfflineCondition_,"",_xll.EVPRO($B$1,H155,"JDEID"))</f>
        <v/>
      </c>
      <c r="M155" s="90" t="str">
        <f>IF(_epmOfflineCondition_,"",IF(AND(I155="N",J155="N"),_xll.EVPRO($B$1,H155,"PSFTID"),""))</f>
        <v/>
      </c>
      <c r="N155" s="493" t="str">
        <f>IF(_epmOfflineCondition_,"Cost of Food % (Excl Minibar)",IF(_xll.EVDES(H155,$B$1)="#NODATA","",_xll.EVDES(H155,$B$1)))</f>
        <v>Cost of Food % (Excl Minibar)</v>
      </c>
      <c r="O155" s="508">
        <v>0.421102334480498</v>
      </c>
      <c r="P155" s="508">
        <v>0.40386636533329301</v>
      </c>
      <c r="Q155" s="508">
        <v>0.552030429278345</v>
      </c>
      <c r="R155" s="508"/>
      <c r="S155" s="508">
        <v>0.27299953407074001</v>
      </c>
      <c r="T155" s="508"/>
      <c r="U155" s="508">
        <v>5.7073684210526299</v>
      </c>
      <c r="V155" s="508">
        <v>0.447976050716131</v>
      </c>
      <c r="W155" s="508">
        <v>0.235584041143926</v>
      </c>
      <c r="X155" s="508">
        <v>0.3932134174302</v>
      </c>
      <c r="Y155" s="508">
        <v>0.16385209592701699</v>
      </c>
      <c r="Z155" s="508">
        <v>0.331342920016019</v>
      </c>
      <c r="AA155" s="508">
        <v>0.44491271421121897</v>
      </c>
      <c r="AB155" s="436"/>
      <c r="AC155" s="140"/>
      <c r="AD155" s="508">
        <v>0.27309323553231901</v>
      </c>
      <c r="AE155" s="436"/>
      <c r="AF155" s="521">
        <f t="shared" si="68"/>
        <v>0.17181947867889996</v>
      </c>
      <c r="AG155" s="508">
        <v>0.55094708772336598</v>
      </c>
      <c r="AH155" s="436"/>
      <c r="AI155" s="521">
        <f t="shared" si="69"/>
        <v>-0.10603437351214701</v>
      </c>
    </row>
    <row r="156" spans="1:35" x14ac:dyDescent="0.35">
      <c r="A156" s="11"/>
      <c r="B156" s="11"/>
      <c r="C156" s="208"/>
      <c r="D156" s="11"/>
      <c r="E156" s="11"/>
      <c r="F156" s="11"/>
      <c r="G156" s="11"/>
      <c r="H156" s="494">
        <v>567100</v>
      </c>
      <c r="I156" s="122"/>
      <c r="J156" s="122"/>
      <c r="K156" s="11"/>
      <c r="L156" s="90" t="str">
        <f>IF(_epmOfflineCondition_,"567100",_xll.EVPRO($B$1,H156,"JDEID"))</f>
        <v>567100</v>
      </c>
      <c r="M156" s="90" t="str">
        <f>IF(_epmOfflineCondition_,"",IF(AND(I156="N",J156="N"),_xll.EVPRO($B$1,H156,"PSFTID"),""))</f>
        <v/>
      </c>
      <c r="N156" s="90" t="str">
        <f>IF(_epmOfflineCondition_,"Mini Bar Cost of Food",IF(_xll.EVDES(H156,$B$1)="#NODATA","",_xll.EVDES(H156,$B$1)))</f>
        <v>Mini Bar Cost of Food</v>
      </c>
      <c r="O156" s="143">
        <v>1101.54</v>
      </c>
      <c r="P156" s="143">
        <v>1441.82</v>
      </c>
      <c r="Q156" s="143">
        <v>790.23</v>
      </c>
      <c r="R156" s="143"/>
      <c r="S156" s="143"/>
      <c r="T156" s="143">
        <v>723.21</v>
      </c>
      <c r="U156" s="143">
        <v>208.8</v>
      </c>
      <c r="V156" s="143">
        <v>657.19</v>
      </c>
      <c r="W156" s="143">
        <v>782.75</v>
      </c>
      <c r="X156" s="143">
        <v>266.83999999999997</v>
      </c>
      <c r="Y156" s="143">
        <v>90.99</v>
      </c>
      <c r="Z156" s="143">
        <v>153.30000000000001</v>
      </c>
      <c r="AA156" s="143">
        <f>SUM(O156:Z156)</f>
        <v>6216.6699999999992</v>
      </c>
      <c r="AB156" s="436">
        <f>IF(_epmOfflineCondition_,0.26274143847268,IF(AA156=0,"",IFERROR(AA156/_xll.EVGTS($B$1,1,_xll.EVPRO($B$1,$H156,"COSBASIS"),$B$3,$B$5,$B$6,$B$7,$B$9,AA$16,AA$17,AA$11),"")))</f>
        <v>0.26274143847268</v>
      </c>
      <c r="AC156" s="140"/>
      <c r="AD156" s="143">
        <v>17145.488959999999</v>
      </c>
      <c r="AE156" s="436">
        <f>IF(_epmOfflineCondition_,0.2272,IF(AD156=0,"",IFERROR(AD156/_xll.EVGTS($B$1,1,_xll.EVPRO($B$1,$H156,"COSBASIS"),$B$3,$B$5,$B$6,$B$7,$B$9,AD$16,AD$17,AD$18),"")))</f>
        <v>0.22720000000000001</v>
      </c>
      <c r="AF156" s="145">
        <f t="shared" si="68"/>
        <v>-10928.818960000001</v>
      </c>
      <c r="AG156" s="143">
        <v>13969.8</v>
      </c>
      <c r="AH156" s="436">
        <f>IF(_epmOfflineCondition_,0.212668430251596,IF(AG156=0,"",IFERROR(AG156/_xll.EVGTS($B$1,1,_xll.EVPRO($B$1,$H156,"COSBASIS"),$B$3,$B$5,$B$6,$B$7,$B$9,AG$16,AG$17,AG$18),"")))</f>
        <v>0.21266843025159601</v>
      </c>
      <c r="AI156" s="145">
        <f t="shared" si="69"/>
        <v>-7753.13</v>
      </c>
    </row>
    <row r="157" spans="1:35" x14ac:dyDescent="0.35">
      <c r="A157" s="11"/>
      <c r="B157" s="11"/>
      <c r="C157" s="208"/>
      <c r="D157" s="11"/>
      <c r="E157" s="11"/>
      <c r="F157" s="11"/>
      <c r="G157" s="11"/>
      <c r="H157" s="185" t="s">
        <v>772</v>
      </c>
      <c r="I157" s="122"/>
      <c r="J157" s="122"/>
      <c r="K157" s="11"/>
      <c r="L157" s="90" t="str">
        <f>IF(_epmOfflineCondition_,"",_xll.EVPRO($B$1,H157,"JDEID"))</f>
        <v/>
      </c>
      <c r="M157" s="90" t="str">
        <f>IF(_epmOfflineCondition_,"",IF(AND(I157="N",J157="N"),_xll.EVPRO($B$1,H157,"PSFTID"),""))</f>
        <v/>
      </c>
      <c r="N157" s="493" t="str">
        <f>IF(_epmOfflineCondition_,"Minibar Food Cost %",IF(_xll.EVDES(H157,$B$1)="#NODATA","",_xll.EVDES(H157,$B$1)))</f>
        <v>Minibar Food Cost %</v>
      </c>
      <c r="O157" s="508">
        <v>0.16008754719613499</v>
      </c>
      <c r="P157" s="508">
        <v>0.22471101081147599</v>
      </c>
      <c r="Q157" s="508">
        <v>0.16950450450450499</v>
      </c>
      <c r="R157" s="508"/>
      <c r="S157" s="508"/>
      <c r="T157" s="508">
        <v>2.9279757085020202</v>
      </c>
      <c r="U157" s="508">
        <v>0.63658536585365899</v>
      </c>
      <c r="V157" s="508">
        <v>0.66889567430025498</v>
      </c>
      <c r="W157" s="508">
        <v>0.735667293233083</v>
      </c>
      <c r="X157" s="508">
        <v>0.164300227818484</v>
      </c>
      <c r="Y157" s="508">
        <v>0.102929864253394</v>
      </c>
      <c r="Z157" s="508">
        <v>0.23767441860465099</v>
      </c>
      <c r="AA157" s="508">
        <v>0.26274143847268</v>
      </c>
      <c r="AB157" s="436"/>
      <c r="AC157" s="140"/>
      <c r="AD157" s="508">
        <v>0.22720000000000001</v>
      </c>
      <c r="AE157" s="436"/>
      <c r="AF157" s="521">
        <f t="shared" si="68"/>
        <v>3.5541438472679987E-2</v>
      </c>
      <c r="AG157" s="508">
        <v>0.21266843025159601</v>
      </c>
      <c r="AH157" s="436"/>
      <c r="AI157" s="521">
        <f t="shared" si="69"/>
        <v>5.0073008221083987E-2</v>
      </c>
    </row>
    <row r="158" spans="1:35" x14ac:dyDescent="0.35">
      <c r="A158" s="11"/>
      <c r="B158" s="11"/>
      <c r="C158" s="208"/>
      <c r="D158" s="11"/>
      <c r="E158" s="11"/>
      <c r="F158" s="11"/>
      <c r="G158" s="11"/>
      <c r="H158" s="185"/>
      <c r="I158" s="122"/>
      <c r="J158" s="122"/>
      <c r="K158" s="11"/>
      <c r="L158" s="90"/>
      <c r="M158" s="90"/>
      <c r="N158" s="493"/>
      <c r="O158" s="518"/>
      <c r="P158" s="519"/>
      <c r="Q158" s="519"/>
      <c r="R158" s="519"/>
      <c r="S158" s="519"/>
      <c r="T158" s="519"/>
      <c r="U158" s="519"/>
      <c r="V158" s="519"/>
      <c r="W158" s="519"/>
      <c r="X158" s="519"/>
      <c r="Y158" s="519"/>
      <c r="Z158" s="519"/>
      <c r="AA158" s="519"/>
      <c r="AB158" s="520"/>
      <c r="AC158" s="140"/>
      <c r="AD158" s="518"/>
      <c r="AE158" s="519"/>
      <c r="AF158" s="519"/>
      <c r="AG158" s="519"/>
      <c r="AH158" s="519"/>
      <c r="AI158" s="520"/>
    </row>
    <row r="159" spans="1:35" x14ac:dyDescent="0.35">
      <c r="A159" s="11"/>
      <c r="B159" s="11"/>
      <c r="C159" s="208"/>
      <c r="D159" s="11"/>
      <c r="E159" s="11"/>
      <c r="F159" s="11"/>
      <c r="G159" s="11"/>
      <c r="H159" s="185" t="s">
        <v>636</v>
      </c>
      <c r="I159" s="122"/>
      <c r="J159" s="122"/>
      <c r="K159" s="11"/>
      <c r="L159" s="90" t="str">
        <f>IF(_epmOfflineCondition_,"",_xll.EVPRO($B$1,H159,"JDEID"))</f>
        <v/>
      </c>
      <c r="M159" s="90" t="str">
        <f>IF(_epmOfflineCondition_,"",IF(AND(I159="N",J159="N"),_xll.EVPRO($B$1,H159,"PSFTID"),""))</f>
        <v/>
      </c>
      <c r="N159" s="90" t="str">
        <f>IF(_epmOfflineCondition_,"Cost of Beverage Sales",IF(_xll.EVDES(H159,$B$1)="#NODATA","",_xll.EVDES(H159,$B$1)))</f>
        <v>Cost of Beverage Sales</v>
      </c>
      <c r="O159" s="143">
        <v>12700.49</v>
      </c>
      <c r="P159" s="143">
        <v>14590.38</v>
      </c>
      <c r="Q159" s="143">
        <v>7209.06</v>
      </c>
      <c r="R159" s="143"/>
      <c r="S159" s="143"/>
      <c r="T159" s="143">
        <v>281.31</v>
      </c>
      <c r="U159" s="143">
        <v>825.01</v>
      </c>
      <c r="V159" s="143">
        <v>519.25</v>
      </c>
      <c r="W159" s="143">
        <v>2574.77</v>
      </c>
      <c r="X159" s="143">
        <v>4121.09</v>
      </c>
      <c r="Y159" s="143">
        <v>3499.06</v>
      </c>
      <c r="Z159" s="143">
        <v>3300.09</v>
      </c>
      <c r="AA159" s="143">
        <f>SUM(O159:Z159)</f>
        <v>49620.509999999995</v>
      </c>
      <c r="AB159" s="436">
        <f>IF(_epmOfflineCondition_,0.247296881489794,IF(AA159=0,"",IFERROR(AA159/_xll.EVGTS($B$1,1,_xll.EVPRO($B$1,$H159,"COSBASIS"),$B$3,$B$5,$B$6,$B$7,$B$9,AA$16,AA$17,AA$11),"")))</f>
        <v>0.24729688148979401</v>
      </c>
      <c r="AC159" s="140"/>
      <c r="AD159" s="143">
        <v>255485.583025</v>
      </c>
      <c r="AE159" s="436">
        <f>IF(_epmOfflineCondition_,0.230799273901858,IF(AD159=0,"",IFERROR(AD159/_xll.EVGTS($B$1,1,_xll.EVPRO($B$1,$H159,"COSBASIS"),$B$3,$B$5,$B$6,$B$7,$B$9,AD$16,AD$17,AD$18),"")))</f>
        <v>0.230799273901858</v>
      </c>
      <c r="AF159" s="145">
        <f t="shared" ref="AF159:AF168" si="70">IF(AND($AA159="",AD159=""),"",$AA159-AD159)</f>
        <v>-205865.07302499999</v>
      </c>
      <c r="AG159" s="143">
        <v>79034.490000000005</v>
      </c>
      <c r="AH159" s="436">
        <f>IF(_epmOfflineCondition_,0.235713784029188,IF(AG159=0,"",IFERROR(AG159/_xll.EVGTS($B$1,1,_xll.EVPRO($B$1,$H159,"COSBASIS"),$B$3,$B$5,$B$6,$B$7,$B$9,AG$16,AG$17,AG$18),"")))</f>
        <v>0.23571378402918799</v>
      </c>
      <c r="AI159" s="145">
        <f t="shared" ref="AI159:AI168" si="71">IF(AND($AA159="",AG159=""),"",$AA159-AG159)</f>
        <v>-29413.98000000001</v>
      </c>
    </row>
    <row r="160" spans="1:35" x14ac:dyDescent="0.35">
      <c r="A160" s="11"/>
      <c r="B160" s="11"/>
      <c r="C160" s="208"/>
      <c r="D160" s="11"/>
      <c r="E160" s="11"/>
      <c r="F160" s="11"/>
      <c r="G160" s="11"/>
      <c r="H160" s="185" t="s">
        <v>757</v>
      </c>
      <c r="I160" s="122"/>
      <c r="J160" s="122"/>
      <c r="K160" s="11"/>
      <c r="L160" s="90" t="str">
        <f>IF(_epmOfflineCondition_,"",_xll.EVPRO($B$1,H160,"JDEID"))</f>
        <v/>
      </c>
      <c r="M160" s="90" t="str">
        <f>IF(_epmOfflineCondition_,"",IF(AND(I160="N",J160="N"),_xll.EVPRO($B$1,H160,"PSFTID"),""))</f>
        <v/>
      </c>
      <c r="N160" s="493" t="str">
        <f>IF(_epmOfflineCondition_,"Beverage Cost %",IF(_xll.EVDES(H160,$B$1)="#NODATA","",_xll.EVDES(H160,$B$1)))</f>
        <v>Beverage Cost %</v>
      </c>
      <c r="O160" s="508">
        <v>0.25598198762546198</v>
      </c>
      <c r="P160" s="508">
        <v>0.21881236421126801</v>
      </c>
      <c r="Q160" s="508">
        <v>0.26277121634832301</v>
      </c>
      <c r="R160" s="508"/>
      <c r="S160" s="508"/>
      <c r="T160" s="508">
        <v>0.42365963855421701</v>
      </c>
      <c r="U160" s="508">
        <v>0.35858307073780299</v>
      </c>
      <c r="V160" s="508">
        <v>0.16221493283349001</v>
      </c>
      <c r="W160" s="508">
        <v>0.38393416320225199</v>
      </c>
      <c r="X160" s="508">
        <v>0.30547591233084698</v>
      </c>
      <c r="Y160" s="508">
        <v>0.29505672513732301</v>
      </c>
      <c r="Z160" s="508">
        <v>0.17492724815138699</v>
      </c>
      <c r="AA160" s="508">
        <v>0.24729688148979401</v>
      </c>
      <c r="AB160" s="436"/>
      <c r="AC160" s="140"/>
      <c r="AD160" s="508">
        <v>0.230799273901858</v>
      </c>
      <c r="AE160" s="436"/>
      <c r="AF160" s="521">
        <f t="shared" si="70"/>
        <v>1.6497607587936003E-2</v>
      </c>
      <c r="AG160" s="508">
        <v>0.23571378402918799</v>
      </c>
      <c r="AH160" s="436"/>
      <c r="AI160" s="521">
        <f t="shared" si="71"/>
        <v>1.1583097460606012E-2</v>
      </c>
    </row>
    <row r="161" spans="1:35" x14ac:dyDescent="0.35">
      <c r="A161" s="11"/>
      <c r="B161" s="11"/>
      <c r="C161" s="208"/>
      <c r="D161" s="11"/>
      <c r="E161" s="11"/>
      <c r="F161" s="11"/>
      <c r="G161" s="11"/>
      <c r="H161" s="185" t="s">
        <v>755</v>
      </c>
      <c r="I161" s="122"/>
      <c r="J161" s="122"/>
      <c r="K161" s="11"/>
      <c r="L161" s="90" t="str">
        <f>IF(_epmOfflineCondition_,"561300",_xll.EVPRO($B$1,H161,"JDEID"))</f>
        <v>561300</v>
      </c>
      <c r="M161" s="90" t="str">
        <f>IF(_epmOfflineCondition_,"",IF(AND(I161="N",J161="N"),_xll.EVPRO($B$1,H161,"PSFTID"),""))</f>
        <v/>
      </c>
      <c r="N161" s="90" t="str">
        <f>IF(_epmOfflineCondition_,"Liquor Cost of Sales",IF(_xll.EVDES(H161,$B$1)="#NODATA","",_xll.EVDES(H161,$B$1)))</f>
        <v>Liquor Cost of Sales</v>
      </c>
      <c r="O161" s="143">
        <v>6508.03</v>
      </c>
      <c r="P161" s="143">
        <v>8079.33</v>
      </c>
      <c r="Q161" s="143">
        <v>3642.38</v>
      </c>
      <c r="R161" s="143"/>
      <c r="S161" s="143"/>
      <c r="T161" s="143"/>
      <c r="U161" s="143">
        <v>475.96</v>
      </c>
      <c r="V161" s="143">
        <v>246.01</v>
      </c>
      <c r="W161" s="143">
        <v>1126.01</v>
      </c>
      <c r="X161" s="143">
        <v>2728.07</v>
      </c>
      <c r="Y161" s="143">
        <v>1479.81</v>
      </c>
      <c r="Z161" s="143">
        <v>1854.76</v>
      </c>
      <c r="AA161" s="143">
        <f>SUM(O161:Z161)</f>
        <v>26140.359999999997</v>
      </c>
      <c r="AB161" s="436">
        <f>IF(_epmOfflineCondition_,0.245613801012903,IF(AA161=0,"",IFERROR(AA161/_xll.EVGTS($B$1,1,_xll.EVPRO($B$1,$H161,"COSBASIS"),$B$3,$B$5,$B$6,$B$7,$B$9,AA$16,AA$17,AA$11),"")))</f>
        <v>0.245613801012903</v>
      </c>
      <c r="AC161" s="140"/>
      <c r="AD161" s="143">
        <v>86961.27</v>
      </c>
      <c r="AE161" s="436">
        <f>IF(_epmOfflineCondition_,0.194774006341198,IF(AD161=0,"",IFERROR(AD161/_xll.EVGTS($B$1,1,_xll.EVPRO($B$1,$H161,"COSBASIS"),$B$3,$B$5,$B$6,$B$7,$B$9,AD$16,AD$17,AD$18),"")))</f>
        <v>0.19477400634119801</v>
      </c>
      <c r="AF161" s="145">
        <f t="shared" si="70"/>
        <v>-60820.91</v>
      </c>
      <c r="AG161" s="143">
        <v>39367.300000000003</v>
      </c>
      <c r="AH161" s="436">
        <f>IF(_epmOfflineCondition_,0.211292272087112,IF(AG161=0,"",IFERROR(AG161/_xll.EVGTS($B$1,1,_xll.EVPRO($B$1,$H161,"COSBASIS"),$B$3,$B$5,$B$6,$B$7,$B$9,AG$16,AG$17,AG$18),"")))</f>
        <v>0.21129227208711199</v>
      </c>
      <c r="AI161" s="145">
        <f t="shared" si="71"/>
        <v>-13226.940000000006</v>
      </c>
    </row>
    <row r="162" spans="1:35" x14ac:dyDescent="0.35">
      <c r="A162" s="11"/>
      <c r="B162" s="11"/>
      <c r="C162" s="208"/>
      <c r="D162" s="11"/>
      <c r="E162" s="11"/>
      <c r="F162" s="11"/>
      <c r="G162" s="11"/>
      <c r="H162" s="185" t="s">
        <v>758</v>
      </c>
      <c r="I162" s="122"/>
      <c r="J162" s="122"/>
      <c r="K162" s="11"/>
      <c r="L162" s="90" t="str">
        <f>IF(_epmOfflineCondition_,"",_xll.EVPRO($B$1,H162,"JDEID"))</f>
        <v/>
      </c>
      <c r="M162" s="90" t="str">
        <f>IF(_epmOfflineCondition_,"",IF(AND(I162="N",J162="N"),_xll.EVPRO($B$1,H162,"PSFTID"),""))</f>
        <v/>
      </c>
      <c r="N162" s="493" t="str">
        <f>IF(_epmOfflineCondition_,"Liquor Cost %",IF(_xll.EVDES(H162,$B$1)="#NODATA","",_xll.EVDES(H162,$B$1)))</f>
        <v>Liquor Cost %</v>
      </c>
      <c r="O162" s="508">
        <v>0.24504656541033801</v>
      </c>
      <c r="P162" s="508">
        <v>0.23356321559961599</v>
      </c>
      <c r="Q162" s="508">
        <v>0.27762867951105302</v>
      </c>
      <c r="R162" s="508"/>
      <c r="S162" s="508"/>
      <c r="T162" s="508"/>
      <c r="U162" s="508">
        <v>0.31667332002661303</v>
      </c>
      <c r="V162" s="508">
        <v>0.57211627906976703</v>
      </c>
      <c r="W162" s="508">
        <v>0.35107941932104503</v>
      </c>
      <c r="X162" s="508">
        <v>0.30798783434111698</v>
      </c>
      <c r="Y162" s="508">
        <v>0.19204992901027099</v>
      </c>
      <c r="Z162" s="508">
        <v>0.17739053922225001</v>
      </c>
      <c r="AA162" s="508">
        <v>0.245613801012903</v>
      </c>
      <c r="AB162" s="436"/>
      <c r="AC162" s="140"/>
      <c r="AD162" s="508">
        <v>0.19477400634119801</v>
      </c>
      <c r="AE162" s="436"/>
      <c r="AF162" s="521">
        <f t="shared" si="70"/>
        <v>5.0839794671704991E-2</v>
      </c>
      <c r="AG162" s="508">
        <v>0.21129227208711199</v>
      </c>
      <c r="AH162" s="436"/>
      <c r="AI162" s="521">
        <f t="shared" si="71"/>
        <v>3.4321528925791017E-2</v>
      </c>
    </row>
    <row r="163" spans="1:35" x14ac:dyDescent="0.35">
      <c r="A163" s="11"/>
      <c r="B163" s="11"/>
      <c r="C163" s="208"/>
      <c r="D163" s="11"/>
      <c r="E163" s="11"/>
      <c r="F163" s="11"/>
      <c r="G163" s="11"/>
      <c r="H163" s="185">
        <v>561400</v>
      </c>
      <c r="I163" s="122"/>
      <c r="J163" s="122"/>
      <c r="K163" s="11"/>
      <c r="L163" s="90" t="str">
        <f>IF(_epmOfflineCondition_,"561400",_xll.EVPRO($B$1,H163,"JDEID"))</f>
        <v>561400</v>
      </c>
      <c r="M163" s="90" t="str">
        <f>IF(_epmOfflineCondition_,"",IF(AND(I163="N",J163="N"),_xll.EVPRO($B$1,H163,"PSFTID"),""))</f>
        <v/>
      </c>
      <c r="N163" s="90" t="str">
        <f>IF(_epmOfflineCondition_,"Beer Cost of Sales",IF(_xll.EVDES(H163,$B$1)="#NODATA","",_xll.EVDES(H163,$B$1)))</f>
        <v>Beer Cost of Sales</v>
      </c>
      <c r="O163" s="143">
        <v>1454.45</v>
      </c>
      <c r="P163" s="143">
        <v>953.13</v>
      </c>
      <c r="Q163" s="143">
        <v>590.38</v>
      </c>
      <c r="R163" s="143"/>
      <c r="S163" s="143"/>
      <c r="T163" s="143"/>
      <c r="U163" s="143">
        <v>49.69</v>
      </c>
      <c r="V163" s="143">
        <v>76.45</v>
      </c>
      <c r="W163" s="143">
        <v>120.81</v>
      </c>
      <c r="X163" s="143">
        <v>105.26</v>
      </c>
      <c r="Y163" s="143">
        <v>132.19</v>
      </c>
      <c r="Z163" s="143">
        <v>245.14</v>
      </c>
      <c r="AA163" s="143">
        <f>SUM(O163:Z163)</f>
        <v>3727.5</v>
      </c>
      <c r="AB163" s="436">
        <f>IF(_epmOfflineCondition_,0.213479780558249,IF(AA163=0,"",IFERROR(AA163/_xll.EVGTS($B$1,1,_xll.EVPRO($B$1,$H163,"COSBASIS"),$B$3,$B$5,$B$6,$B$7,$B$9,AA$16,AA$17,AA$11),"")))</f>
        <v>0.21347978055824901</v>
      </c>
      <c r="AC163" s="140"/>
      <c r="AD163" s="143">
        <v>30455.49</v>
      </c>
      <c r="AE163" s="436">
        <f>IF(_epmOfflineCondition_,0.210177252041424,IF(AD163=0,"",IFERROR(AD163/_xll.EVGTS($B$1,1,_xll.EVPRO($B$1,$H163,"COSBASIS"),$B$3,$B$5,$B$6,$B$7,$B$9,AD$16,AD$17,AD$18),"")))</f>
        <v>0.21017725204142401</v>
      </c>
      <c r="AF163" s="145">
        <f t="shared" si="70"/>
        <v>-26727.99</v>
      </c>
      <c r="AG163" s="143">
        <v>7560.95</v>
      </c>
      <c r="AH163" s="436">
        <f>IF(_epmOfflineCondition_,0.195998961024956,IF(AG163=0,"",IFERROR(AG163/_xll.EVGTS($B$1,1,_xll.EVPRO($B$1,$H163,"COSBASIS"),$B$3,$B$5,$B$6,$B$7,$B$9,AG$16,AG$17,AG$18),"")))</f>
        <v>0.19599896102495601</v>
      </c>
      <c r="AI163" s="145">
        <f t="shared" si="71"/>
        <v>-3833.45</v>
      </c>
    </row>
    <row r="164" spans="1:35" x14ac:dyDescent="0.35">
      <c r="A164" s="11"/>
      <c r="B164" s="11"/>
      <c r="C164" s="208"/>
      <c r="D164" s="11"/>
      <c r="E164" s="11"/>
      <c r="F164" s="11"/>
      <c r="G164" s="11"/>
      <c r="H164" s="185" t="s">
        <v>759</v>
      </c>
      <c r="I164" s="122"/>
      <c r="J164" s="122"/>
      <c r="K164" s="11"/>
      <c r="L164" s="90" t="str">
        <f>IF(_epmOfflineCondition_,"",_xll.EVPRO($B$1,H164,"JDEID"))</f>
        <v/>
      </c>
      <c r="M164" s="90" t="str">
        <f>IF(_epmOfflineCondition_,"",IF(AND(I164="N",J164="N"),_xll.EVPRO($B$1,H164,"PSFTID"),""))</f>
        <v/>
      </c>
      <c r="N164" s="493" t="str">
        <f>IF(_epmOfflineCondition_,"Beer Cost %",IF(_xll.EVDES(H164,$B$1)="#NODATA","",_xll.EVDES(H164,$B$1)))</f>
        <v>Beer Cost %</v>
      </c>
      <c r="O164" s="508">
        <v>0.248059543159069</v>
      </c>
      <c r="P164" s="508">
        <v>0.17205195874204399</v>
      </c>
      <c r="Q164" s="508">
        <v>0.25862325760695298</v>
      </c>
      <c r="R164" s="508"/>
      <c r="S164" s="508"/>
      <c r="T164" s="508"/>
      <c r="U164" s="508">
        <v>0.171344827586207</v>
      </c>
      <c r="V164" s="508">
        <v>0.168763796909492</v>
      </c>
      <c r="W164" s="508">
        <v>0.27209459459459501</v>
      </c>
      <c r="X164" s="508">
        <v>0.20679764243614901</v>
      </c>
      <c r="Y164" s="508">
        <v>0.20609603991269099</v>
      </c>
      <c r="Z164" s="508">
        <v>0.170544037846111</v>
      </c>
      <c r="AA164" s="508">
        <v>0.21347978055824901</v>
      </c>
      <c r="AB164" s="436"/>
      <c r="AC164" s="140"/>
      <c r="AD164" s="508">
        <v>0.21017725204142401</v>
      </c>
      <c r="AE164" s="436"/>
      <c r="AF164" s="521">
        <f t="shared" si="70"/>
        <v>3.3025285168249985E-3</v>
      </c>
      <c r="AG164" s="508">
        <v>0.19599896102495601</v>
      </c>
      <c r="AH164" s="436"/>
      <c r="AI164" s="521">
        <f t="shared" si="71"/>
        <v>1.7480819533293002E-2</v>
      </c>
    </row>
    <row r="165" spans="1:35" x14ac:dyDescent="0.35">
      <c r="A165" s="11"/>
      <c r="B165" s="11"/>
      <c r="C165" s="208"/>
      <c r="D165" s="11"/>
      <c r="E165" s="11"/>
      <c r="F165" s="11"/>
      <c r="G165" s="11"/>
      <c r="H165" s="185">
        <v>561500</v>
      </c>
      <c r="I165" s="122"/>
      <c r="J165" s="122"/>
      <c r="K165" s="11"/>
      <c r="L165" s="90" t="str">
        <f>IF(_epmOfflineCondition_,"561500",_xll.EVPRO($B$1,H165,"JDEID"))</f>
        <v>561500</v>
      </c>
      <c r="M165" s="90" t="str">
        <f>IF(_epmOfflineCondition_,"",IF(AND(I165="N",J165="N"),_xll.EVPRO($B$1,H165,"PSFTID"),""))</f>
        <v/>
      </c>
      <c r="N165" s="90" t="str">
        <f>IF(_epmOfflineCondition_,"Wine Cost of Sales",IF(_xll.EVDES(H165,$B$1)="#NODATA","",_xll.EVDES(H165,$B$1)))</f>
        <v>Wine Cost of Sales</v>
      </c>
      <c r="O165" s="143">
        <v>3604.96</v>
      </c>
      <c r="P165" s="143">
        <v>3951.56</v>
      </c>
      <c r="Q165" s="143">
        <v>3129.21</v>
      </c>
      <c r="R165" s="143"/>
      <c r="S165" s="143"/>
      <c r="T165" s="143"/>
      <c r="U165" s="143">
        <v>299.36</v>
      </c>
      <c r="V165" s="143">
        <v>85.95</v>
      </c>
      <c r="W165" s="143">
        <v>756.69</v>
      </c>
      <c r="X165" s="143">
        <v>253.04</v>
      </c>
      <c r="Y165" s="143">
        <v>597.47</v>
      </c>
      <c r="Z165" s="143">
        <v>491.12</v>
      </c>
      <c r="AA165" s="143">
        <f>SUM(O165:Z165)</f>
        <v>13169.360000000002</v>
      </c>
      <c r="AB165" s="436">
        <f>IF(_epmOfflineCondition_,0.255440695406596,IF(AA165=0,"",IFERROR(AA165/_xll.EVGTS($B$1,1,_xll.EVPRO($B$1,$H165,"COSBASIS"),$B$3,$B$5,$B$6,$B$7,$B$9,AA$16,AA$17,AA$11),"")))</f>
        <v>0.25544069540659597</v>
      </c>
      <c r="AC165" s="140"/>
      <c r="AD165" s="143">
        <v>122941.07</v>
      </c>
      <c r="AE165" s="436">
        <f>IF(_epmOfflineCondition_,0.262602863097729,IF(AD165=0,"",IFERROR(AD165/_xll.EVGTS($B$1,1,_xll.EVPRO($B$1,$H165,"COSBASIS"),$B$3,$B$5,$B$6,$B$7,$B$9,AD$16,AD$17,AD$18),"")))</f>
        <v>0.26260286309772901</v>
      </c>
      <c r="AF165" s="145">
        <f t="shared" si="70"/>
        <v>-109771.71</v>
      </c>
      <c r="AG165" s="143">
        <v>20542.59</v>
      </c>
      <c r="AH165" s="436">
        <f>IF(_epmOfflineCondition_,0.290115688464073,IF(AG165=0,"",IFERROR(AG165/_xll.EVGTS($B$1,1,_xll.EVPRO($B$1,$H165,"COSBASIS"),$B$3,$B$5,$B$6,$B$7,$B$9,AG$16,AG$17,AG$18),"")))</f>
        <v>0.29011568846407298</v>
      </c>
      <c r="AI165" s="145">
        <f t="shared" si="71"/>
        <v>-7373.2299999999977</v>
      </c>
    </row>
    <row r="166" spans="1:35" x14ac:dyDescent="0.35">
      <c r="A166" s="11"/>
      <c r="B166" s="11"/>
      <c r="C166" s="208"/>
      <c r="D166" s="11"/>
      <c r="E166" s="11"/>
      <c r="F166" s="11"/>
      <c r="G166" s="11"/>
      <c r="H166" s="185" t="s">
        <v>760</v>
      </c>
      <c r="I166" s="122"/>
      <c r="J166" s="122"/>
      <c r="K166" s="11"/>
      <c r="L166" s="90" t="str">
        <f>IF(_epmOfflineCondition_,"",_xll.EVPRO($B$1,H166,"JDEID"))</f>
        <v/>
      </c>
      <c r="M166" s="90" t="str">
        <f>IF(_epmOfflineCondition_,"",IF(AND(I166="N",J166="N"),_xll.EVPRO($B$1,H166,"PSFTID"),""))</f>
        <v/>
      </c>
      <c r="N166" s="493" t="str">
        <f>IF(_epmOfflineCondition_,"Wine Cost %",IF(_xll.EVDES(H166,$B$1)="#NODATA","",_xll.EVDES(H166,$B$1)))</f>
        <v>Wine Cost %</v>
      </c>
      <c r="O166" s="508">
        <v>0.25832507472162602</v>
      </c>
      <c r="P166" s="508">
        <v>0.186232089307099</v>
      </c>
      <c r="Q166" s="508">
        <v>0.35441000753169799</v>
      </c>
      <c r="R166" s="508"/>
      <c r="S166" s="508"/>
      <c r="T166" s="508"/>
      <c r="U166" s="508">
        <v>5.3457142857142896</v>
      </c>
      <c r="V166" s="508">
        <v>0.78136363636363604</v>
      </c>
      <c r="W166" s="508">
        <v>0.956624525916561</v>
      </c>
      <c r="X166" s="508">
        <v>0.25952820512820501</v>
      </c>
      <c r="Y166" s="508">
        <v>0.436683233445403</v>
      </c>
      <c r="Z166" s="508">
        <v>0.11549514380452899</v>
      </c>
      <c r="AA166" s="508">
        <v>0.25544069540659597</v>
      </c>
      <c r="AB166" s="436"/>
      <c r="AC166" s="140"/>
      <c r="AD166" s="508">
        <v>0.26260286309772901</v>
      </c>
      <c r="AE166" s="436"/>
      <c r="AF166" s="521">
        <f t="shared" si="70"/>
        <v>-7.1621676911330368E-3</v>
      </c>
      <c r="AG166" s="508">
        <v>0.29011568846407298</v>
      </c>
      <c r="AH166" s="436"/>
      <c r="AI166" s="521">
        <f t="shared" si="71"/>
        <v>-3.467499305747701E-2</v>
      </c>
    </row>
    <row r="167" spans="1:35" x14ac:dyDescent="0.35">
      <c r="A167" s="11"/>
      <c r="B167" s="11"/>
      <c r="C167" s="208"/>
      <c r="D167" s="11"/>
      <c r="E167" s="11"/>
      <c r="F167" s="11"/>
      <c r="G167" s="11"/>
      <c r="H167" s="185">
        <v>567200</v>
      </c>
      <c r="I167" s="122"/>
      <c r="J167" s="122"/>
      <c r="K167" s="11"/>
      <c r="L167" s="90" t="str">
        <f>IF(_epmOfflineCondition_,"567200",_xll.EVPRO($B$1,H167,"JDEID"))</f>
        <v>567200</v>
      </c>
      <c r="M167" s="90" t="str">
        <f>IF(_epmOfflineCondition_,"",IF(AND(I167="N",J167="N"),_xll.EVPRO($B$1,H167,"PSFTID"),""))</f>
        <v/>
      </c>
      <c r="N167" s="90" t="str">
        <f>IF(_epmOfflineCondition_,"Mini Bar Cost of Beverage",IF(_xll.EVDES(H167,$B$1)="#NODATA","",_xll.EVDES(H167,$B$1)))</f>
        <v>Mini Bar Cost of Beverage</v>
      </c>
      <c r="O167" s="143">
        <v>1133.05</v>
      </c>
      <c r="P167" s="143">
        <v>1606.36</v>
      </c>
      <c r="Q167" s="143">
        <v>-152.91</v>
      </c>
      <c r="R167" s="143"/>
      <c r="S167" s="143"/>
      <c r="T167" s="143">
        <v>281.31</v>
      </c>
      <c r="U167" s="143"/>
      <c r="V167" s="143">
        <v>110.84</v>
      </c>
      <c r="W167" s="143">
        <v>571.26</v>
      </c>
      <c r="X167" s="143">
        <v>1034.72</v>
      </c>
      <c r="Y167" s="143">
        <v>1289.5899999999999</v>
      </c>
      <c r="Z167" s="143">
        <v>709.07</v>
      </c>
      <c r="AA167" s="143">
        <f>SUM(O167:Z167)</f>
        <v>6583.29</v>
      </c>
      <c r="AB167" s="436">
        <f>IF(_epmOfflineCondition_,0.261171709958642,IF(AA167=0,"",IFERROR(AA167/_xll.EVGTS($B$1,1,_xll.EVPRO($B$1,$H167,"COSBASIS"),$B$3,$B$5,$B$6,$B$7,$B$9,AA$16,AA$17,AA$11),"")))</f>
        <v>0.26117170995864197</v>
      </c>
      <c r="AC167" s="140"/>
      <c r="AD167" s="143">
        <v>15127.753025</v>
      </c>
      <c r="AE167" s="436">
        <f>IF(_epmOfflineCondition_,0.319015628921069,IF(AD167=0,"",IFERROR(AD167/_xll.EVGTS($B$1,1,_xll.EVPRO($B$1,$H167,"COSBASIS"),$B$3,$B$5,$B$6,$B$7,$B$9,AD$16,AD$17,AD$18),"")))</f>
        <v>0.31901562892106899</v>
      </c>
      <c r="AF167" s="145">
        <f t="shared" si="70"/>
        <v>-8544.4630250000009</v>
      </c>
      <c r="AG167" s="143">
        <v>11563.65</v>
      </c>
      <c r="AH167" s="436">
        <f>IF(_epmOfflineCondition_,0.292033487385408,IF(AG167=0,"",IFERROR(AG167/_xll.EVGTS($B$1,1,_xll.EVPRO($B$1,$H167,"COSBASIS"),$B$3,$B$5,$B$6,$B$7,$B$9,AG$16,AG$17,AG$18),"")))</f>
        <v>0.29203348738540802</v>
      </c>
      <c r="AI167" s="145">
        <f t="shared" si="71"/>
        <v>-4980.3599999999997</v>
      </c>
    </row>
    <row r="168" spans="1:35" x14ac:dyDescent="0.35">
      <c r="A168" s="11"/>
      <c r="B168" s="11"/>
      <c r="C168" s="208"/>
      <c r="D168" s="11"/>
      <c r="E168" s="11"/>
      <c r="F168" s="11"/>
      <c r="G168" s="11"/>
      <c r="H168" s="185"/>
      <c r="I168" s="122"/>
      <c r="J168" s="122"/>
      <c r="K168" s="11"/>
      <c r="L168" s="90"/>
      <c r="M168" s="90"/>
      <c r="N168" s="493" t="s">
        <v>761</v>
      </c>
      <c r="O168" s="508">
        <f t="shared" ref="O168:AA168" si="72">IFERROR(O167/O96,"")</f>
        <v>0.34992279184681901</v>
      </c>
      <c r="P168" s="508">
        <f t="shared" si="72"/>
        <v>0.30138086303939959</v>
      </c>
      <c r="Q168" s="508">
        <f t="shared" si="72"/>
        <v>-4.7739619107087107E-2</v>
      </c>
      <c r="R168" s="508" t="str">
        <f t="shared" si="72"/>
        <v/>
      </c>
      <c r="S168" s="508">
        <f t="shared" si="72"/>
        <v>0</v>
      </c>
      <c r="T168" s="508">
        <f t="shared" si="72"/>
        <v>0.42365963855421684</v>
      </c>
      <c r="U168" s="508">
        <f t="shared" si="72"/>
        <v>0</v>
      </c>
      <c r="V168" s="508">
        <f t="shared" si="72"/>
        <v>5.0199275362318843E-2</v>
      </c>
      <c r="W168" s="508">
        <f t="shared" si="72"/>
        <v>0.25232332155477033</v>
      </c>
      <c r="X168" s="508">
        <f t="shared" si="72"/>
        <v>0.3285868529691966</v>
      </c>
      <c r="Y168" s="508">
        <f t="shared" si="72"/>
        <v>0.60148787313432828</v>
      </c>
      <c r="Z168" s="508">
        <f t="shared" si="72"/>
        <v>0.26068750000000002</v>
      </c>
      <c r="AA168" s="508">
        <f t="shared" si="72"/>
        <v>0.26117170995864203</v>
      </c>
      <c r="AB168" s="436"/>
      <c r="AC168" s="140"/>
      <c r="AD168" s="508">
        <f>IFERROR(AD167/AD96,"")</f>
        <v>0.31901562892106933</v>
      </c>
      <c r="AE168" s="436"/>
      <c r="AF168" s="521">
        <f t="shared" si="70"/>
        <v>-5.7843918962427299E-2</v>
      </c>
      <c r="AG168" s="508">
        <f>IFERROR(AG167/AG96,"")</f>
        <v>0.29203348738540796</v>
      </c>
      <c r="AH168" s="436"/>
      <c r="AI168" s="521">
        <f t="shared" si="71"/>
        <v>-3.0861777426765935E-2</v>
      </c>
    </row>
    <row r="169" spans="1:35" x14ac:dyDescent="0.35">
      <c r="A169" s="11"/>
      <c r="B169" s="11"/>
      <c r="C169" s="208"/>
      <c r="D169" s="11"/>
      <c r="E169" s="11"/>
      <c r="F169" s="11"/>
      <c r="G169" s="11"/>
      <c r="H169" s="185"/>
      <c r="I169" s="122"/>
      <c r="J169" s="122"/>
      <c r="K169" s="11"/>
      <c r="L169" s="90"/>
      <c r="M169" s="90"/>
      <c r="N169" s="493"/>
      <c r="O169" s="518"/>
      <c r="P169" s="519"/>
      <c r="Q169" s="519"/>
      <c r="R169" s="519"/>
      <c r="S169" s="519"/>
      <c r="T169" s="519"/>
      <c r="U169" s="519"/>
      <c r="V169" s="519"/>
      <c r="W169" s="519"/>
      <c r="X169" s="519"/>
      <c r="Y169" s="519"/>
      <c r="Z169" s="519"/>
      <c r="AA169" s="519"/>
      <c r="AB169" s="520"/>
      <c r="AC169" s="140"/>
      <c r="AD169" s="518"/>
      <c r="AE169" s="519"/>
      <c r="AF169" s="519"/>
      <c r="AG169" s="519"/>
      <c r="AH169" s="519"/>
      <c r="AI169" s="520"/>
    </row>
    <row r="170" spans="1:35" x14ac:dyDescent="0.35">
      <c r="A170" s="11"/>
      <c r="B170" s="11"/>
      <c r="C170" s="208"/>
      <c r="D170" s="11"/>
      <c r="E170" s="11"/>
      <c r="F170" s="11"/>
      <c r="G170" s="11"/>
      <c r="H170" s="185" t="s">
        <v>286</v>
      </c>
      <c r="I170" s="122"/>
      <c r="J170" s="122"/>
      <c r="K170" s="11"/>
      <c r="L170" s="90" t="str">
        <f>IF(_epmOfflineCondition_,"",_xll.EVPRO($B$1,H170,"JDEID"))</f>
        <v/>
      </c>
      <c r="M170" s="90" t="str">
        <f>IF(_epmOfflineCondition_,"",IF(AND(I170="N",J170="N"),_xll.EVPRO($B$1,H170,"PSFTID"),""))</f>
        <v/>
      </c>
      <c r="N170" s="90" t="str">
        <f>IF(_epmOfflineCondition_,"Total Cost of Food &amp; Beverage Sales",IF(_xll.EVDES(H170,$B$1)="#NODATA","",_xll.EVDES(H170,$B$1)))</f>
        <v>Total Cost of Food &amp; Beverage Sales</v>
      </c>
      <c r="O170" s="143">
        <v>50781.78</v>
      </c>
      <c r="P170" s="143">
        <v>58002.13</v>
      </c>
      <c r="Q170" s="143">
        <v>27307.57</v>
      </c>
      <c r="R170" s="143">
        <v>-145</v>
      </c>
      <c r="S170" s="143">
        <v>-3040.95</v>
      </c>
      <c r="T170" s="143">
        <v>688.78</v>
      </c>
      <c r="U170" s="143">
        <v>10142.77</v>
      </c>
      <c r="V170" s="143">
        <v>3084.37</v>
      </c>
      <c r="W170" s="143">
        <v>4687.75</v>
      </c>
      <c r="X170" s="143">
        <v>7114.81</v>
      </c>
      <c r="Y170" s="143">
        <v>5318.57</v>
      </c>
      <c r="Z170" s="143">
        <v>11478.88</v>
      </c>
      <c r="AA170" s="143">
        <f>SUM(O170:Z170)</f>
        <v>175421.46</v>
      </c>
      <c r="AB170" s="436">
        <f>IF(_epmOfflineCondition_,0.356619898456267,IF(AA170=0,"",IFERROR(AA170/_xll.EVGTS($B$1,1,_xll.EVPRO($B$1,$H170,"COSBASIS"),$B$3,$B$5,$B$6,$B$7,$B$9,AA$16,AA$17,AA$11),"")))</f>
        <v>0.35661989845626701</v>
      </c>
      <c r="AC170" s="140"/>
      <c r="AD170" s="143">
        <v>711263.26198499999</v>
      </c>
      <c r="AE170" s="436">
        <f>IF(_epmOfflineCondition_,0.255062230862814,IF(AD170=0,"",IFERROR(AD170/_xll.EVGTS($B$1,1,_xll.EVPRO($B$1,$H170,"COSBASIS"),$B$3,$B$5,$B$6,$B$7,$B$9,AD$16,AD$17,AD$18),"")))</f>
        <v>0.25506223086281399</v>
      </c>
      <c r="AF170" s="145">
        <f>IF(AND($AA170="",AD170=""),"",$AA170-AD170)</f>
        <v>-535841.80198500003</v>
      </c>
      <c r="AG170" s="143">
        <v>317298.09999999998</v>
      </c>
      <c r="AH170" s="436">
        <f>IF(_epmOfflineCondition_,0.39324266009667,IF(AG170=0,"",IFERROR(AG170/_xll.EVGTS($B$1,1,_xll.EVPRO($B$1,$H170,"COSBASIS"),$B$3,$B$5,$B$6,$B$7,$B$9,AG$16,AG$17,AG$18),"")))</f>
        <v>0.39324266009667003</v>
      </c>
      <c r="AI170" s="145">
        <f>IF(AND($AA170="",AG170=""),"",$AA170-AG170)</f>
        <v>-141876.63999999998</v>
      </c>
    </row>
    <row r="171" spans="1:35" x14ac:dyDescent="0.35">
      <c r="A171" s="11"/>
      <c r="B171" s="11"/>
      <c r="C171" s="208"/>
      <c r="D171" s="11"/>
      <c r="E171" s="11"/>
      <c r="F171" s="11"/>
      <c r="G171" s="11"/>
      <c r="H171" s="185"/>
      <c r="I171" s="122"/>
      <c r="J171" s="122"/>
      <c r="K171" s="11"/>
      <c r="L171" s="90"/>
      <c r="M171" s="90"/>
      <c r="N171" s="493" t="s">
        <v>762</v>
      </c>
      <c r="O171" s="508">
        <f t="shared" ref="O171:AA171" si="73">IFERROR(O170/O102,"")</f>
        <v>0.35194908713026624</v>
      </c>
      <c r="P171" s="508">
        <f t="shared" si="73"/>
        <v>0.32862657267536399</v>
      </c>
      <c r="Q171" s="508">
        <f t="shared" si="73"/>
        <v>0.40983244150700893</v>
      </c>
      <c r="R171" s="508" t="str">
        <f t="shared" si="73"/>
        <v/>
      </c>
      <c r="S171" s="508">
        <f t="shared" si="73"/>
        <v>0.26728856300809611</v>
      </c>
      <c r="T171" s="508">
        <f t="shared" si="73"/>
        <v>0.75607025246981341</v>
      </c>
      <c r="U171" s="508">
        <f t="shared" si="73"/>
        <v>2.4007976803361148</v>
      </c>
      <c r="V171" s="508">
        <f t="shared" si="73"/>
        <v>0.36533846609416643</v>
      </c>
      <c r="W171" s="508">
        <f t="shared" si="73"/>
        <v>0.35120940704029607</v>
      </c>
      <c r="X171" s="508">
        <f t="shared" si="73"/>
        <v>0.32422634747784818</v>
      </c>
      <c r="Y171" s="508">
        <f t="shared" si="73"/>
        <v>0.22866531465627135</v>
      </c>
      <c r="Z171" s="508">
        <f t="shared" si="73"/>
        <v>0.26248479360462457</v>
      </c>
      <c r="AA171" s="508">
        <f t="shared" si="73"/>
        <v>0.35661989845626663</v>
      </c>
      <c r="AB171" s="436"/>
      <c r="AC171" s="140"/>
      <c r="AD171" s="508">
        <f>IFERROR(AD170/AD102,"")</f>
        <v>0.25506223086281438</v>
      </c>
      <c r="AE171" s="436"/>
      <c r="AF171" s="521">
        <f>IF(AND($AA171="",AD171=""),"",$AA171-AD171)</f>
        <v>0.10155766759345225</v>
      </c>
      <c r="AG171" s="508">
        <f>IFERROR(AG170/AG102,"")</f>
        <v>0.39324266009666986</v>
      </c>
      <c r="AH171" s="436"/>
      <c r="AI171" s="521">
        <f>IF(AND($AA171="",AG171=""),"",$AA171-AG171)</f>
        <v>-3.6622761640403234E-2</v>
      </c>
    </row>
    <row r="172" spans="1:35" x14ac:dyDescent="0.35">
      <c r="A172" s="11"/>
      <c r="B172" s="11"/>
      <c r="C172" s="11"/>
      <c r="D172" s="11"/>
      <c r="E172" s="11"/>
      <c r="F172" s="11"/>
      <c r="G172" s="11"/>
      <c r="H172" s="11"/>
      <c r="I172" s="59"/>
      <c r="J172" s="59"/>
      <c r="K172" s="11"/>
      <c r="L172" s="11"/>
      <c r="M172" s="11"/>
      <c r="N172" s="11"/>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row>
    <row r="173" spans="1:35" x14ac:dyDescent="0.35">
      <c r="A173" s="11"/>
      <c r="B173" s="11"/>
      <c r="C173" s="208"/>
      <c r="D173" s="11"/>
      <c r="E173" s="11"/>
      <c r="F173" s="11"/>
      <c r="G173" s="11"/>
      <c r="H173" s="185"/>
      <c r="I173" s="122"/>
      <c r="J173" s="122"/>
      <c r="K173" s="11"/>
      <c r="L173" s="11"/>
      <c r="M173" s="11"/>
      <c r="N173" s="104" t="str">
        <f>N102&amp;" - Check"</f>
        <v>Total Food &amp; Beverage Revenue - Check</v>
      </c>
      <c r="O173" s="511">
        <f t="shared" ref="O173:AA173" si="74">O39+O48+O57+O66+O75+O84+O90+O97+O99-O102</f>
        <v>0</v>
      </c>
      <c r="P173" s="511">
        <f t="shared" si="74"/>
        <v>0</v>
      </c>
      <c r="Q173" s="511">
        <f t="shared" si="74"/>
        <v>0</v>
      </c>
      <c r="R173" s="511">
        <f t="shared" si="74"/>
        <v>0</v>
      </c>
      <c r="S173" s="511">
        <f t="shared" si="74"/>
        <v>0</v>
      </c>
      <c r="T173" s="511">
        <f t="shared" si="74"/>
        <v>0</v>
      </c>
      <c r="U173" s="511">
        <f t="shared" si="74"/>
        <v>0</v>
      </c>
      <c r="V173" s="511">
        <f t="shared" si="74"/>
        <v>0</v>
      </c>
      <c r="W173" s="511">
        <f t="shared" si="74"/>
        <v>0</v>
      </c>
      <c r="X173" s="511">
        <f t="shared" si="74"/>
        <v>0</v>
      </c>
      <c r="Y173" s="511">
        <f t="shared" si="74"/>
        <v>0</v>
      </c>
      <c r="Z173" s="511">
        <f t="shared" si="74"/>
        <v>0</v>
      </c>
      <c r="AA173" s="511">
        <f t="shared" si="74"/>
        <v>0</v>
      </c>
      <c r="AB173" s="144"/>
      <c r="AC173" s="140"/>
      <c r="AD173" s="511">
        <f>AD39+AD48+AD57+AD66+AD75+AD97+AD99-AD102</f>
        <v>0</v>
      </c>
      <c r="AE173" s="144"/>
      <c r="AF173" s="143"/>
      <c r="AG173" s="511">
        <f>AG39+AG48+AG57+AG66+AG75+AG97+AG99-AG102</f>
        <v>-8273</v>
      </c>
      <c r="AH173" s="144"/>
      <c r="AI173" s="143"/>
    </row>
    <row r="174" spans="1:35" x14ac:dyDescent="0.35">
      <c r="A174" s="11"/>
      <c r="B174" s="11"/>
      <c r="C174" s="208"/>
      <c r="D174" s="11"/>
      <c r="E174" s="11"/>
      <c r="F174" s="11"/>
      <c r="G174" s="11"/>
      <c r="H174" s="185"/>
      <c r="I174" s="122"/>
      <c r="J174" s="122"/>
      <c r="K174" s="11"/>
      <c r="L174" s="11"/>
      <c r="M174" s="11"/>
      <c r="N174" s="104" t="str">
        <f>N104&amp;" - Check"</f>
        <v>Total Customers (excl Mini Bar) - Check</v>
      </c>
      <c r="O174" s="511">
        <f t="shared" ref="O174:AA174" si="75">O40+O49+O58+O67+O76+O85+O91-O104</f>
        <v>0</v>
      </c>
      <c r="P174" s="511">
        <f t="shared" si="75"/>
        <v>0</v>
      </c>
      <c r="Q174" s="511">
        <f t="shared" si="75"/>
        <v>0</v>
      </c>
      <c r="R174" s="511">
        <f t="shared" si="75"/>
        <v>0</v>
      </c>
      <c r="S174" s="511">
        <f t="shared" si="75"/>
        <v>0</v>
      </c>
      <c r="T174" s="511">
        <f t="shared" si="75"/>
        <v>0</v>
      </c>
      <c r="U174" s="511">
        <f t="shared" si="75"/>
        <v>0</v>
      </c>
      <c r="V174" s="511">
        <f t="shared" si="75"/>
        <v>0</v>
      </c>
      <c r="W174" s="511">
        <f t="shared" si="75"/>
        <v>0</v>
      </c>
      <c r="X174" s="511">
        <f t="shared" si="75"/>
        <v>0</v>
      </c>
      <c r="Y174" s="511">
        <f t="shared" si="75"/>
        <v>0</v>
      </c>
      <c r="Z174" s="511">
        <f t="shared" si="75"/>
        <v>0</v>
      </c>
      <c r="AA174" s="511">
        <f t="shared" si="75"/>
        <v>0</v>
      </c>
      <c r="AB174" s="144"/>
      <c r="AC174" s="140"/>
      <c r="AD174" s="511">
        <f>AD40+AD49+AD58+AD67+AD76-AD104</f>
        <v>0</v>
      </c>
      <c r="AE174" s="144"/>
      <c r="AF174" s="143"/>
      <c r="AG174" s="511">
        <f>AG40+AG49+AG58+AG67+AG76-AG104</f>
        <v>-146</v>
      </c>
      <c r="AH174" s="144"/>
      <c r="AI174" s="143"/>
    </row>
    <row r="175" spans="1:35" x14ac:dyDescent="0.35">
      <c r="A175" s="11"/>
      <c r="B175" s="11"/>
      <c r="C175" s="11"/>
      <c r="D175" s="11"/>
      <c r="E175" s="11"/>
      <c r="F175" s="11"/>
      <c r="G175" s="11"/>
      <c r="H175" s="185"/>
      <c r="I175" s="122"/>
      <c r="J175" s="122"/>
      <c r="K175" s="11"/>
      <c r="L175" s="11"/>
      <c r="M175" s="11"/>
      <c r="N175" s="104" t="s">
        <v>768</v>
      </c>
      <c r="O175" s="511">
        <f t="shared" ref="O175:AA175" si="76">(O152+O159)-O170</f>
        <v>0</v>
      </c>
      <c r="P175" s="511">
        <f t="shared" si="76"/>
        <v>0</v>
      </c>
      <c r="Q175" s="511">
        <f t="shared" si="76"/>
        <v>0</v>
      </c>
      <c r="R175" s="511">
        <f t="shared" si="76"/>
        <v>0</v>
      </c>
      <c r="S175" s="511">
        <f t="shared" si="76"/>
        <v>0</v>
      </c>
      <c r="T175" s="511">
        <f t="shared" si="76"/>
        <v>0</v>
      </c>
      <c r="U175" s="511">
        <f t="shared" si="76"/>
        <v>0</v>
      </c>
      <c r="V175" s="511">
        <f t="shared" si="76"/>
        <v>0</v>
      </c>
      <c r="W175" s="511">
        <f t="shared" si="76"/>
        <v>0</v>
      </c>
      <c r="X175" s="511">
        <f t="shared" si="76"/>
        <v>0</v>
      </c>
      <c r="Y175" s="511">
        <f t="shared" si="76"/>
        <v>0</v>
      </c>
      <c r="Z175" s="511">
        <f t="shared" si="76"/>
        <v>0</v>
      </c>
      <c r="AA175" s="511">
        <f t="shared" si="76"/>
        <v>0</v>
      </c>
      <c r="AB175" s="144"/>
      <c r="AC175" s="140"/>
      <c r="AD175" s="511">
        <f>(AD152+AD159)-AD170</f>
        <v>0</v>
      </c>
      <c r="AE175" s="144"/>
      <c r="AF175" s="143"/>
      <c r="AG175" s="511">
        <f>(AG152+AG159)-AG170</f>
        <v>0</v>
      </c>
      <c r="AH175" s="144"/>
      <c r="AI175" s="143"/>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267"/>
      <c r="J185" s="11"/>
      <c r="K185" s="267"/>
      <c r="L185" s="267"/>
      <c r="M185" s="267"/>
      <c r="N185" s="11"/>
      <c r="O185" s="267"/>
      <c r="P185" s="267"/>
      <c r="Q185" s="267"/>
      <c r="R185" s="267"/>
      <c r="S185" s="267"/>
      <c r="T185" s="267"/>
      <c r="U185" s="267"/>
      <c r="V185" s="267"/>
      <c r="W185" s="267"/>
      <c r="X185" s="267"/>
      <c r="Y185" s="267"/>
      <c r="Z185" s="267"/>
      <c r="AA185" s="267"/>
      <c r="AB185" s="11"/>
      <c r="AC185" s="11"/>
      <c r="AD185" s="267"/>
      <c r="AE185" s="11"/>
      <c r="AF185" s="267"/>
      <c r="AG185" s="11"/>
      <c r="AH185" s="267"/>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267"/>
      <c r="J189" s="11"/>
      <c r="K189" s="267"/>
      <c r="L189" s="267"/>
      <c r="M189" s="267"/>
      <c r="N189" s="11"/>
      <c r="O189" s="267"/>
      <c r="P189" s="267"/>
      <c r="Q189" s="267"/>
      <c r="R189" s="267"/>
      <c r="S189" s="267"/>
      <c r="T189" s="267"/>
      <c r="U189" s="267"/>
      <c r="V189" s="267"/>
      <c r="W189" s="267"/>
      <c r="X189" s="267"/>
      <c r="Y189" s="267"/>
      <c r="Z189" s="267"/>
      <c r="AA189" s="267"/>
      <c r="AB189" s="11"/>
      <c r="AC189" s="11"/>
      <c r="AD189" s="267"/>
      <c r="AE189" s="11"/>
      <c r="AF189" s="267"/>
      <c r="AG189" s="11"/>
      <c r="AH189" s="267"/>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11"/>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11"/>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row r="212" spans="1:35" x14ac:dyDescent="0.35">
      <c r="A212" s="11"/>
      <c r="B212" s="11"/>
      <c r="C212" s="11"/>
      <c r="D212" s="11"/>
      <c r="E212" s="11"/>
      <c r="F212" s="11"/>
      <c r="G212" s="11"/>
      <c r="H212" s="11"/>
      <c r="I212" s="59"/>
      <c r="J212" s="59"/>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row>
    <row r="213" spans="1:35" x14ac:dyDescent="0.35">
      <c r="A213" s="11"/>
      <c r="B213" s="11"/>
      <c r="C213" s="11"/>
      <c r="D213" s="11"/>
      <c r="E213" s="11"/>
      <c r="F213" s="11"/>
      <c r="G213" s="11"/>
      <c r="H213" s="11"/>
      <c r="I213" s="59"/>
      <c r="J213" s="59"/>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row>
    <row r="214" spans="1:35" x14ac:dyDescent="0.35">
      <c r="A214" s="11"/>
      <c r="B214" s="11"/>
      <c r="C214" s="11"/>
      <c r="D214" s="11"/>
      <c r="E214" s="11"/>
      <c r="F214" s="11"/>
      <c r="G214" s="11"/>
      <c r="H214" s="11"/>
      <c r="I214" s="59"/>
      <c r="J214" s="59"/>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row>
    <row r="215" spans="1:35" x14ac:dyDescent="0.35">
      <c r="A215" s="11"/>
      <c r="B215" s="11"/>
      <c r="C215" s="11"/>
      <c r="D215" s="11"/>
      <c r="E215" s="11"/>
      <c r="F215" s="11"/>
      <c r="G215" s="11"/>
      <c r="H215" s="11"/>
      <c r="I215" s="59"/>
      <c r="J215" s="59"/>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row>
    <row r="216" spans="1:35" x14ac:dyDescent="0.35">
      <c r="A216" s="11"/>
      <c r="B216" s="11"/>
      <c r="C216" s="11"/>
      <c r="D216" s="11"/>
      <c r="E216" s="11"/>
      <c r="F216" s="11"/>
      <c r="G216" s="11"/>
      <c r="H216" s="11"/>
      <c r="I216" s="59"/>
      <c r="J216" s="59"/>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row>
    <row r="217" spans="1:35" x14ac:dyDescent="0.35">
      <c r="A217" s="11"/>
      <c r="B217" s="11"/>
      <c r="C217" s="11"/>
      <c r="D217" s="11"/>
      <c r="E217" s="11"/>
      <c r="F217" s="11"/>
      <c r="G217" s="11"/>
      <c r="H217" s="11"/>
      <c r="I217" s="59"/>
      <c r="J217" s="59"/>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row>
    <row r="218" spans="1:35" x14ac:dyDescent="0.35">
      <c r="A218" s="11"/>
      <c r="B218" s="11"/>
      <c r="C218" s="11"/>
      <c r="D218" s="11"/>
      <c r="E218" s="11"/>
      <c r="F218" s="11"/>
      <c r="G218" s="11"/>
      <c r="H218" s="11"/>
      <c r="I218" s="59"/>
      <c r="J218" s="59"/>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row>
    <row r="219" spans="1:35" x14ac:dyDescent="0.35">
      <c r="A219" s="11"/>
      <c r="B219" s="11"/>
      <c r="C219" s="11"/>
      <c r="D219" s="11"/>
      <c r="E219" s="11"/>
      <c r="F219" s="11"/>
      <c r="G219" s="11"/>
      <c r="H219" s="11"/>
      <c r="I219" s="59"/>
      <c r="J219" s="59"/>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row>
    <row r="220" spans="1:35" x14ac:dyDescent="0.35">
      <c r="A220" s="11"/>
      <c r="B220" s="11"/>
      <c r="C220" s="11"/>
      <c r="D220" s="11"/>
      <c r="E220" s="11"/>
      <c r="F220" s="11"/>
      <c r="G220" s="11"/>
      <c r="H220" s="11"/>
      <c r="I220" s="59"/>
      <c r="J220" s="59"/>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row>
    <row r="221" spans="1:35" x14ac:dyDescent="0.35">
      <c r="A221" s="11"/>
      <c r="B221" s="11"/>
      <c r="C221" s="11"/>
      <c r="D221" s="11"/>
      <c r="E221" s="11"/>
      <c r="F221" s="11"/>
      <c r="G221" s="11"/>
      <c r="H221" s="11"/>
      <c r="I221" s="59"/>
      <c r="J221" s="59"/>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row>
    <row r="222" spans="1:35" x14ac:dyDescent="0.35">
      <c r="A222" s="11"/>
      <c r="B222" s="11"/>
      <c r="C222" s="11"/>
      <c r="D222" s="11"/>
      <c r="E222" s="11"/>
      <c r="F222" s="11"/>
      <c r="G222" s="11"/>
      <c r="H222" s="11"/>
      <c r="I222" s="59"/>
      <c r="J222" s="59"/>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row>
    <row r="223" spans="1:35" x14ac:dyDescent="0.35">
      <c r="A223" s="11"/>
      <c r="B223" s="11"/>
      <c r="C223" s="11"/>
      <c r="D223" s="11"/>
      <c r="E223" s="11"/>
      <c r="F223" s="11"/>
      <c r="G223" s="11"/>
      <c r="H223" s="11"/>
      <c r="I223" s="59"/>
      <c r="J223" s="59"/>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row>
    <row r="224" spans="1:35" x14ac:dyDescent="0.35">
      <c r="A224" s="11"/>
      <c r="B224" s="11"/>
      <c r="C224" s="11"/>
      <c r="D224" s="11"/>
      <c r="E224" s="11"/>
      <c r="F224" s="11"/>
      <c r="G224" s="11"/>
      <c r="H224" s="11"/>
      <c r="I224" s="59"/>
      <c r="J224" s="59"/>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row>
    <row r="225" spans="1:35" x14ac:dyDescent="0.35">
      <c r="A225" s="11"/>
      <c r="B225" s="11"/>
      <c r="C225" s="11"/>
      <c r="D225" s="11"/>
      <c r="E225" s="11"/>
      <c r="F225" s="11"/>
      <c r="G225" s="11"/>
      <c r="H225" s="11"/>
      <c r="I225" s="59"/>
      <c r="J225" s="59"/>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row>
    <row r="226" spans="1:35" x14ac:dyDescent="0.35">
      <c r="A226" s="11"/>
      <c r="B226" s="11"/>
      <c r="C226" s="11"/>
      <c r="D226" s="11"/>
      <c r="E226" s="267"/>
      <c r="F226" s="11"/>
      <c r="G226" s="11"/>
      <c r="H226" s="11"/>
      <c r="I226" s="59"/>
      <c r="J226" s="59"/>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row>
    <row r="227" spans="1:35" x14ac:dyDescent="0.35">
      <c r="A227" s="11"/>
      <c r="B227" s="11"/>
      <c r="C227" s="11"/>
      <c r="D227" s="11"/>
      <c r="E227" s="11"/>
      <c r="F227" s="11"/>
      <c r="G227" s="11"/>
      <c r="H227" s="11"/>
      <c r="I227" s="59"/>
      <c r="J227" s="59"/>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row>
    <row r="228" spans="1:35" x14ac:dyDescent="0.35">
      <c r="A228" s="11"/>
      <c r="B228" s="11"/>
      <c r="C228" s="11"/>
      <c r="D228" s="11"/>
      <c r="E228" s="11"/>
      <c r="F228" s="11"/>
      <c r="G228" s="11"/>
      <c r="H228" s="11"/>
      <c r="I228" s="59"/>
      <c r="J228" s="59"/>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row>
    <row r="229" spans="1:35" x14ac:dyDescent="0.35">
      <c r="A229" s="11"/>
      <c r="B229" s="11"/>
      <c r="C229" s="11"/>
      <c r="D229" s="11"/>
      <c r="E229" s="11"/>
      <c r="F229" s="11"/>
      <c r="G229" s="11"/>
      <c r="H229" s="11"/>
      <c r="I229" s="59"/>
      <c r="J229" s="59"/>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row>
    <row r="230" spans="1:35" x14ac:dyDescent="0.35">
      <c r="A230" s="11"/>
      <c r="B230" s="11"/>
      <c r="C230" s="11"/>
      <c r="D230" s="11"/>
      <c r="E230" s="267"/>
      <c r="F230" s="11"/>
      <c r="G230" s="11"/>
      <c r="H230" s="11"/>
      <c r="I230" s="59"/>
      <c r="J230" s="59"/>
      <c r="K230" s="11"/>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row>
  </sheetData>
  <sheetProtection algorithmName="SHA-512" hashValue="A5p6RMPlTYbSAsQ02v40KeOYfx0PJKy8fm16yE/ouFiB5zpMsjwYzMKsbz4ay88md/RMvAG+Gg7XdZX+HqiIcQ==" saltValue="VWVTuSP8nlQI1mZAQzO+Fg==" spinCount="100000" sheet="1" scenarios="1"/>
  <mergeCells count="2">
    <mergeCell ref="AD31:AE31"/>
    <mergeCell ref="AG31:AH31"/>
  </mergeCells>
  <conditionalFormatting sqref="AD42 AF42:AG42 O42:AA42">
    <cfRule type="expression" dxfId="176" priority="19">
      <formula>ROUND(O41,2)&lt;&gt;ROUND(O42,2)</formula>
    </cfRule>
  </conditionalFormatting>
  <conditionalFormatting sqref="N42">
    <cfRule type="expression" dxfId="175" priority="17">
      <formula>$G42&lt;&gt;0</formula>
    </cfRule>
  </conditionalFormatting>
  <conditionalFormatting sqref="O51:AA51 AD51 AF51:AG51">
    <cfRule type="expression" dxfId="174" priority="24">
      <formula>ROUND(O50,2)&lt;&gt;ROUND(O51,2)</formula>
    </cfRule>
  </conditionalFormatting>
  <conditionalFormatting sqref="N51">
    <cfRule type="expression" dxfId="173" priority="21">
      <formula>$G51&lt;&gt;0</formula>
    </cfRule>
  </conditionalFormatting>
  <conditionalFormatting sqref="O60:AA60 AD60 AF60:AG60">
    <cfRule type="expression" dxfId="172" priority="26">
      <formula>ROUND(O59,2)&lt;&gt;ROUND(O60,2)</formula>
    </cfRule>
  </conditionalFormatting>
  <conditionalFormatting sqref="N60">
    <cfRule type="expression" dxfId="171" priority="25">
      <formula>$G60&lt;&gt;0</formula>
    </cfRule>
  </conditionalFormatting>
  <conditionalFormatting sqref="O69:AA69 AD69 AF69:AG69">
    <cfRule type="expression" dxfId="170" priority="29">
      <formula>ROUND(O68,2)&lt;&gt;ROUND(O69,2)</formula>
    </cfRule>
  </conditionalFormatting>
  <conditionalFormatting sqref="N69">
    <cfRule type="expression" dxfId="169" priority="28">
      <formula>$G69&lt;&gt;0</formula>
    </cfRule>
  </conditionalFormatting>
  <conditionalFormatting sqref="N93">
    <cfRule type="expression" dxfId="168" priority="30">
      <formula>$G93&lt;&gt;0</formula>
    </cfRule>
  </conditionalFormatting>
  <conditionalFormatting sqref="O93:AA93 AD93 AF93:AG93">
    <cfRule type="expression" dxfId="167" priority="31">
      <formula>ROUND(O77,2)&lt;&gt;ROUND(O93,2)</formula>
    </cfRule>
  </conditionalFormatting>
  <conditionalFormatting sqref="AI42">
    <cfRule type="expression" dxfId="166" priority="15">
      <formula>ROUND(AI41,2)&lt;&gt;ROUND(AI42,2)</formula>
    </cfRule>
  </conditionalFormatting>
  <conditionalFormatting sqref="AI51">
    <cfRule type="expression" dxfId="165" priority="14">
      <formula>ROUND(AI50,2)&lt;&gt;ROUND(AI51,2)</formula>
    </cfRule>
  </conditionalFormatting>
  <conditionalFormatting sqref="AI60">
    <cfRule type="expression" dxfId="164" priority="13">
      <formula>ROUND(AI59,2)&lt;&gt;ROUND(AI60,2)</formula>
    </cfRule>
  </conditionalFormatting>
  <conditionalFormatting sqref="AI69">
    <cfRule type="expression" dxfId="163" priority="12">
      <formula>ROUND(AI68,2)&lt;&gt;ROUND(AI69,2)</formula>
    </cfRule>
  </conditionalFormatting>
  <conditionalFormatting sqref="AI93">
    <cfRule type="expression" dxfId="162" priority="11">
      <formula>ROUND(AI77,2)&lt;&gt;ROUND(AI93,2)</formula>
    </cfRule>
  </conditionalFormatting>
  <conditionalFormatting sqref="O78:AA78 AD78 AF78:AG78">
    <cfRule type="expression" dxfId="161" priority="6">
      <formula>ROUND(O77,2)&lt;&gt;ROUND(O78,2)</formula>
    </cfRule>
  </conditionalFormatting>
  <conditionalFormatting sqref="AI87">
    <cfRule type="expression" dxfId="160" priority="1">
      <formula>ROUND(AI86,2)&lt;&gt;ROUND(AI87,2)</formula>
    </cfRule>
  </conditionalFormatting>
  <conditionalFormatting sqref="N78">
    <cfRule type="expression" dxfId="159" priority="5">
      <formula>$G78&lt;&gt;0</formula>
    </cfRule>
  </conditionalFormatting>
  <conditionalFormatting sqref="AI78">
    <cfRule type="expression" dxfId="158" priority="4">
      <formula>ROUND(AI77,2)&lt;&gt;ROUND(AI78,2)</formula>
    </cfRule>
  </conditionalFormatting>
  <conditionalFormatting sqref="O87:AA87 AD87 AF87:AG87">
    <cfRule type="expression" dxfId="157" priority="3">
      <formula>ROUND(O86,2)&lt;&gt;ROUND(O87,2)</formula>
    </cfRule>
  </conditionalFormatting>
  <conditionalFormatting sqref="N87">
    <cfRule type="expression" dxfId="156" priority="2">
      <formula>$G87&lt;&gt;0</formula>
    </cfRule>
  </conditionalFormatting>
  <dataValidations disablePrompts="1" count="2">
    <dataValidation type="list" allowBlank="1" sqref="B28" xr:uid="{00000000-0002-0000-0600-000000000000}">
      <formula1>"ACCOUNT,BUSINESSUNIT,CATEGORY,DATASRC,DEPARTMENT,INTCO,MEASURES,RPTCURRENCY,TIME"</formula1>
    </dataValidation>
    <dataValidation type="list" allowBlank="1" sqref="B29" xr:uid="{00000000-0002-0000-0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555"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3555" r:id="rId7" name="FPMExcelClientSheetOptionstb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6" tint="0.39997558519241921"/>
    <pageSetUpPr fitToPage="1"/>
  </sheetPr>
  <dimension ref="A1:AO196"/>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IF(_epmOfflineCondition_,"Seawell Restaurant",IF(OR(_xll.EVCGT($B$1,$B$6,$H$1,$H$2,$H$3,$H$4,$H$5,$H$6,$H$7,$H$8)="#RFR",_xll.EVCGT($B$1,$B$6,$H$1,$H$2,$H$3,$H$4,$H$5,$H$6,$H$7,$H$8)="#NODATA"),"",_xll.EVCGT($B$1,$B$6,$H$1,$H$2,$H$3,$H$4,$H$5,$H$6,$H$7,$H$8)))</f>
        <v>Seawell Restaurant</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725</v>
      </c>
      <c r="C6" s="11" t="str">
        <f>IF(_epmOfflineCondition_,"Venue 1",_xll.EVDES(B6,$B$1))</f>
        <v>Venue 1</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IF(_epmOfflineCondition_,"'Venue1'!$B$2:$B$10",_xll.EVRNG($B$2:$B$10))</f>
        <v>'Venue1'!$B$2:$B$10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IF(_epmOfflineCondition_,"'Venue1'!$O$16:$AN$18",_xll.EVRNG($O$16:$AN$18))</f>
        <v>'Venue1'!$O$16:$AN$18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IF(_epmOfflineCondition_,"'Venue1'!$H$35:$H$58",_xll.EVRNG(H35:H58))</f>
        <v>'Venue1'!$H$35:$H$58</v>
      </c>
      <c r="C19" s="11"/>
      <c r="D19" s="11"/>
      <c r="E19" s="11"/>
      <c r="F19" s="11"/>
      <c r="G19" s="67" t="str">
        <f>$B$6</f>
        <v>D2140</v>
      </c>
      <c r="H19" s="67">
        <v>400000</v>
      </c>
      <c r="I19" s="68"/>
      <c r="J19" s="68"/>
      <c r="K19" s="67"/>
      <c r="L19" s="67"/>
      <c r="M19" s="67"/>
      <c r="N19" s="67" t="str">
        <f>IF(_epmOfflineCondition_,"Total Revenue",_xll.EVDES(H19))</f>
        <v>Total Revenue</v>
      </c>
      <c r="O19" s="69">
        <f>IF(_epmOfflineCondition_,78396.29,_xll.EVGTS($B$1,1,$B$3,$B$5,$B$7,$B$9,O$16,O$17,O$18,$G$19,$H$19))</f>
        <v>78396.289999999994</v>
      </c>
      <c r="P19" s="69">
        <f>IF(_epmOfflineCondition_,101808.8,_xll.EVGTS($B$1,1,$B$3,$B$5,$B$7,$B$9,P$16,P$17,P$18,$G$19,$H$19))</f>
        <v>101808.8</v>
      </c>
      <c r="Q19" s="69">
        <f>IF(_epmOfflineCondition_,44194.98,_xll.EVGTS($B$1,1,$B$3,$B$5,$B$7,$B$9,Q$16,Q$17,Q$18,$G$19,$H$19))</f>
        <v>44194.98</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IF(_epmOfflineCondition_,8841.08,_xll.EVGTS($B$1,1,$B$3,$B$5,$B$7,$B$9,Y$16,Y$17,Y$18,$G$19,$H$19))</f>
        <v>8841.08</v>
      </c>
      <c r="Z19" s="69">
        <f>IF(_epmOfflineCondition_,23992.65,_xll.EVGTS($B$1,1,$B$3,$B$5,$B$7,$B$9,Z$16,Z$17,Z$18,$G$19,$H$19))</f>
        <v>23992.65</v>
      </c>
      <c r="AA19" s="69">
        <f>SUM(O19:Z19)</f>
        <v>257233.8</v>
      </c>
      <c r="AB19" s="67"/>
      <c r="AC19" s="67"/>
      <c r="AD19" s="69">
        <f>IF(_epmOfflineCondition_,2154876.508474,_xll.EVGTS($B$1,1,$B$3,$B$5,$B$7,$B$9,AD$16,AD$17,AD$18,$G$19,$H$19))</f>
        <v>2154876.5084739998</v>
      </c>
      <c r="AE19" s="67"/>
      <c r="AF19" s="67"/>
      <c r="AG19" s="69">
        <f>IF(_epmOfflineCondition_,182305.07,_xll.EVGTS($B$1,1,$B$3,$B$5,$B$7,$B$9,AG$16,AG$17,AG$18,$G$19,$H$19))</f>
        <v>182305.07</v>
      </c>
      <c r="AH19" s="67"/>
      <c r="AI19" s="67"/>
      <c r="AJ19" s="11"/>
      <c r="AK19" s="11"/>
      <c r="AL19" s="11"/>
      <c r="AM19" s="11"/>
      <c r="AN19" s="11"/>
      <c r="AO19" s="11"/>
    </row>
    <row r="20" spans="1:41" hidden="1" outlineLevel="1" x14ac:dyDescent="0.35">
      <c r="A20" s="65" t="s">
        <v>5</v>
      </c>
      <c r="B20" s="66"/>
      <c r="C20" s="11"/>
      <c r="D20" s="11"/>
      <c r="E20" s="11"/>
      <c r="F20" s="11"/>
      <c r="G20" s="67" t="str">
        <f>$B$6</f>
        <v>D2140</v>
      </c>
      <c r="H20" s="67">
        <v>946000</v>
      </c>
      <c r="I20" s="68"/>
      <c r="J20" s="68"/>
      <c r="K20" s="67"/>
      <c r="L20" s="68"/>
      <c r="M20" s="68"/>
      <c r="N20" s="67" t="str">
        <f>IF(_epmOfflineCondition_,"Total Customers",_xll.EVDES(H20))</f>
        <v>Total Customers</v>
      </c>
      <c r="O20" s="69">
        <f>IF(_epmOfflineCondition_,2245,_xll.EVGTS($B$1,1,$B$3,$B$5,$B$7,$B$9,O$16,O$17,O$18,$G$20,$H$20))</f>
        <v>2245</v>
      </c>
      <c r="P20" s="69">
        <f>IF(_epmOfflineCondition_,2786,_xll.EVGTS($B$1,1,$B$3,$B$5,$B$7,$B$9,P$16,P$17,P$18,$G$20,$H$20))</f>
        <v>2786</v>
      </c>
      <c r="Q20" s="69">
        <f>IF(_epmOfflineCondition_,1279,_xll.EVGTS($B$1,1,$B$3,$B$5,$B$7,$B$9,Q$16,Q$17,Q$18,$G$20,$H$20))</f>
        <v>1279</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IF(_epmOfflineCondition_,167,_xll.EVGTS($B$1,1,$B$3,$B$5,$B$7,$B$9,Y$16,Y$17,Y$18,$G$20,$H$20))</f>
        <v>167</v>
      </c>
      <c r="Z20" s="69">
        <f>IF(_epmOfflineCondition_,559,_xll.EVGTS($B$1,1,$B$3,$B$5,$B$7,$B$9,Z$16,Z$17,Z$18,$G$20,$H$20))</f>
        <v>559</v>
      </c>
      <c r="AA20" s="69">
        <f>SUM(O20:Z20)</f>
        <v>7036</v>
      </c>
      <c r="AB20" s="67"/>
      <c r="AC20" s="67"/>
      <c r="AD20" s="69">
        <f>IF(_epmOfflineCondition_,47247,_xll.EVGTS($B$1,1,$B$3,$B$5,$B$7,$B$9,AD$16,AD$17,AD$18,$G$20,$H$20))</f>
        <v>47247</v>
      </c>
      <c r="AE20" s="67"/>
      <c r="AF20" s="67"/>
      <c r="AG20" s="69">
        <f>IF(_epmOfflineCondition_,5652,_xll.EVGTS($B$1,1,$B$3,$B$5,$B$7,$B$9,AG$16,AG$17,AG$18,$G$20,$H$20))</f>
        <v>5652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IF(_epmOfflineCondition_,"'Venue1'!$A$36:$F$44",_xll.EVRNG(A36:F44))</f>
        <v>'Venue1'!$A$36:$F$44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IF(_epmOfflineCondition_,"'Venue1'!$A$125:$B$146",_xll.EVRNG($A$125:$B$146))</f>
        <v>'Venue1'!$A$125:$B$146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IF(_epmOfflineCondition_,"Seawell Restaurant",IF($N$1="",IF(_xll.EVDES(B6,$B$1)="#NODATA","",_xll.EVDES(B6,$B$1)&amp;" Department"),$N$1))</f>
        <v>Seawell Restaurant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v>15879</v>
      </c>
      <c r="P35" s="250">
        <v>18887.5</v>
      </c>
      <c r="Q35" s="250">
        <v>8701</v>
      </c>
      <c r="R35" s="250"/>
      <c r="S35" s="250"/>
      <c r="T35" s="250"/>
      <c r="U35" s="250"/>
      <c r="V35" s="250"/>
      <c r="W35" s="250"/>
      <c r="X35" s="250"/>
      <c r="Y35" s="250"/>
      <c r="Z35" s="250">
        <v>3927</v>
      </c>
      <c r="AA35" s="250">
        <f t="shared" ref="AA35:AA58" si="1">IF($I35="B1","",SUM(O35:Z35))</f>
        <v>47394.5</v>
      </c>
      <c r="AB35" s="436">
        <f t="shared" ref="AB35:AB58" si="2">IF(AA35=0,"",IFERROR(AA35/AA$19,""))</f>
        <v>0.18424678249903395</v>
      </c>
      <c r="AC35" s="533"/>
      <c r="AD35" s="250">
        <v>242450.5545</v>
      </c>
      <c r="AE35" s="436">
        <f t="shared" ref="AE35:AE58" si="3">IF(AD35=0,"",IFERROR(AD35/AD$19,""))</f>
        <v>0.11251250526263062</v>
      </c>
      <c r="AF35" s="438">
        <f t="shared" ref="AF35:AF58" si="4">IF(AND($AA35="",AD35=""),"",$AA35-AD35)</f>
        <v>-195056.0545</v>
      </c>
      <c r="AG35" s="250">
        <v>57224.1</v>
      </c>
      <c r="AH35" s="436">
        <f t="shared" ref="AH35:AH58" si="5">IF(AG35=0,"",IFERROR(AG35/AG$19,""))</f>
        <v>0.31389198336612356</v>
      </c>
      <c r="AI35" s="439">
        <f t="shared" ref="AI35:AI58" si="6">IF(AND($AA35="",AG35=""),"",$AA35-AG35)</f>
        <v>-9829.5999999999985</v>
      </c>
      <c r="AJ35" s="440">
        <f t="shared" ref="AJ35:AJ58" si="7">IFERROR(AA35/AA$20,0)</f>
        <v>6.7360005685048323</v>
      </c>
      <c r="AK35" s="441">
        <f t="shared" ref="AK35:AK58" si="8">IFERROR(AD35/AD$20,0)</f>
        <v>5.1315544796495018</v>
      </c>
      <c r="AL35" s="442">
        <f t="shared" ref="AL35:AL58" si="9">IFERROR(AG35/AG$20,0)</f>
        <v>10.124575371549893</v>
      </c>
      <c r="AM35" s="443" t="str">
        <f t="shared" ref="AM35:AM58" si="10">+IFERROR(ROUND(($AB35-AE35)*100,2)&amp;" pts.",0)</f>
        <v>7.17 pts.</v>
      </c>
      <c r="AN35" s="444" t="str">
        <f t="shared" ref="AN35:AN58" si="11">+IFERROR(ROUND(($AB35-AH35)*100,2)&amp;" pts.",0)</f>
        <v>-12.96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v>6964.07</v>
      </c>
      <c r="P36" s="250">
        <v>8631.23</v>
      </c>
      <c r="Q36" s="250">
        <v>3861.7</v>
      </c>
      <c r="R36" s="250"/>
      <c r="S36" s="250"/>
      <c r="T36" s="250"/>
      <c r="U36" s="250"/>
      <c r="V36" s="250"/>
      <c r="W36" s="250"/>
      <c r="X36" s="250"/>
      <c r="Y36" s="250"/>
      <c r="Z36" s="250"/>
      <c r="AA36" s="250">
        <f t="shared" si="1"/>
        <v>19457</v>
      </c>
      <c r="AB36" s="436">
        <f t="shared" si="2"/>
        <v>7.5639359990794366E-2</v>
      </c>
      <c r="AC36" s="533"/>
      <c r="AD36" s="250">
        <v>181662.15552</v>
      </c>
      <c r="AE36" s="436">
        <f t="shared" si="3"/>
        <v>8.4302814943509732E-2</v>
      </c>
      <c r="AF36" s="438">
        <f t="shared" si="4"/>
        <v>-162205.15552</v>
      </c>
      <c r="AG36" s="250">
        <v>5818.1</v>
      </c>
      <c r="AH36" s="436">
        <f t="shared" si="5"/>
        <v>3.191408774314395E-2</v>
      </c>
      <c r="AI36" s="439">
        <f t="shared" si="6"/>
        <v>13638.9</v>
      </c>
      <c r="AJ36" s="440">
        <f t="shared" si="7"/>
        <v>2.7653496304718592</v>
      </c>
      <c r="AK36" s="441">
        <f t="shared" si="8"/>
        <v>3.844945827671598</v>
      </c>
      <c r="AL36" s="442">
        <f t="shared" si="9"/>
        <v>1.0293878273177637</v>
      </c>
      <c r="AM36" s="443" t="str">
        <f t="shared" si="10"/>
        <v>-0.87 pts.</v>
      </c>
      <c r="AN36" s="444" t="str">
        <f t="shared" si="11"/>
        <v>4.37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v>25948.23</v>
      </c>
      <c r="P37" s="250">
        <v>34171.99</v>
      </c>
      <c r="Q37" s="250">
        <v>13778.14</v>
      </c>
      <c r="R37" s="250"/>
      <c r="S37" s="250"/>
      <c r="T37" s="250"/>
      <c r="U37" s="250"/>
      <c r="V37" s="250"/>
      <c r="W37" s="250"/>
      <c r="X37" s="250"/>
      <c r="Y37" s="250">
        <v>5134</v>
      </c>
      <c r="Z37" s="250">
        <v>11352.1</v>
      </c>
      <c r="AA37" s="250">
        <f t="shared" si="1"/>
        <v>90384.46</v>
      </c>
      <c r="AB37" s="436">
        <f t="shared" si="2"/>
        <v>0.35137085406350183</v>
      </c>
      <c r="AC37" s="533"/>
      <c r="AD37" s="250">
        <v>777488.42009599996</v>
      </c>
      <c r="AE37" s="436">
        <f t="shared" si="3"/>
        <v>0.36080416536100585</v>
      </c>
      <c r="AF37" s="438">
        <f t="shared" si="4"/>
        <v>-687103.960096</v>
      </c>
      <c r="AG37" s="250">
        <v>53528.33</v>
      </c>
      <c r="AH37" s="436">
        <f t="shared" si="5"/>
        <v>0.2936195356497765</v>
      </c>
      <c r="AI37" s="439">
        <f t="shared" si="6"/>
        <v>36856.130000000005</v>
      </c>
      <c r="AJ37" s="440">
        <f t="shared" si="7"/>
        <v>12.846000568504833</v>
      </c>
      <c r="AK37" s="441">
        <f t="shared" si="8"/>
        <v>16.45582619205452</v>
      </c>
      <c r="AL37" s="442">
        <f t="shared" si="9"/>
        <v>9.4706882519462141</v>
      </c>
      <c r="AM37" s="443" t="str">
        <f t="shared" si="10"/>
        <v>-0.94 pts.</v>
      </c>
      <c r="AN37" s="444" t="str">
        <f t="shared" si="11"/>
        <v>5.78 pts.</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v>2538.3000000000002</v>
      </c>
      <c r="P38" s="250">
        <v>1444.57</v>
      </c>
      <c r="Q38" s="250">
        <v>624</v>
      </c>
      <c r="R38" s="250"/>
      <c r="S38" s="250"/>
      <c r="T38" s="250"/>
      <c r="U38" s="250"/>
      <c r="V38" s="250"/>
      <c r="W38" s="250"/>
      <c r="X38" s="250"/>
      <c r="Y38" s="250"/>
      <c r="Z38" s="250"/>
      <c r="AA38" s="250">
        <f t="shared" si="1"/>
        <v>4606.87</v>
      </c>
      <c r="AB38" s="436">
        <f t="shared" si="2"/>
        <v>1.7909271643151096E-2</v>
      </c>
      <c r="AC38" s="533"/>
      <c r="AD38" s="250">
        <v>9741.6253620000007</v>
      </c>
      <c r="AE38" s="436">
        <f t="shared" si="3"/>
        <v>4.520734865172688E-3</v>
      </c>
      <c r="AF38" s="438">
        <f t="shared" si="4"/>
        <v>-5134.7553620000008</v>
      </c>
      <c r="AG38" s="250">
        <v>5588.85</v>
      </c>
      <c r="AH38" s="436">
        <f t="shared" si="5"/>
        <v>3.0656580203721161E-2</v>
      </c>
      <c r="AI38" s="439">
        <f t="shared" si="6"/>
        <v>-981.98000000000047</v>
      </c>
      <c r="AJ38" s="440">
        <f t="shared" si="7"/>
        <v>0.6547569641841956</v>
      </c>
      <c r="AK38" s="441">
        <f t="shared" si="8"/>
        <v>0.20618505644802845</v>
      </c>
      <c r="AL38" s="442">
        <f t="shared" si="9"/>
        <v>0.98882696390658176</v>
      </c>
      <c r="AM38" s="443" t="str">
        <f t="shared" si="10"/>
        <v>1.34 pts.</v>
      </c>
      <c r="AN38" s="444" t="str">
        <f t="shared" si="11"/>
        <v>-1.27 pts.</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v>19020.499640000002</v>
      </c>
      <c r="AE39" s="446">
        <f t="shared" si="3"/>
        <v>8.8267237427306616E-3</v>
      </c>
      <c r="AF39" s="447">
        <f t="shared" si="4"/>
        <v>-19020.499640000002</v>
      </c>
      <c r="AG39" s="251">
        <v>104</v>
      </c>
      <c r="AH39" s="446">
        <f t="shared" si="5"/>
        <v>5.7047234067598887E-4</v>
      </c>
      <c r="AI39" s="448">
        <f t="shared" si="6"/>
        <v>-104</v>
      </c>
      <c r="AJ39" s="449">
        <f t="shared" si="7"/>
        <v>0</v>
      </c>
      <c r="AK39" s="450">
        <f t="shared" si="8"/>
        <v>0.40257581730056941</v>
      </c>
      <c r="AL39" s="451">
        <f t="shared" si="9"/>
        <v>1.840056617126681E-2</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51329.599999999999</v>
      </c>
      <c r="P40" s="225">
        <v>63135.29</v>
      </c>
      <c r="Q40" s="225">
        <v>26964.84</v>
      </c>
      <c r="R40" s="225"/>
      <c r="S40" s="225"/>
      <c r="T40" s="225"/>
      <c r="U40" s="225"/>
      <c r="V40" s="225"/>
      <c r="W40" s="225"/>
      <c r="X40" s="225"/>
      <c r="Y40" s="225">
        <v>5134</v>
      </c>
      <c r="Z40" s="225">
        <v>15279.1</v>
      </c>
      <c r="AA40" s="225">
        <f t="shared" si="1"/>
        <v>161842.83000000002</v>
      </c>
      <c r="AB40" s="226">
        <f t="shared" si="2"/>
        <v>0.62916626819648125</v>
      </c>
      <c r="AC40" s="227"/>
      <c r="AD40" s="225">
        <v>1230363.2551180001</v>
      </c>
      <c r="AE40" s="226">
        <f t="shared" si="3"/>
        <v>0.57096694417504967</v>
      </c>
      <c r="AF40" s="228">
        <f t="shared" si="4"/>
        <v>-1068520.425118</v>
      </c>
      <c r="AG40" s="225">
        <v>122263.38</v>
      </c>
      <c r="AH40" s="226">
        <f t="shared" si="5"/>
        <v>0.6706526593034412</v>
      </c>
      <c r="AI40" s="455">
        <f t="shared" si="6"/>
        <v>39579.450000000012</v>
      </c>
      <c r="AJ40" s="229">
        <f t="shared" si="7"/>
        <v>23.002107731665721</v>
      </c>
      <c r="AK40" s="230">
        <f t="shared" si="8"/>
        <v>26.041087373124221</v>
      </c>
      <c r="AL40" s="232">
        <f t="shared" si="9"/>
        <v>21.63187898089172</v>
      </c>
      <c r="AM40" s="427" t="str">
        <f t="shared" si="10"/>
        <v>5.82 pts.</v>
      </c>
      <c r="AN40" s="456" t="str">
        <f t="shared" si="11"/>
        <v>-4.15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34"/>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v>319</v>
      </c>
      <c r="P42" s="250">
        <v>1038</v>
      </c>
      <c r="Q42" s="250">
        <v>789</v>
      </c>
      <c r="R42" s="250"/>
      <c r="S42" s="250"/>
      <c r="T42" s="250"/>
      <c r="U42" s="250"/>
      <c r="V42" s="250"/>
      <c r="W42" s="250"/>
      <c r="X42" s="250"/>
      <c r="Y42" s="250"/>
      <c r="Z42" s="250">
        <v>429</v>
      </c>
      <c r="AA42" s="250">
        <f t="shared" si="1"/>
        <v>2575</v>
      </c>
      <c r="AB42" s="436">
        <f t="shared" si="2"/>
        <v>1.0010348562280696E-2</v>
      </c>
      <c r="AC42" s="533"/>
      <c r="AD42" s="250">
        <v>17968.945500000002</v>
      </c>
      <c r="AE42" s="436">
        <f t="shared" si="3"/>
        <v>8.3387356209683287E-3</v>
      </c>
      <c r="AF42" s="438">
        <f t="shared" si="4"/>
        <v>-15393.945500000002</v>
      </c>
      <c r="AG42" s="250">
        <v>684.8</v>
      </c>
      <c r="AH42" s="436">
        <f t="shared" si="5"/>
        <v>3.756340950912665E-3</v>
      </c>
      <c r="AI42" s="439">
        <f t="shared" si="6"/>
        <v>1890.2</v>
      </c>
      <c r="AJ42" s="440">
        <f t="shared" si="7"/>
        <v>0.36597498578737919</v>
      </c>
      <c r="AK42" s="441">
        <f t="shared" si="8"/>
        <v>0.38031929011365806</v>
      </c>
      <c r="AL42" s="442">
        <f t="shared" si="9"/>
        <v>0.12116065109695683</v>
      </c>
      <c r="AM42" s="443" t="str">
        <f t="shared" si="10"/>
        <v>0.17 pts.</v>
      </c>
      <c r="AN42" s="444" t="str">
        <f t="shared" si="11"/>
        <v>0.63 pts.</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v>2544.61</v>
      </c>
      <c r="P43" s="250">
        <v>4450.5</v>
      </c>
      <c r="Q43" s="250">
        <v>2637.7</v>
      </c>
      <c r="R43" s="250"/>
      <c r="S43" s="250"/>
      <c r="T43" s="250"/>
      <c r="U43" s="250"/>
      <c r="V43" s="250"/>
      <c r="W43" s="250"/>
      <c r="X43" s="250"/>
      <c r="Y43" s="250"/>
      <c r="Z43" s="250"/>
      <c r="AA43" s="250">
        <f t="shared" si="1"/>
        <v>9632.8100000000013</v>
      </c>
      <c r="AB43" s="436">
        <f t="shared" si="2"/>
        <v>3.7447683780280829E-2</v>
      </c>
      <c r="AC43" s="533"/>
      <c r="AD43" s="250">
        <v>132795.44448000001</v>
      </c>
      <c r="AE43" s="436">
        <f t="shared" si="3"/>
        <v>6.1625547430576709E-2</v>
      </c>
      <c r="AF43" s="438">
        <f t="shared" si="4"/>
        <v>-123162.63448000001</v>
      </c>
      <c r="AG43" s="250">
        <v>2560</v>
      </c>
      <c r="AH43" s="436">
        <f t="shared" si="5"/>
        <v>1.4042396078178187E-2</v>
      </c>
      <c r="AI43" s="439">
        <f t="shared" si="6"/>
        <v>7072.8100000000013</v>
      </c>
      <c r="AJ43" s="440">
        <f t="shared" si="7"/>
        <v>1.3690747583854466</v>
      </c>
      <c r="AK43" s="441">
        <f t="shared" si="8"/>
        <v>2.8106640523207824</v>
      </c>
      <c r="AL43" s="442">
        <f t="shared" si="9"/>
        <v>0.45293701344656756</v>
      </c>
      <c r="AM43" s="443" t="str">
        <f t="shared" si="10"/>
        <v>-2.42 pts.</v>
      </c>
      <c r="AN43" s="444" t="str">
        <f t="shared" si="11"/>
        <v>2.34 pts.</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v>9240.27</v>
      </c>
      <c r="P44" s="250">
        <v>15616.98</v>
      </c>
      <c r="Q44" s="250">
        <v>6148.44</v>
      </c>
      <c r="R44" s="250"/>
      <c r="S44" s="250"/>
      <c r="T44" s="250"/>
      <c r="U44" s="250"/>
      <c r="V44" s="250"/>
      <c r="W44" s="250"/>
      <c r="X44" s="250"/>
      <c r="Y44" s="250">
        <v>2313.9</v>
      </c>
      <c r="Z44" s="250">
        <v>4625.8</v>
      </c>
      <c r="AA44" s="250">
        <f t="shared" si="1"/>
        <v>37945.39</v>
      </c>
      <c r="AB44" s="436">
        <f t="shared" si="2"/>
        <v>0.14751323504142924</v>
      </c>
      <c r="AC44" s="533"/>
      <c r="AD44" s="250">
        <v>405543.25990399998</v>
      </c>
      <c r="AE44" s="436">
        <f t="shared" si="3"/>
        <v>0.18819791218160806</v>
      </c>
      <c r="AF44" s="438">
        <f t="shared" si="4"/>
        <v>-367597.86990399996</v>
      </c>
      <c r="AG44" s="250">
        <v>21158.5</v>
      </c>
      <c r="AH44" s="436">
        <f t="shared" si="5"/>
        <v>0.11606095211723952</v>
      </c>
      <c r="AI44" s="439">
        <f t="shared" si="6"/>
        <v>16786.89</v>
      </c>
      <c r="AJ44" s="440">
        <f t="shared" si="7"/>
        <v>5.3930343945423536</v>
      </c>
      <c r="AK44" s="441">
        <f t="shared" si="8"/>
        <v>8.5834711178275871</v>
      </c>
      <c r="AL44" s="442">
        <f t="shared" si="9"/>
        <v>3.743542108987969</v>
      </c>
      <c r="AM44" s="443" t="str">
        <f t="shared" si="10"/>
        <v>-4.07 pts.</v>
      </c>
      <c r="AN44" s="444" t="str">
        <f t="shared" si="11"/>
        <v>3.15 pts.</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v>2400.1999999999998</v>
      </c>
      <c r="P45" s="250">
        <v>1727</v>
      </c>
      <c r="Q45" s="250">
        <v>830</v>
      </c>
      <c r="R45" s="250"/>
      <c r="S45" s="250"/>
      <c r="T45" s="250"/>
      <c r="U45" s="250"/>
      <c r="V45" s="250"/>
      <c r="W45" s="250"/>
      <c r="X45" s="250"/>
      <c r="Y45" s="250"/>
      <c r="Z45" s="250"/>
      <c r="AA45" s="250">
        <f t="shared" si="1"/>
        <v>4957.2</v>
      </c>
      <c r="AB45" s="436">
        <f t="shared" si="2"/>
        <v>1.9271184424441888E-2</v>
      </c>
      <c r="AC45" s="533"/>
      <c r="AD45" s="250">
        <v>22665.644638000002</v>
      </c>
      <c r="AE45" s="436">
        <f t="shared" si="3"/>
        <v>1.0518303275787686E-2</v>
      </c>
      <c r="AF45" s="438">
        <f t="shared" si="4"/>
        <v>-17708.444638000001</v>
      </c>
      <c r="AG45" s="250">
        <v>5810.2</v>
      </c>
      <c r="AH45" s="436">
        <f t="shared" si="5"/>
        <v>3.1870753786496446E-2</v>
      </c>
      <c r="AI45" s="439">
        <f t="shared" si="6"/>
        <v>-853</v>
      </c>
      <c r="AJ45" s="440">
        <f t="shared" si="7"/>
        <v>0.7045480386583286</v>
      </c>
      <c r="AK45" s="441">
        <f t="shared" si="8"/>
        <v>0.47972664164920525</v>
      </c>
      <c r="AL45" s="442">
        <f t="shared" si="9"/>
        <v>1.0279900920028309</v>
      </c>
      <c r="AM45" s="443" t="str">
        <f t="shared" si="10"/>
        <v>0.88 pts.</v>
      </c>
      <c r="AN45" s="444" t="str">
        <f t="shared" si="11"/>
        <v>-1.26 pts.</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v>13223.10036</v>
      </c>
      <c r="AE46" s="446">
        <f t="shared" si="3"/>
        <v>6.1363610898353006E-3</v>
      </c>
      <c r="AF46" s="447">
        <f t="shared" si="4"/>
        <v>-13223.10036</v>
      </c>
      <c r="AG46" s="251">
        <v>140</v>
      </c>
      <c r="AH46" s="446">
        <f t="shared" si="5"/>
        <v>7.6794353552536959E-4</v>
      </c>
      <c r="AI46" s="448">
        <f t="shared" si="6"/>
        <v>-140</v>
      </c>
      <c r="AJ46" s="449">
        <f t="shared" si="7"/>
        <v>0</v>
      </c>
      <c r="AK46" s="450">
        <f t="shared" si="8"/>
        <v>0.27987174550765126</v>
      </c>
      <c r="AL46" s="451">
        <f t="shared" si="9"/>
        <v>2.4769992922859165E-2</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v>14504.08</v>
      </c>
      <c r="P47" s="225">
        <v>22832.48</v>
      </c>
      <c r="Q47" s="225">
        <v>10405.14</v>
      </c>
      <c r="R47" s="225"/>
      <c r="S47" s="225"/>
      <c r="T47" s="225"/>
      <c r="U47" s="225"/>
      <c r="V47" s="225"/>
      <c r="W47" s="225"/>
      <c r="X47" s="225"/>
      <c r="Y47" s="225">
        <v>2313.9</v>
      </c>
      <c r="Z47" s="225">
        <v>5054.8</v>
      </c>
      <c r="AA47" s="225">
        <f t="shared" si="1"/>
        <v>55110.400000000001</v>
      </c>
      <c r="AB47" s="226">
        <f t="shared" si="2"/>
        <v>0.21424245180843265</v>
      </c>
      <c r="AC47" s="227"/>
      <c r="AD47" s="225">
        <v>592196.39488200005</v>
      </c>
      <c r="AE47" s="226">
        <f t="shared" si="3"/>
        <v>0.27481685959877611</v>
      </c>
      <c r="AF47" s="228">
        <f t="shared" si="4"/>
        <v>-537085.99488200003</v>
      </c>
      <c r="AG47" s="225">
        <v>30353.5</v>
      </c>
      <c r="AH47" s="226">
        <f t="shared" si="5"/>
        <v>0.16649838646835219</v>
      </c>
      <c r="AI47" s="455">
        <f t="shared" si="6"/>
        <v>24756.9</v>
      </c>
      <c r="AJ47" s="229">
        <f t="shared" si="7"/>
        <v>7.8326321773735081</v>
      </c>
      <c r="AK47" s="230">
        <f t="shared" si="8"/>
        <v>12.534052847418884</v>
      </c>
      <c r="AL47" s="232">
        <f t="shared" si="9"/>
        <v>5.3703998584571835</v>
      </c>
      <c r="AM47" s="427" t="str">
        <f t="shared" si="10"/>
        <v>-6.06 pts.</v>
      </c>
      <c r="AN47" s="456" t="str">
        <f t="shared" si="11"/>
        <v>4.77 pts.</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5"/>
      <c r="P48" s="216">
        <v>-223.81</v>
      </c>
      <c r="Q48" s="216">
        <v>-180.72</v>
      </c>
      <c r="R48" s="216"/>
      <c r="S48" s="216"/>
      <c r="T48" s="216"/>
      <c r="U48" s="216"/>
      <c r="V48" s="216"/>
      <c r="W48" s="216"/>
      <c r="X48" s="216"/>
      <c r="Y48" s="216"/>
      <c r="Z48" s="216"/>
      <c r="AA48" s="216">
        <f t="shared" si="1"/>
        <v>-404.53</v>
      </c>
      <c r="AB48" s="218">
        <f t="shared" si="2"/>
        <v>-1.5726160403492853E-3</v>
      </c>
      <c r="AC48" s="459"/>
      <c r="AD48" s="216"/>
      <c r="AE48" s="218" t="str">
        <f t="shared" si="3"/>
        <v/>
      </c>
      <c r="AF48" s="233">
        <f t="shared" si="4"/>
        <v>-404.53</v>
      </c>
      <c r="AG48" s="216"/>
      <c r="AH48" s="218" t="str">
        <f t="shared" si="5"/>
        <v/>
      </c>
      <c r="AI48" s="536">
        <f t="shared" si="6"/>
        <v>-404.53</v>
      </c>
      <c r="AJ48" s="537">
        <f t="shared" si="7"/>
        <v>-5.7494314951677082E-2</v>
      </c>
      <c r="AK48" s="538">
        <f t="shared" si="8"/>
        <v>0</v>
      </c>
      <c r="AL48" s="539">
        <f t="shared" si="9"/>
        <v>0</v>
      </c>
      <c r="AM48" s="540">
        <f t="shared" si="10"/>
        <v>0</v>
      </c>
      <c r="AN48" s="541">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v>65833.679999999993</v>
      </c>
      <c r="P49" s="225">
        <v>85743.96</v>
      </c>
      <c r="Q49" s="225">
        <v>37189.26</v>
      </c>
      <c r="R49" s="225"/>
      <c r="S49" s="225"/>
      <c r="T49" s="225"/>
      <c r="U49" s="225"/>
      <c r="V49" s="225"/>
      <c r="W49" s="225"/>
      <c r="X49" s="225"/>
      <c r="Y49" s="225">
        <v>7447.9</v>
      </c>
      <c r="Z49" s="225">
        <v>20333.900000000001</v>
      </c>
      <c r="AA49" s="225">
        <f t="shared" si="1"/>
        <v>216548.7</v>
      </c>
      <c r="AB49" s="226">
        <f t="shared" si="2"/>
        <v>0.84183610396456465</v>
      </c>
      <c r="AC49" s="227"/>
      <c r="AD49" s="225">
        <v>1822559.65</v>
      </c>
      <c r="AE49" s="226">
        <f t="shared" si="3"/>
        <v>0.84578380377382556</v>
      </c>
      <c r="AF49" s="228">
        <f t="shared" si="4"/>
        <v>-1606010.95</v>
      </c>
      <c r="AG49" s="225">
        <v>152616.88</v>
      </c>
      <c r="AH49" s="226">
        <f t="shared" si="5"/>
        <v>0.83715104577179345</v>
      </c>
      <c r="AI49" s="455">
        <f t="shared" si="6"/>
        <v>63931.820000000007</v>
      </c>
      <c r="AJ49" s="229">
        <f t="shared" si="7"/>
        <v>30.777245594087553</v>
      </c>
      <c r="AK49" s="230">
        <f t="shared" si="8"/>
        <v>38.575140220543098</v>
      </c>
      <c r="AL49" s="232">
        <f t="shared" si="9"/>
        <v>27.002278839348904</v>
      </c>
      <c r="AM49" s="427" t="str">
        <f t="shared" si="10"/>
        <v>-0.39 pts.</v>
      </c>
      <c r="AN49" s="456" t="str">
        <f t="shared" si="11"/>
        <v>0.47 pts.</v>
      </c>
      <c r="AO49" s="11"/>
    </row>
    <row r="50" spans="1:41" x14ac:dyDescent="0.35">
      <c r="A50" s="65" t="s">
        <v>2</v>
      </c>
      <c r="B50" s="66" t="str">
        <f>IF(_epmOfflineCondition_,"'Venue1'!$B$2:$B$10",_xll.EVRNG($B$2:$B$10))</f>
        <v>'Venue1'!$B$2:$B$10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34"/>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IF(_epmOfflineCondition_,"'Venue1'!$O$16:$AN$18",_xll.EVRNG($O$16:$AN$18))</f>
        <v>'Venue1'!$O$16:$AN$18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33"/>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IF(_epmOfflineCondition_,"'Venue1'!$H$62:$H$70",_xll.EVRNG(H62:H70))</f>
        <v>'Venue1'!$H$62:$H$70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33"/>
      <c r="AD52" s="250">
        <v>3600</v>
      </c>
      <c r="AE52" s="436">
        <f t="shared" si="3"/>
        <v>1.6706293775272444E-3</v>
      </c>
      <c r="AF52" s="438">
        <f t="shared" si="4"/>
        <v>-3600</v>
      </c>
      <c r="AG52" s="250"/>
      <c r="AH52" s="436" t="str">
        <f t="shared" si="5"/>
        <v/>
      </c>
      <c r="AI52" s="439">
        <f t="shared" si="6"/>
        <v>0</v>
      </c>
      <c r="AJ52" s="440">
        <f t="shared" si="7"/>
        <v>0</v>
      </c>
      <c r="AK52" s="441">
        <f t="shared" si="8"/>
        <v>7.6195313988189725E-2</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33"/>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v>12562.61</v>
      </c>
      <c r="P54" s="250">
        <v>16064.84</v>
      </c>
      <c r="Q54" s="250">
        <v>7005.72</v>
      </c>
      <c r="R54" s="250"/>
      <c r="S54" s="250"/>
      <c r="T54" s="250"/>
      <c r="U54" s="250"/>
      <c r="V54" s="250"/>
      <c r="W54" s="250"/>
      <c r="X54" s="250"/>
      <c r="Y54" s="250">
        <v>1393.18</v>
      </c>
      <c r="Z54" s="250">
        <v>3658.75</v>
      </c>
      <c r="AA54" s="250">
        <f t="shared" si="1"/>
        <v>40685.1</v>
      </c>
      <c r="AB54" s="436">
        <f t="shared" si="2"/>
        <v>0.15816389603543546</v>
      </c>
      <c r="AC54" s="533"/>
      <c r="AD54" s="250">
        <v>328716.85847400001</v>
      </c>
      <c r="AE54" s="436">
        <f t="shared" si="3"/>
        <v>0.1525455668486472</v>
      </c>
      <c r="AF54" s="438">
        <f t="shared" si="4"/>
        <v>-288031.75847400003</v>
      </c>
      <c r="AG54" s="250">
        <v>29688.19</v>
      </c>
      <c r="AH54" s="436">
        <f t="shared" si="5"/>
        <v>0.16284895422820658</v>
      </c>
      <c r="AI54" s="439">
        <f t="shared" si="6"/>
        <v>10996.91</v>
      </c>
      <c r="AJ54" s="440">
        <f t="shared" si="7"/>
        <v>5.7824189880613988</v>
      </c>
      <c r="AK54" s="441">
        <f t="shared" si="8"/>
        <v>6.957412290177154</v>
      </c>
      <c r="AL54" s="442">
        <f t="shared" si="9"/>
        <v>5.2526875442321304</v>
      </c>
      <c r="AM54" s="443" t="str">
        <f t="shared" si="10"/>
        <v>0.56 pts.</v>
      </c>
      <c r="AN54" s="444" t="str">
        <f t="shared" si="11"/>
        <v>-0.47 pts.</v>
      </c>
      <c r="AO54" s="11"/>
    </row>
    <row r="55" spans="1:41" x14ac:dyDescent="0.35">
      <c r="A55" s="65" t="s">
        <v>7</v>
      </c>
      <c r="B55" s="66" t="str">
        <f>IF(_epmOfflineCondition_,"'Venue1'!$A$69:$F$77",_xll.EVRNG(A69:F77))</f>
        <v>'Venue1'!$A$69:$F$77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33"/>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IF(_epmOfflineCondition_,"'Venue1'!$A$125:$B$146",_xll.EVRNG($A$125:$B$146))</f>
        <v>'Venue1'!$A$125:$B$146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v>12562.61</v>
      </c>
      <c r="P57" s="238">
        <v>16064.84</v>
      </c>
      <c r="Q57" s="238">
        <v>7005.72</v>
      </c>
      <c r="R57" s="238"/>
      <c r="S57" s="238"/>
      <c r="T57" s="238"/>
      <c r="U57" s="238"/>
      <c r="V57" s="238"/>
      <c r="W57" s="238"/>
      <c r="X57" s="238"/>
      <c r="Y57" s="238">
        <v>1393.18</v>
      </c>
      <c r="Z57" s="238">
        <v>3658.75</v>
      </c>
      <c r="AA57" s="238">
        <f t="shared" si="1"/>
        <v>40685.1</v>
      </c>
      <c r="AB57" s="239">
        <f t="shared" si="2"/>
        <v>0.15816389603543546</v>
      </c>
      <c r="AC57" s="240"/>
      <c r="AD57" s="238">
        <v>332316.85847400001</v>
      </c>
      <c r="AE57" s="239">
        <f t="shared" si="3"/>
        <v>0.15421619622617444</v>
      </c>
      <c r="AF57" s="241">
        <f t="shared" si="4"/>
        <v>-291631.75847400003</v>
      </c>
      <c r="AG57" s="238">
        <v>29688.19</v>
      </c>
      <c r="AH57" s="239">
        <f t="shared" si="5"/>
        <v>0.16284895422820658</v>
      </c>
      <c r="AI57" s="464">
        <f t="shared" si="6"/>
        <v>10996.91</v>
      </c>
      <c r="AJ57" s="242">
        <f t="shared" si="7"/>
        <v>5.7824189880613988</v>
      </c>
      <c r="AK57" s="243">
        <f t="shared" si="8"/>
        <v>7.0336076041653444</v>
      </c>
      <c r="AL57" s="245">
        <f t="shared" si="9"/>
        <v>5.2526875442321304</v>
      </c>
      <c r="AM57" s="431" t="str">
        <f t="shared" si="10"/>
        <v>0.39 pts.</v>
      </c>
      <c r="AN57" s="465" t="str">
        <f t="shared" si="11"/>
        <v>-0.47 pts.</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v>78396.289999999994</v>
      </c>
      <c r="P58" s="225">
        <v>101808.8</v>
      </c>
      <c r="Q58" s="225">
        <v>44194.98</v>
      </c>
      <c r="R58" s="225"/>
      <c r="S58" s="225"/>
      <c r="T58" s="225"/>
      <c r="U58" s="225"/>
      <c r="V58" s="225"/>
      <c r="W58" s="225"/>
      <c r="X58" s="225"/>
      <c r="Y58" s="225">
        <v>8841.08</v>
      </c>
      <c r="Z58" s="225">
        <v>23992.65</v>
      </c>
      <c r="AA58" s="225">
        <f t="shared" si="1"/>
        <v>257233.8</v>
      </c>
      <c r="AB58" s="226">
        <f t="shared" si="2"/>
        <v>1</v>
      </c>
      <c r="AC58" s="227"/>
      <c r="AD58" s="225">
        <v>2154876.5084739998</v>
      </c>
      <c r="AE58" s="226">
        <f t="shared" si="3"/>
        <v>1</v>
      </c>
      <c r="AF58" s="228">
        <f t="shared" si="4"/>
        <v>-1897642.7084739998</v>
      </c>
      <c r="AG58" s="225">
        <v>182305.07</v>
      </c>
      <c r="AH58" s="226">
        <f t="shared" si="5"/>
        <v>1</v>
      </c>
      <c r="AI58" s="455">
        <f t="shared" si="6"/>
        <v>74928.729999999981</v>
      </c>
      <c r="AJ58" s="229">
        <f t="shared" si="7"/>
        <v>36.559664582148947</v>
      </c>
      <c r="AK58" s="230">
        <f t="shared" si="8"/>
        <v>45.608747824708445</v>
      </c>
      <c r="AL58" s="232">
        <f t="shared" si="9"/>
        <v>32.254966383581035</v>
      </c>
      <c r="AM58" s="427" t="str">
        <f t="shared" si="10"/>
        <v>0 pts.</v>
      </c>
      <c r="AN58" s="456" t="str">
        <f t="shared" si="11"/>
        <v>0 pts.</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v>28332.93</v>
      </c>
      <c r="P62" s="250">
        <v>32585.919999999998</v>
      </c>
      <c r="Q62" s="250">
        <v>16932.23</v>
      </c>
      <c r="R62" s="250">
        <v>-145</v>
      </c>
      <c r="S62" s="250">
        <v>-3040.95</v>
      </c>
      <c r="T62" s="250">
        <v>-315.74</v>
      </c>
      <c r="U62" s="250">
        <v>8258.16</v>
      </c>
      <c r="V62" s="250">
        <v>332.72</v>
      </c>
      <c r="W62" s="250">
        <v>-822.14</v>
      </c>
      <c r="X62" s="250"/>
      <c r="Y62" s="250">
        <v>2096.17</v>
      </c>
      <c r="Z62" s="250">
        <v>8080.49</v>
      </c>
      <c r="AA62" s="250">
        <f t="shared" ref="AA62:AA70" si="13">IF($I62="B1","",SUM(O62:Z62))</f>
        <v>92294.790000000008</v>
      </c>
      <c r="AB62" s="436">
        <f>IF(_epmOfflineCondition_,0.570274197503838,IF(AA62=0,"",IFERROR(AA62/_xll.EVGTS($B$1,1,_xll.EVPRO($B$1,$H62,"COSBASIS"),$B$3,$B$5,$B$6,$B$7,$B$9,AA$16,AA$17,AA$11),"")))</f>
        <v>0.57027419750383801</v>
      </c>
      <c r="AC62" s="533"/>
      <c r="AD62" s="250">
        <v>347529.88</v>
      </c>
      <c r="AE62" s="436">
        <f>IF(_epmOfflineCondition_,0.282461198799918,IF(AD62=0,"",IFERROR(AD62/_xll.EVGTS($B$1,1,_xll.EVPRO($B$1,$H62,"COSBASIS"),$B$3,$B$5,$B$6,$B$7,$B$9,AD$16,AD$17,AD$18),"")))</f>
        <v>0.28246119879991799</v>
      </c>
      <c r="AF62" s="438">
        <f t="shared" ref="AF62:AF72" si="14">IF(AND($AA62="",AD62=""),"",$AA62-AD62)</f>
        <v>-255235.09</v>
      </c>
      <c r="AG62" s="250">
        <v>97546.48</v>
      </c>
      <c r="AH62" s="436">
        <f>IF(_epmOfflineCondition_,0.797838895015008,IF(AG62=0,"",IFERROR(AG62/_xll.EVGTS($B$1,1,_xll.EVPRO($B$1,$H62,"COSBASIS"),$B$3,$B$5,$B$6,$B$7,$B$9,AG$16,AG$17,AG$18),"")))</f>
        <v>0.79783889501500804</v>
      </c>
      <c r="AI62" s="439">
        <f t="shared" ref="AI62:AI72" si="15">IF(AND($AA62="",AG62=""),"",$AA62-AG62)</f>
        <v>-5251.6899999999878</v>
      </c>
      <c r="AJ62" s="440">
        <f t="shared" ref="AJ62:AJ70" si="16">IFERROR(AA62/AA$20,0)</f>
        <v>13.117508527572486</v>
      </c>
      <c r="AK62" s="441">
        <f t="shared" ref="AK62:AK70" si="17">IFERROR(AD62/AD$20,0)</f>
        <v>7.355596757466083</v>
      </c>
      <c r="AL62" s="442">
        <f t="shared" ref="AL62:AL70" si="18">IFERROR(AG62/AG$20,0)</f>
        <v>17.25875442321302</v>
      </c>
      <c r="AM62" s="443" t="str">
        <f t="shared" ref="AM62:AM70" si="19">+IFERROR(ROUND(($AB62-AE62)*100,2)&amp;" pts.",0)</f>
        <v>28.78 pts.</v>
      </c>
      <c r="AN62" s="444" t="str">
        <f t="shared" ref="AN62:AN70" si="20">+IFERROR(ROUND(($AB62-AH62)*100,2)&amp;" pts.",0)</f>
        <v>-22.76 pts.</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v>5069.09</v>
      </c>
      <c r="P63" s="251">
        <v>5489.47</v>
      </c>
      <c r="Q63" s="251">
        <v>4524.3900000000003</v>
      </c>
      <c r="R63" s="251"/>
      <c r="S63" s="251"/>
      <c r="T63" s="251"/>
      <c r="U63" s="251"/>
      <c r="V63" s="251"/>
      <c r="W63" s="251"/>
      <c r="X63" s="251"/>
      <c r="Y63" s="251">
        <v>-41.53</v>
      </c>
      <c r="Z63" s="251">
        <v>2584.4299999999998</v>
      </c>
      <c r="AA63" s="251">
        <f t="shared" si="13"/>
        <v>17625.849999999999</v>
      </c>
      <c r="AB63" s="446">
        <f>IF(_epmOfflineCondition_,0.319828017942167,IF(AA63=0,"",IFERROR(AA63/_xll.EVGTS($B$1,1,_xll.EVPRO($B$1,$H63,"COSBASIS"),$B$3,$B$5,$B$6,$B$7,$B$9,AA$16,AA$17,AA$11),"")))</f>
        <v>0.31982801794216698</v>
      </c>
      <c r="AC63" s="437"/>
      <c r="AD63" s="251">
        <v>142493.03</v>
      </c>
      <c r="AE63" s="446">
        <f>IF(_epmOfflineCondition_,0.240617861289738,IF(AD63=0,"",IFERROR(AD63/_xll.EVGTS($B$1,1,_xll.EVPRO($B$1,$H63,"COSBASIS"),$B$3,$B$5,$B$6,$B$7,$B$9,AD$16,AD$17,AD$18),"")))</f>
        <v>0.240617861289738</v>
      </c>
      <c r="AF63" s="447">
        <f t="shared" si="14"/>
        <v>-124867.18</v>
      </c>
      <c r="AG63" s="251">
        <v>10310.709999999999</v>
      </c>
      <c r="AH63" s="446">
        <f>IF(_epmOfflineCondition_,0.339687680168679,IF(AG63=0,"",IFERROR(AG63/_xll.EVGTS($B$1,1,_xll.EVPRO($B$1,$H63,"COSBASIS"),$B$3,$B$5,$B$6,$B$7,$B$9,AG$16,AG$17,AG$18),"")))</f>
        <v>0.33968768016867901</v>
      </c>
      <c r="AI63" s="448">
        <f t="shared" si="15"/>
        <v>7315.1399999999994</v>
      </c>
      <c r="AJ63" s="449">
        <f t="shared" si="16"/>
        <v>2.5050952245594087</v>
      </c>
      <c r="AK63" s="450">
        <f t="shared" si="17"/>
        <v>3.015916989438483</v>
      </c>
      <c r="AL63" s="451">
        <f t="shared" si="18"/>
        <v>1.8242586694975229</v>
      </c>
      <c r="AM63" s="452" t="str">
        <f t="shared" si="19"/>
        <v>7.92 pts.</v>
      </c>
      <c r="AN63" s="453" t="str">
        <f t="shared" si="20"/>
        <v>-1.99 pts.</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v>33402.019999999997</v>
      </c>
      <c r="P64" s="225">
        <v>38075.39</v>
      </c>
      <c r="Q64" s="225">
        <v>21456.62</v>
      </c>
      <c r="R64" s="225">
        <v>-145</v>
      </c>
      <c r="S64" s="225">
        <v>-3040.95</v>
      </c>
      <c r="T64" s="225">
        <v>-315.74</v>
      </c>
      <c r="U64" s="225">
        <v>8258.16</v>
      </c>
      <c r="V64" s="225">
        <v>332.72</v>
      </c>
      <c r="W64" s="225">
        <v>-822.14</v>
      </c>
      <c r="X64" s="225"/>
      <c r="Y64" s="225">
        <v>2054.64</v>
      </c>
      <c r="Z64" s="225">
        <v>10664.92</v>
      </c>
      <c r="AA64" s="225">
        <f t="shared" si="13"/>
        <v>109920.64</v>
      </c>
      <c r="AB64" s="226">
        <f>IF(_epmOfflineCondition_,0.507602400753272,IF(AA64=0,"",IFERROR(AA64/_xll.EVGTS($B$1,1,_xll.EVPRO($B$1,$H64,"COSBASIS"),$B$3,$B$5,$B$6,$B$7,$B$9,AA$16,AA$17,AA$11),"")))</f>
        <v>0.50760240075327201</v>
      </c>
      <c r="AC64" s="227"/>
      <c r="AD64" s="225">
        <v>490022.91</v>
      </c>
      <c r="AE64" s="226">
        <f>IF(_epmOfflineCondition_,0.268865224795249,IF(AD64=0,"",IFERROR(AD64/_xll.EVGTS($B$1,1,_xll.EVPRO($B$1,$H64,"COSBASIS"),$B$3,$B$5,$B$6,$B$7,$B$9,AD$16,AD$17,AD$18),"")))</f>
        <v>0.26886522479524899</v>
      </c>
      <c r="AF64" s="228">
        <f t="shared" si="14"/>
        <v>-380102.26999999996</v>
      </c>
      <c r="AG64" s="225">
        <v>107857.19</v>
      </c>
      <c r="AH64" s="226">
        <f>IF(_epmOfflineCondition_,0.706718614611962,IF(AG64=0,"",IFERROR(AG64/_xll.EVGTS($B$1,1,_xll.EVPRO($B$1,$H64,"COSBASIS"),$B$3,$B$5,$B$6,$B$7,$B$9,AG$16,AG$17,AG$18),"")))</f>
        <v>0.70671861461196195</v>
      </c>
      <c r="AI64" s="455">
        <f t="shared" si="15"/>
        <v>2063.4499999999971</v>
      </c>
      <c r="AJ64" s="229">
        <f t="shared" si="16"/>
        <v>15.622603752131893</v>
      </c>
      <c r="AK64" s="230">
        <f t="shared" si="17"/>
        <v>10.371513746904565</v>
      </c>
      <c r="AL64" s="232">
        <f t="shared" si="18"/>
        <v>19.083013092710544</v>
      </c>
      <c r="AM64" s="427" t="str">
        <f t="shared" si="19"/>
        <v>23.87 pts.</v>
      </c>
      <c r="AN64" s="456" t="str">
        <f t="shared" si="20"/>
        <v>-19.91 pts.</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34"/>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33"/>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33"/>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v>33402.019999999997</v>
      </c>
      <c r="P70" s="225">
        <v>38075.39</v>
      </c>
      <c r="Q70" s="225">
        <v>21456.62</v>
      </c>
      <c r="R70" s="225">
        <v>-145</v>
      </c>
      <c r="S70" s="225">
        <v>-3040.95</v>
      </c>
      <c r="T70" s="225">
        <v>-315.74</v>
      </c>
      <c r="U70" s="225">
        <v>8258.16</v>
      </c>
      <c r="V70" s="225">
        <v>332.72</v>
      </c>
      <c r="W70" s="225">
        <v>-822.14</v>
      </c>
      <c r="X70" s="225"/>
      <c r="Y70" s="225">
        <v>2054.64</v>
      </c>
      <c r="Z70" s="225">
        <v>10664.92</v>
      </c>
      <c r="AA70" s="225">
        <f t="shared" si="13"/>
        <v>109920.64</v>
      </c>
      <c r="AB70" s="226">
        <f>IF(_epmOfflineCondition_,0.427318027413194,IF(AA70=0,"",IFERROR(AA70/_xll.EVGTS($B$1,1,_xll.EVPRO($B$1,$H70,"COSBASIS"),$B$3,$B$5,$B$6,$B$7,$B$9,AA$16,AA$17,AA$11),"")))</f>
        <v>0.42731802741319402</v>
      </c>
      <c r="AC70" s="227"/>
      <c r="AD70" s="225">
        <v>490022.91</v>
      </c>
      <c r="AE70" s="226">
        <f>IF(_epmOfflineCondition_,0.22740185252983,IF(AD70=0,"",IFERROR(AD70/_xll.EVGTS($B$1,1,_xll.EVPRO($B$1,$H70,"COSBASIS"),$B$3,$B$5,$B$6,$B$7,$B$9,AD$16,AD$17,AD$18),"")))</f>
        <v>0.22740185252983</v>
      </c>
      <c r="AF70" s="228">
        <f t="shared" si="14"/>
        <v>-380102.26999999996</v>
      </c>
      <c r="AG70" s="225">
        <v>107857.19</v>
      </c>
      <c r="AH70" s="226">
        <f>IF(_epmOfflineCondition_,0.591630227288797,IF(AG70=0,"",IFERROR(AG70/_xll.EVGTS($B$1,1,_xll.EVPRO($B$1,$H70,"COSBASIS"),$B$3,$B$5,$B$6,$B$7,$B$9,AG$16,AG$17,AG$18),"")))</f>
        <v>0.59163022728879699</v>
      </c>
      <c r="AI70" s="455">
        <f t="shared" si="15"/>
        <v>2063.4499999999971</v>
      </c>
      <c r="AJ70" s="229">
        <f t="shared" si="16"/>
        <v>15.622603752131893</v>
      </c>
      <c r="AK70" s="230">
        <f t="shared" si="17"/>
        <v>10.371513746904565</v>
      </c>
      <c r="AL70" s="232">
        <f t="shared" si="18"/>
        <v>19.083013092710544</v>
      </c>
      <c r="AM70" s="427" t="str">
        <f t="shared" si="19"/>
        <v>19.99 pts.</v>
      </c>
      <c r="AN70" s="456" t="str">
        <f t="shared" si="20"/>
        <v>-16.43 pts.</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44994.27</v>
      </c>
      <c r="P72" s="123">
        <f t="shared" si="21"/>
        <v>63733.41</v>
      </c>
      <c r="Q72" s="123">
        <f t="shared" si="21"/>
        <v>22738.360000000004</v>
      </c>
      <c r="R72" s="123">
        <f t="shared" si="21"/>
        <v>145</v>
      </c>
      <c r="S72" s="123">
        <f t="shared" si="21"/>
        <v>3040.95</v>
      </c>
      <c r="T72" s="123">
        <f t="shared" si="21"/>
        <v>315.74</v>
      </c>
      <c r="U72" s="123">
        <f t="shared" si="21"/>
        <v>-8258.16</v>
      </c>
      <c r="V72" s="123">
        <f t="shared" si="21"/>
        <v>-332.72</v>
      </c>
      <c r="W72" s="123">
        <f t="shared" si="21"/>
        <v>822.14</v>
      </c>
      <c r="X72" s="123">
        <f t="shared" si="21"/>
        <v>0</v>
      </c>
      <c r="Y72" s="123">
        <f t="shared" si="21"/>
        <v>6786.4400000000005</v>
      </c>
      <c r="Z72" s="123">
        <f t="shared" si="21"/>
        <v>13327.730000000001</v>
      </c>
      <c r="AA72" s="191">
        <f>IF($I72="B1","",SUM(O72:Z72))</f>
        <v>147313.16</v>
      </c>
      <c r="AB72" s="192">
        <f>IF(AA72=0,"",IFERROR(AA72/AA$19,""))</f>
        <v>0.57268197258680631</v>
      </c>
      <c r="AC72" s="11"/>
      <c r="AD72" s="123">
        <f>SUMIF($H$35:$H$70,"400000",AD35:AD70)-SUMIF($H$35:$H$70,"500001",AD35:AD70)</f>
        <v>1664853.5984739999</v>
      </c>
      <c r="AE72" s="192">
        <f>IF(AD72=0,"",IFERROR(AD72/AD$19,""))</f>
        <v>0.77259814747016975</v>
      </c>
      <c r="AF72" s="125">
        <f t="shared" si="14"/>
        <v>-1517540.438474</v>
      </c>
      <c r="AG72" s="123">
        <f>SUMIF($H$35:$H$70,"400000",AG35:AG70)-SUMIF($H$35:$H$70,"500001",AG35:AG70)</f>
        <v>74447.88</v>
      </c>
      <c r="AH72" s="192">
        <f>IF(AG72=0,"",IFERROR(AG72/AG$19,""))</f>
        <v>0.40836977271120328</v>
      </c>
      <c r="AI72" s="125">
        <f t="shared" si="15"/>
        <v>72865.279999999999</v>
      </c>
      <c r="AJ72" s="193">
        <f>IFERROR(AA72/AA$20,0)</f>
        <v>20.937060830017057</v>
      </c>
      <c r="AK72" s="194">
        <f>IFERROR(AD72/AD$20,0)</f>
        <v>35.237234077803876</v>
      </c>
      <c r="AL72" s="195">
        <f>IFERROR(AG72/AG$20,0)</f>
        <v>13.171953290870489</v>
      </c>
      <c r="AM72" s="407" t="str">
        <f>+IFERROR(ROUND(($AB72-AE72)*100,2)&amp;" pts.",0)</f>
        <v>-19.99 pts.</v>
      </c>
      <c r="AN72" s="408" t="str">
        <f>+IFERROR(ROUND(($AB72-AH72)*100,2)&amp;" pts.",0)</f>
        <v>16.43 pts.</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x14ac:dyDescent="0.35">
      <c r="A76" s="11" t="s">
        <v>108</v>
      </c>
      <c r="B76" s="11"/>
      <c r="C76" s="106" t="s">
        <v>101</v>
      </c>
      <c r="D76" s="11" t="s">
        <v>106</v>
      </c>
      <c r="E76" s="11"/>
      <c r="F76" s="11" t="s">
        <v>98</v>
      </c>
      <c r="G76" s="11"/>
      <c r="H76" s="88" t="s">
        <v>881</v>
      </c>
      <c r="I76" s="122" t="str">
        <f>IF(_epmOfflineCondition_,"T3",_xll.EVPRO($B$1,$H76,"STYLE"))</f>
        <v>T3</v>
      </c>
      <c r="J76" s="122" t="str">
        <f>IF(_epmOfflineCondition_,"Y",_xll.EVPRO($B$1,$H76,"CALC"))</f>
        <v>Y</v>
      </c>
      <c r="K76" s="179" t="str">
        <f t="shared" ref="K76:K90" si="22">IF(AND(I76&gt;="T3"),"&gt;","")</f>
        <v>&gt;</v>
      </c>
      <c r="L76" s="90" t="str">
        <f>IF(_epmOfflineCondition_,"",_xll.EVPRO($B$1,H76,"JDEID"))</f>
        <v/>
      </c>
      <c r="M76" s="90" t="str">
        <f>IF(_epmOfflineCondition_,"",IF(AND(I76="N",J76="N"),_xll.EVPRO($B$1,H76,"PSFTID"),""))</f>
        <v/>
      </c>
      <c r="N76" s="90" t="str">
        <f>IF(_epmOfflineCondition_,"Management - F&amp;B Service",IF(_xll.EVDES(H76,$B$1)="#NODATA","",_xll.EVDES(H76,$B$1)))</f>
        <v>Management - F&amp;B Service</v>
      </c>
      <c r="O76" s="210">
        <v>9277.84</v>
      </c>
      <c r="P76" s="210">
        <v>13949.61</v>
      </c>
      <c r="Q76" s="210">
        <v>8169.33</v>
      </c>
      <c r="R76" s="210"/>
      <c r="S76" s="210"/>
      <c r="T76" s="210">
        <v>2583.33</v>
      </c>
      <c r="U76" s="210"/>
      <c r="V76" s="210"/>
      <c r="W76" s="210"/>
      <c r="X76" s="210"/>
      <c r="Y76" s="210"/>
      <c r="Z76" s="210"/>
      <c r="AA76" s="250">
        <f t="shared" ref="AA76:AA90" si="23">IF($I76="B1","",SUM(O76:Z76))</f>
        <v>33980.11</v>
      </c>
      <c r="AB76" s="211">
        <f t="shared" ref="AB76:AB90" si="24">IF(AA76=0,"",IFERROR(AA76/AA$19,""))</f>
        <v>0.13209815350859802</v>
      </c>
      <c r="AC76" s="140"/>
      <c r="AD76" s="210">
        <v>134870.35758898701</v>
      </c>
      <c r="AE76" s="211">
        <f t="shared" ref="AE76:AE90" si="25">IF(AD76=0,"",IFERROR(AD76/AD$19,""))</f>
        <v>6.2588439318268393E-2</v>
      </c>
      <c r="AF76" s="253">
        <f t="shared" ref="AF76:AF90" si="26">IF(AND($AA76="",AD76=""),"",$AA76-AD76)</f>
        <v>-100890.24758898701</v>
      </c>
      <c r="AG76" s="210">
        <v>138065.67000000001</v>
      </c>
      <c r="AH76" s="211">
        <f t="shared" ref="AH76:AH90" si="27">IF(AG76=0,"",IFERROR(AG76/AG$19,""))</f>
        <v>0.75733313396056401</v>
      </c>
      <c r="AI76" s="253">
        <f t="shared" ref="AI76:AI90" si="28">IF(AND($AA76="",AG76=""),"",$AA76-AG76)</f>
        <v>-104085.56000000001</v>
      </c>
      <c r="AJ76" s="212">
        <f t="shared" ref="AJ76:AJ90" si="29">IFERROR(AA76/AA$20,0)</f>
        <v>4.8294641841955661</v>
      </c>
      <c r="AK76" s="213">
        <f t="shared" ref="AK76:AK90" si="30">IFERROR(AD76/AD$20,0)</f>
        <v>2.8545803456089702</v>
      </c>
      <c r="AL76" s="215">
        <f t="shared" ref="AL76:AL90" si="31">IFERROR(AG76/AG$20,0)</f>
        <v>24.427754777070067</v>
      </c>
      <c r="AM76" s="423" t="str">
        <f t="shared" ref="AM76:AM90" si="32">+IFERROR(ROUND(($AB76-AE76)*100,2)&amp;" pts.",0)</f>
        <v>6.95 pts.</v>
      </c>
      <c r="AN76" s="424" t="str">
        <f t="shared" ref="AN76:AN90" si="33">+IFERROR(ROUND(($AB76-AH76)*100,2)&amp;" pts.",0)</f>
        <v>-62.52 pts.</v>
      </c>
      <c r="AO76" s="11"/>
    </row>
    <row r="77" spans="1:41" x14ac:dyDescent="0.35">
      <c r="A77" s="11" t="s">
        <v>108</v>
      </c>
      <c r="B77" s="11"/>
      <c r="C77" s="196" t="s">
        <v>101</v>
      </c>
      <c r="D77" s="11" t="s">
        <v>107</v>
      </c>
      <c r="E77" s="11"/>
      <c r="F77" s="11" t="s">
        <v>99</v>
      </c>
      <c r="G77" s="11"/>
      <c r="H77" s="88" t="s">
        <v>882</v>
      </c>
      <c r="I77" s="122" t="str">
        <f>IF(_epmOfflineCondition_,"T3",_xll.EVPRO($B$1,$H77,"STYLE"))</f>
        <v>T3</v>
      </c>
      <c r="J77" s="122" t="str">
        <f>IF(_epmOfflineCondition_,"Y",_xll.EVPRO($B$1,$H77,"CALC"))</f>
        <v>Y</v>
      </c>
      <c r="K77" s="179" t="str">
        <f t="shared" si="22"/>
        <v>&gt;</v>
      </c>
      <c r="L77" s="90" t="str">
        <f>IF(_epmOfflineCondition_,"",_xll.EVPRO($B$1,H77,"JDEID"))</f>
        <v/>
      </c>
      <c r="M77" s="90" t="str">
        <f>IF(_epmOfflineCondition_,"",IF(AND(I77="N",J77="N"),_xll.EVPRO($B$1,H77,"PSFTID"),""))</f>
        <v/>
      </c>
      <c r="N77" s="90" t="str">
        <f>IF(_epmOfflineCondition_,"Management - F&amp;B Kitchen",IF(_xll.EVDES(H77,$B$1)="#NODATA","",_xll.EVDES(H77,$B$1)))</f>
        <v>Management - F&amp;B Kitchen</v>
      </c>
      <c r="O77" s="210">
        <v>11676.62</v>
      </c>
      <c r="P77" s="210">
        <v>11239.32</v>
      </c>
      <c r="Q77" s="210">
        <v>11477.65</v>
      </c>
      <c r="R77" s="210"/>
      <c r="S77" s="210"/>
      <c r="T77" s="210">
        <v>1800.32</v>
      </c>
      <c r="U77" s="210">
        <v>5397.21</v>
      </c>
      <c r="V77" s="210">
        <v>7072.94</v>
      </c>
      <c r="W77" s="210">
        <v>6746.5</v>
      </c>
      <c r="X77" s="210">
        <v>7072.94</v>
      </c>
      <c r="Y77" s="210">
        <v>6746.36</v>
      </c>
      <c r="Z77" s="210">
        <v>6276.05</v>
      </c>
      <c r="AA77" s="250">
        <f t="shared" si="23"/>
        <v>75505.91</v>
      </c>
      <c r="AB77" s="211">
        <f t="shared" si="24"/>
        <v>0.29353028256784297</v>
      </c>
      <c r="AC77" s="140"/>
      <c r="AD77" s="210">
        <v>124440.80385481501</v>
      </c>
      <c r="AE77" s="211">
        <f t="shared" si="25"/>
        <v>5.7748461856377643E-2</v>
      </c>
      <c r="AF77" s="253">
        <f t="shared" si="26"/>
        <v>-48934.893854815004</v>
      </c>
      <c r="AG77" s="210">
        <v>93461.93</v>
      </c>
      <c r="AH77" s="211">
        <f t="shared" si="27"/>
        <v>0.51266774972303286</v>
      </c>
      <c r="AI77" s="253">
        <f t="shared" si="28"/>
        <v>-17956.01999999999</v>
      </c>
      <c r="AJ77" s="212">
        <f t="shared" si="29"/>
        <v>10.731368675383742</v>
      </c>
      <c r="AK77" s="213">
        <f t="shared" si="30"/>
        <v>2.6338350340723222</v>
      </c>
      <c r="AL77" s="215">
        <f t="shared" si="31"/>
        <v>16.536081033262562</v>
      </c>
      <c r="AM77" s="423" t="str">
        <f t="shared" si="32"/>
        <v>23.58 pts.</v>
      </c>
      <c r="AN77" s="424" t="str">
        <f t="shared" si="33"/>
        <v>-21.91 pts.</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 t="shared" si="23"/>
        <v/>
      </c>
      <c r="AB78" s="198" t="str">
        <f t="shared" si="24"/>
        <v/>
      </c>
      <c r="AC78" s="11"/>
      <c r="AD78" s="197"/>
      <c r="AE78" s="198" t="str">
        <f t="shared" si="25"/>
        <v/>
      </c>
      <c r="AF78" s="199" t="str">
        <f t="shared" si="26"/>
        <v/>
      </c>
      <c r="AG78" s="197"/>
      <c r="AH78" s="198" t="str">
        <f t="shared" si="27"/>
        <v/>
      </c>
      <c r="AI78" s="199" t="str">
        <f t="shared" si="28"/>
        <v/>
      </c>
      <c r="AJ78" s="181">
        <f t="shared" si="29"/>
        <v>0</v>
      </c>
      <c r="AK78" s="182">
        <f t="shared" si="30"/>
        <v>0</v>
      </c>
      <c r="AL78" s="184">
        <f t="shared" si="31"/>
        <v>0</v>
      </c>
      <c r="AM78" s="385">
        <f t="shared" si="32"/>
        <v>0</v>
      </c>
      <c r="AN78" s="386">
        <f t="shared" si="33"/>
        <v>0</v>
      </c>
      <c r="AO78" s="11"/>
    </row>
    <row r="79" spans="1:41" x14ac:dyDescent="0.35">
      <c r="A79" s="11"/>
      <c r="B79" s="11"/>
      <c r="C79" s="208"/>
      <c r="D79" s="11"/>
      <c r="E79" s="11"/>
      <c r="F79" s="11"/>
      <c r="G79" s="11"/>
      <c r="H79" s="88" t="s">
        <v>871</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Kitchen",IF(_xll.EVDES(H79,$B$1)="#NODATA","",_xll.EVDES(H79,$B$1)))</f>
        <v>F&amp;B Kitchen</v>
      </c>
      <c r="O79" s="216">
        <v>17300.78</v>
      </c>
      <c r="P79" s="216">
        <v>10384.040000000001</v>
      </c>
      <c r="Q79" s="216">
        <v>5781</v>
      </c>
      <c r="R79" s="216"/>
      <c r="S79" s="216"/>
      <c r="T79" s="216"/>
      <c r="U79" s="216"/>
      <c r="V79" s="216"/>
      <c r="W79" s="216"/>
      <c r="X79" s="216"/>
      <c r="Y79" s="216">
        <v>5996.51</v>
      </c>
      <c r="Z79" s="216">
        <v>7600.85</v>
      </c>
      <c r="AA79" s="251">
        <f t="shared" si="23"/>
        <v>47063.18</v>
      </c>
      <c r="AB79" s="218">
        <f t="shared" si="24"/>
        <v>0.18295877135897384</v>
      </c>
      <c r="AC79" s="140"/>
      <c r="AD79" s="216">
        <v>211907.13750000001</v>
      </c>
      <c r="AE79" s="218">
        <f t="shared" si="25"/>
        <v>9.8338413670890329E-2</v>
      </c>
      <c r="AF79" s="233">
        <f t="shared" si="26"/>
        <v>-164843.95750000002</v>
      </c>
      <c r="AG79" s="216">
        <v>48903.02</v>
      </c>
      <c r="AH79" s="218">
        <f t="shared" si="27"/>
        <v>0.26824827197619899</v>
      </c>
      <c r="AI79" s="233">
        <f t="shared" si="28"/>
        <v>-1839.8399999999965</v>
      </c>
      <c r="AJ79" s="212">
        <f t="shared" si="29"/>
        <v>6.6889113132461624</v>
      </c>
      <c r="AK79" s="213">
        <f t="shared" si="30"/>
        <v>4.4850919105974985</v>
      </c>
      <c r="AL79" s="215">
        <f t="shared" si="31"/>
        <v>8.6523389950460015</v>
      </c>
      <c r="AM79" s="423" t="str">
        <f t="shared" si="32"/>
        <v>8.46 pts.</v>
      </c>
      <c r="AN79" s="424" t="str">
        <f t="shared" si="33"/>
        <v>-8.53 pts.</v>
      </c>
      <c r="AO79" s="11"/>
    </row>
    <row r="80" spans="1:41" x14ac:dyDescent="0.35">
      <c r="A80" s="61" t="str">
        <f>IF(_epmOfflineCondition_,"Evdre:Ok",_xll.EVDRE($B$1,A83:B90,A93:B99))</f>
        <v>Evdre:Ok</v>
      </c>
      <c r="B80" s="11"/>
      <c r="C80" s="11"/>
      <c r="D80" s="11"/>
      <c r="E80" s="11"/>
      <c r="F80" s="11"/>
      <c r="G80" s="11"/>
      <c r="H80" s="88" t="s">
        <v>872</v>
      </c>
      <c r="I80" s="122" t="str">
        <f>IF(_epmOfflineCondition_,"T3",_xll.EVPRO($B$1,$H80,"STYLE"))</f>
        <v>T3</v>
      </c>
      <c r="J80" s="122" t="str">
        <f>IF(_epmOfflineCondition_,"Y",_xll.EVPRO($B$1,$H80,"CALC"))</f>
        <v>Y</v>
      </c>
      <c r="K80" s="179" t="str">
        <f t="shared" si="22"/>
        <v>&gt;</v>
      </c>
      <c r="L80" s="90" t="str">
        <f>IF(_epmOfflineCondition_,"",_xll.EVPRO($B$1,H80,"JDEID"))</f>
        <v/>
      </c>
      <c r="M80" s="90" t="str">
        <f>IF(_epmOfflineCondition_,"",IF(AND(I80="N",J80="N"),_xll.EVPRO($B$1,H80,"PSFTID"),""))</f>
        <v/>
      </c>
      <c r="N80" s="90" t="str">
        <f>IF(_epmOfflineCondition_,"F&amp;B Venues",IF(_xll.EVDES(H80,$B$1)="#NODATA","",_xll.EVDES(H80,$B$1)))</f>
        <v>F&amp;B Venues</v>
      </c>
      <c r="O80" s="216">
        <v>20846.689999999999</v>
      </c>
      <c r="P80" s="216">
        <v>20921.97</v>
      </c>
      <c r="Q80" s="216">
        <v>12225.85</v>
      </c>
      <c r="R80" s="216"/>
      <c r="S80" s="216"/>
      <c r="T80" s="216">
        <v>67.680000000000007</v>
      </c>
      <c r="U80" s="216">
        <v>550.82000000000005</v>
      </c>
      <c r="V80" s="216">
        <v>37.26</v>
      </c>
      <c r="W80" s="216">
        <v>1848</v>
      </c>
      <c r="X80" s="216">
        <v>-2436.08</v>
      </c>
      <c r="Y80" s="216">
        <v>3318.33</v>
      </c>
      <c r="Z80" s="216">
        <v>5558.07</v>
      </c>
      <c r="AA80" s="251">
        <f t="shared" si="23"/>
        <v>62938.590000000004</v>
      </c>
      <c r="AB80" s="218">
        <f t="shared" si="24"/>
        <v>0.24467465006542688</v>
      </c>
      <c r="AC80" s="140"/>
      <c r="AD80" s="216">
        <v>179369.053571428</v>
      </c>
      <c r="AE80" s="218">
        <f t="shared" si="25"/>
        <v>8.3238669532134921E-2</v>
      </c>
      <c r="AF80" s="233">
        <f t="shared" si="26"/>
        <v>-116430.463571428</v>
      </c>
      <c r="AG80" s="216">
        <v>69623.8</v>
      </c>
      <c r="AH80" s="218">
        <f t="shared" si="27"/>
        <v>0.38190819377650881</v>
      </c>
      <c r="AI80" s="233">
        <f t="shared" si="28"/>
        <v>-6685.2099999999991</v>
      </c>
      <c r="AJ80" s="221">
        <f t="shared" si="29"/>
        <v>8.9452231381466749</v>
      </c>
      <c r="AK80" s="222">
        <f t="shared" si="30"/>
        <v>3.7964114879553832</v>
      </c>
      <c r="AL80" s="224">
        <f t="shared" si="31"/>
        <v>12.318435951875443</v>
      </c>
      <c r="AM80" s="425" t="str">
        <f t="shared" si="32"/>
        <v>16.14 pts.</v>
      </c>
      <c r="AN80" s="426" t="str">
        <f t="shared" si="33"/>
        <v>-13.72 pts.</v>
      </c>
      <c r="AO80" s="11"/>
    </row>
    <row r="81" spans="1:41" x14ac:dyDescent="0.35">
      <c r="A81" s="11"/>
      <c r="B81" s="11"/>
      <c r="C81" s="11"/>
      <c r="D81" s="11"/>
      <c r="E81" s="11"/>
      <c r="F81" s="11"/>
      <c r="G81" s="11"/>
      <c r="H81" s="88" t="s">
        <v>852</v>
      </c>
      <c r="I81" s="188" t="str">
        <f>IF(_epmOfflineCondition_,"T2",_xll.EVPRO($B$1,$H81,"STYLE"))</f>
        <v>T2</v>
      </c>
      <c r="J81" s="188" t="str">
        <f>IF(_epmOfflineCondition_,"Y",_xll.EVPRO($B$1,$H81,"CALC"))</f>
        <v>Y</v>
      </c>
      <c r="K81" s="189" t="str">
        <f t="shared" si="22"/>
        <v/>
      </c>
      <c r="L81" s="190" t="str">
        <f>IF(_epmOfflineCondition_,"",_xll.EVPRO($B$1,H81,"JDEID"))</f>
        <v/>
      </c>
      <c r="M81" s="190" t="str">
        <f>IF(_epmOfflineCondition_,"",IF(AND(I81="N",J81="N"),_xll.EVPRO($B$1,H81,"PSFTID"),""))</f>
        <v/>
      </c>
      <c r="N81" s="190" t="str">
        <f>IF(_epmOfflineCondition_,"Total Salaries and Wages",IF(_xll.EVDES(H81,$B$1)="#NODATA","",_xll.EVDES(H81,$B$1)))</f>
        <v>Total Salaries and Wages</v>
      </c>
      <c r="O81" s="225">
        <v>59101.93</v>
      </c>
      <c r="P81" s="225">
        <v>56494.94</v>
      </c>
      <c r="Q81" s="225">
        <v>37653.83</v>
      </c>
      <c r="R81" s="225"/>
      <c r="S81" s="225"/>
      <c r="T81" s="225">
        <v>4451.33</v>
      </c>
      <c r="U81" s="225">
        <v>5948.03</v>
      </c>
      <c r="V81" s="225">
        <v>7110.2</v>
      </c>
      <c r="W81" s="225">
        <v>8594.5</v>
      </c>
      <c r="X81" s="225">
        <v>4636.8599999999997</v>
      </c>
      <c r="Y81" s="225">
        <v>16061.2</v>
      </c>
      <c r="Z81" s="225">
        <v>19434.97</v>
      </c>
      <c r="AA81" s="225">
        <f t="shared" si="23"/>
        <v>219487.79</v>
      </c>
      <c r="AB81" s="226">
        <f t="shared" si="24"/>
        <v>0.85326185750084171</v>
      </c>
      <c r="AC81" s="227"/>
      <c r="AD81" s="225">
        <v>650587.35251522996</v>
      </c>
      <c r="AE81" s="226">
        <f t="shared" si="25"/>
        <v>0.30191398437767125</v>
      </c>
      <c r="AF81" s="228">
        <f t="shared" si="26"/>
        <v>-431099.56251522992</v>
      </c>
      <c r="AG81" s="225">
        <v>350054.42</v>
      </c>
      <c r="AH81" s="226">
        <f t="shared" si="27"/>
        <v>1.9201573494363047</v>
      </c>
      <c r="AI81" s="228">
        <f t="shared" si="28"/>
        <v>-130566.62999999998</v>
      </c>
      <c r="AJ81" s="229">
        <f t="shared" si="29"/>
        <v>31.194967310972146</v>
      </c>
      <c r="AK81" s="230">
        <f t="shared" si="30"/>
        <v>13.769918778234173</v>
      </c>
      <c r="AL81" s="232">
        <f t="shared" si="31"/>
        <v>61.934610757254063</v>
      </c>
      <c r="AM81" s="427" t="str">
        <f t="shared" si="32"/>
        <v>55.13 pts.</v>
      </c>
      <c r="AN81" s="428" t="str">
        <f t="shared" si="33"/>
        <v>-106.69 pts.</v>
      </c>
      <c r="AO81" s="11"/>
    </row>
    <row r="82" spans="1:41" x14ac:dyDescent="0.35">
      <c r="A82" s="62" t="s">
        <v>0</v>
      </c>
      <c r="B82" s="63" t="s">
        <v>1</v>
      </c>
      <c r="C82" s="11"/>
      <c r="D82" s="11"/>
      <c r="E82" s="11"/>
      <c r="F82" s="11"/>
      <c r="G82" s="11"/>
      <c r="H82" s="88" t="s">
        <v>873</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IF(_epmOfflineCondition_,"Service Charge Distribution",IF(_xll.EVDES(H82,$B$1)="#NODATA","",_xll.EVDES(H82,$B$1)))</f>
        <v>Service Charge Distribution</v>
      </c>
      <c r="O82" s="216">
        <v>12562.61</v>
      </c>
      <c r="P82" s="216">
        <v>16065.84</v>
      </c>
      <c r="Q82" s="216"/>
      <c r="R82" s="216"/>
      <c r="S82" s="216"/>
      <c r="T82" s="216"/>
      <c r="U82" s="216"/>
      <c r="V82" s="216"/>
      <c r="W82" s="216"/>
      <c r="X82" s="216"/>
      <c r="Y82" s="216"/>
      <c r="Z82" s="216">
        <v>5206.5200000000004</v>
      </c>
      <c r="AA82" s="216">
        <f t="shared" si="23"/>
        <v>33834.97</v>
      </c>
      <c r="AB82" s="218">
        <f t="shared" si="24"/>
        <v>0.13153391972594583</v>
      </c>
      <c r="AC82" s="140"/>
      <c r="AD82" s="216">
        <v>328716.85847400001</v>
      </c>
      <c r="AE82" s="218">
        <f t="shared" si="25"/>
        <v>0.1525455668486472</v>
      </c>
      <c r="AF82" s="233">
        <f t="shared" si="26"/>
        <v>-294881.88847400004</v>
      </c>
      <c r="AG82" s="216">
        <v>29688.19</v>
      </c>
      <c r="AH82" s="218">
        <f t="shared" si="27"/>
        <v>0.16284895422820658</v>
      </c>
      <c r="AI82" s="233">
        <f t="shared" si="28"/>
        <v>4146.7800000000025</v>
      </c>
      <c r="AJ82" s="234">
        <f t="shared" si="29"/>
        <v>4.8088359863558843</v>
      </c>
      <c r="AK82" s="235">
        <f t="shared" si="30"/>
        <v>6.957412290177154</v>
      </c>
      <c r="AL82" s="237">
        <f t="shared" si="31"/>
        <v>5.2526875442321304</v>
      </c>
      <c r="AM82" s="429" t="str">
        <f t="shared" si="32"/>
        <v>-2.1 pts.</v>
      </c>
      <c r="AN82" s="430" t="str">
        <f t="shared" si="33"/>
        <v>-3.13 pts.</v>
      </c>
      <c r="AO82" s="11"/>
    </row>
    <row r="83" spans="1:41" x14ac:dyDescent="0.35">
      <c r="A83" s="65" t="s">
        <v>2</v>
      </c>
      <c r="B83" s="66" t="str">
        <f>IF(_epmOfflineCondition_,"'Venue1'!$B$2:$B$10",_xll.EVRNG($B$2:$B$10))</f>
        <v>'Venue1'!$B$2:$B$10</v>
      </c>
      <c r="C83" s="11"/>
      <c r="D83" s="11"/>
      <c r="E83" s="11"/>
      <c r="F83" s="11"/>
      <c r="G83" s="11"/>
      <c r="H83" s="88" t="s">
        <v>874</v>
      </c>
      <c r="I83" s="122" t="str">
        <f>IF(_epmOfflineCondition_,"T3",_xll.EVPRO($B$1,$H83,"STYLE"))</f>
        <v>T3</v>
      </c>
      <c r="J83" s="122" t="str">
        <f>IF(_epmOfflineCondition_,"Y",_xll.EVPRO($B$1,$H83,"CALC"))</f>
        <v>Y</v>
      </c>
      <c r="K83" s="179" t="str">
        <f t="shared" si="22"/>
        <v>&gt;</v>
      </c>
      <c r="L83" s="90" t="str">
        <f>IF(_epmOfflineCondition_,"",_xll.EVPRO($B$1,H83,"JDEID"))</f>
        <v/>
      </c>
      <c r="M83" s="90" t="str">
        <f>IF(_epmOfflineCondition_,"",IF(AND(I83="N",J83="N"),_xll.EVPRO($B$1,H83,"PSFTID"),""))</f>
        <v/>
      </c>
      <c r="N83" s="90" t="str">
        <f>IF(_epmOfflineCondition_,"Contracted &amp; Leased Labor",IF(_xll.EVDES(H83,$B$1)="#NODATA","",_xll.EVDES(H83,$B$1)))</f>
        <v>Contracted &amp; Leased Labor</v>
      </c>
      <c r="O83" s="216">
        <v>6789.24</v>
      </c>
      <c r="P83" s="216">
        <v>35913.230000000003</v>
      </c>
      <c r="Q83" s="216">
        <v>38507.07</v>
      </c>
      <c r="R83" s="216"/>
      <c r="S83" s="216"/>
      <c r="T83" s="216"/>
      <c r="U83" s="216"/>
      <c r="V83" s="216"/>
      <c r="W83" s="216"/>
      <c r="X83" s="216"/>
      <c r="Y83" s="216"/>
      <c r="Z83" s="216">
        <v>603.08000000000004</v>
      </c>
      <c r="AA83" s="251">
        <f t="shared" si="23"/>
        <v>81812.62000000001</v>
      </c>
      <c r="AB83" s="218">
        <f t="shared" si="24"/>
        <v>0.318047706016861</v>
      </c>
      <c r="AC83" s="140"/>
      <c r="AD83" s="216"/>
      <c r="AE83" s="218" t="str">
        <f t="shared" si="25"/>
        <v/>
      </c>
      <c r="AF83" s="233">
        <f t="shared" si="26"/>
        <v>81812.62000000001</v>
      </c>
      <c r="AG83" s="216"/>
      <c r="AH83" s="218" t="str">
        <f t="shared" si="27"/>
        <v/>
      </c>
      <c r="AI83" s="233">
        <f t="shared" si="28"/>
        <v>81812.62000000001</v>
      </c>
      <c r="AJ83" s="212">
        <f t="shared" si="29"/>
        <v>11.627717453098352</v>
      </c>
      <c r="AK83" s="213">
        <f t="shared" si="30"/>
        <v>0</v>
      </c>
      <c r="AL83" s="215">
        <f t="shared" si="31"/>
        <v>0</v>
      </c>
      <c r="AM83" s="423">
        <f t="shared" si="32"/>
        <v>0</v>
      </c>
      <c r="AN83" s="424">
        <f t="shared" si="33"/>
        <v>0</v>
      </c>
      <c r="AO83" s="11"/>
    </row>
    <row r="84" spans="1:41" x14ac:dyDescent="0.35">
      <c r="A84" s="65" t="s">
        <v>3</v>
      </c>
      <c r="B84" s="66" t="str">
        <f>IF(_epmOfflineCondition_,"'Venue1'!$O$16:$AN$18",_xll.EVRNG($O$16:$AN$18))</f>
        <v>'Venue1'!$O$16:$AN$18</v>
      </c>
      <c r="C84" s="11"/>
      <c r="D84" s="11"/>
      <c r="E84" s="11"/>
      <c r="F84" s="11"/>
      <c r="G84" s="11"/>
      <c r="H84" s="88" t="s">
        <v>853</v>
      </c>
      <c r="I84" s="122" t="str">
        <f>IF(_epmOfflineCondition_,"T3",_xll.EVPRO($B$1,$H84,"STYLE"))</f>
        <v>T3</v>
      </c>
      <c r="J84" s="122" t="str">
        <f>IF(_epmOfflineCondition_,"Y",_xll.EVPRO($B$1,$H84,"CALC"))</f>
        <v>Y</v>
      </c>
      <c r="K84" s="179" t="str">
        <f t="shared" si="22"/>
        <v>&gt;</v>
      </c>
      <c r="L84" s="90" t="str">
        <f>IF(_epmOfflineCondition_,"",_xll.EVPRO($B$1,H84,"JDEID"))</f>
        <v/>
      </c>
      <c r="M84" s="90" t="str">
        <f>IF(_epmOfflineCondition_,"",IF(AND(I84="N",J84="N"),_xll.EVPRO($B$1,H84,"PSFTID"),""))</f>
        <v/>
      </c>
      <c r="N84" s="90" t="str">
        <f>IF(_epmOfflineCondition_,"Bonuses &amp; Incentives",IF(_xll.EVDES(H84,$B$1)="#NODATA","",_xll.EVDES(H84,$B$1)))</f>
        <v>Bonuses &amp; Incentives</v>
      </c>
      <c r="O84" s="216">
        <v>4740.8599999999997</v>
      </c>
      <c r="P84" s="216">
        <v>4579.6099999999997</v>
      </c>
      <c r="Q84" s="216">
        <v>5090.37</v>
      </c>
      <c r="R84" s="216"/>
      <c r="S84" s="216"/>
      <c r="T84" s="216"/>
      <c r="U84" s="216"/>
      <c r="V84" s="216"/>
      <c r="W84" s="216"/>
      <c r="X84" s="216">
        <v>-10921.35</v>
      </c>
      <c r="Y84" s="216"/>
      <c r="Z84" s="216">
        <v>-1730.34</v>
      </c>
      <c r="AA84" s="251">
        <f t="shared" si="23"/>
        <v>1759.1499999999999</v>
      </c>
      <c r="AB84" s="218">
        <f t="shared" si="24"/>
        <v>6.8387202614897417E-3</v>
      </c>
      <c r="AC84" s="140"/>
      <c r="AD84" s="216">
        <v>55793.869067738102</v>
      </c>
      <c r="AE84" s="218">
        <f t="shared" si="25"/>
        <v>2.589191020846441E-2</v>
      </c>
      <c r="AF84" s="233">
        <f t="shared" si="26"/>
        <v>-54034.7190677381</v>
      </c>
      <c r="AG84" s="216">
        <v>56339.47</v>
      </c>
      <c r="AH84" s="218">
        <f t="shared" si="27"/>
        <v>0.30903951272446784</v>
      </c>
      <c r="AI84" s="233">
        <f t="shared" si="28"/>
        <v>-54580.32</v>
      </c>
      <c r="AJ84" s="221">
        <f t="shared" si="29"/>
        <v>0.25002131893121088</v>
      </c>
      <c r="AK84" s="222">
        <f t="shared" si="30"/>
        <v>1.1808976033978476</v>
      </c>
      <c r="AL84" s="224">
        <f t="shared" si="31"/>
        <v>9.968059094125973</v>
      </c>
      <c r="AM84" s="425" t="str">
        <f t="shared" si="32"/>
        <v>-1.91 pts.</v>
      </c>
      <c r="AN84" s="426" t="str">
        <f t="shared" si="33"/>
        <v>-30.22 pts.</v>
      </c>
      <c r="AO84" s="11"/>
    </row>
    <row r="85" spans="1:41" x14ac:dyDescent="0.35">
      <c r="A85" s="65" t="s">
        <v>4</v>
      </c>
      <c r="B85" s="66" t="str">
        <f>IF(_epmOfflineCondition_,"'Venue1'!$H$76:$H$77,'Venue1'!$H$79:$H$90,'Venue1'!$H$93:$H$115",_xll.EVRNG(H76:H77,H79:H90,H93:H115))</f>
        <v>'Venue1'!$H$76:$H$77,'Venue1'!$H$79:$H$90,'Venue1'!$H$93:$H$115</v>
      </c>
      <c r="C85" s="11"/>
      <c r="D85" s="11"/>
      <c r="E85" s="11"/>
      <c r="F85" s="11"/>
      <c r="G85" s="11"/>
      <c r="H85" s="88" t="s">
        <v>854</v>
      </c>
      <c r="I85" s="188" t="str">
        <f>IF(_epmOfflineCondition_,"T2",_xll.EVPRO($B$1,$H85,"STYLE"))</f>
        <v>T2</v>
      </c>
      <c r="J85" s="188" t="str">
        <f>IF(_epmOfflineCondition_,"Y",_xll.EVPRO($B$1,$H85,"CALC"))</f>
        <v>Y</v>
      </c>
      <c r="K85" s="189" t="str">
        <f t="shared" si="22"/>
        <v/>
      </c>
      <c r="L85" s="190" t="str">
        <f>IF(_epmOfflineCondition_,"",_xll.EVPRO($B$1,H85,"JDEID"))</f>
        <v/>
      </c>
      <c r="M85" s="190" t="str">
        <f>IF(_epmOfflineCondition_,"",IF(AND(I85="N",J85="N"),_xll.EVPRO($B$1,H85,"PSFTID"),""))</f>
        <v/>
      </c>
      <c r="N85" s="190" t="str">
        <f>IF(_epmOfflineCondition_,"Total Labor Expense",IF(_xll.EVDES(H85,$B$1)="#NODATA","",_xll.EVDES(H85,$B$1)))</f>
        <v>Total Labor Expense</v>
      </c>
      <c r="O85" s="225">
        <v>83194.64</v>
      </c>
      <c r="P85" s="225">
        <v>113053.62</v>
      </c>
      <c r="Q85" s="225">
        <v>81251.27</v>
      </c>
      <c r="R85" s="225"/>
      <c r="S85" s="225"/>
      <c r="T85" s="225">
        <v>4451.33</v>
      </c>
      <c r="U85" s="225">
        <v>5948.03</v>
      </c>
      <c r="V85" s="225">
        <v>7110.2</v>
      </c>
      <c r="W85" s="225">
        <v>8594.5</v>
      </c>
      <c r="X85" s="225">
        <v>-6284.49</v>
      </c>
      <c r="Y85" s="225">
        <v>16061.2</v>
      </c>
      <c r="Z85" s="225">
        <v>23514.23</v>
      </c>
      <c r="AA85" s="225">
        <f t="shared" si="23"/>
        <v>336894.53000000009</v>
      </c>
      <c r="AB85" s="226">
        <f t="shared" si="24"/>
        <v>1.3096822035051385</v>
      </c>
      <c r="AC85" s="227"/>
      <c r="AD85" s="225">
        <v>1035098.08005697</v>
      </c>
      <c r="AE85" s="226">
        <f t="shared" si="25"/>
        <v>0.48035146143478374</v>
      </c>
      <c r="AF85" s="228">
        <f t="shared" si="26"/>
        <v>-698203.55005696998</v>
      </c>
      <c r="AG85" s="225">
        <v>436082.08</v>
      </c>
      <c r="AH85" s="226">
        <f t="shared" si="27"/>
        <v>2.3920458163889791</v>
      </c>
      <c r="AI85" s="228">
        <f t="shared" si="28"/>
        <v>-99187.54999999993</v>
      </c>
      <c r="AJ85" s="229">
        <f t="shared" si="29"/>
        <v>47.8815420693576</v>
      </c>
      <c r="AK85" s="230">
        <f t="shared" si="30"/>
        <v>21.908228671809216</v>
      </c>
      <c r="AL85" s="232">
        <f t="shared" si="31"/>
        <v>77.155357395612171</v>
      </c>
      <c r="AM85" s="427" t="str">
        <f t="shared" si="32"/>
        <v>82.93 pts.</v>
      </c>
      <c r="AN85" s="428" t="str">
        <f t="shared" si="33"/>
        <v>-108.24 pts.</v>
      </c>
      <c r="AO85" s="11"/>
    </row>
    <row r="86" spans="1:41" x14ac:dyDescent="0.35">
      <c r="A86" s="65" t="s">
        <v>5</v>
      </c>
      <c r="B86" s="66"/>
      <c r="C86" s="11"/>
      <c r="D86" s="11"/>
      <c r="E86" s="11"/>
      <c r="F86" s="11"/>
      <c r="G86" s="11"/>
      <c r="H86" s="88" t="s">
        <v>855</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IF(_epmOfflineCondition_,"Payroll Taxes",IF(_xll.EVDES(H86,$B$1)="#NODATA","",_xll.EVDES(H86,$B$1)))</f>
        <v>Payroll Taxes</v>
      </c>
      <c r="O86" s="216">
        <v>7979.46</v>
      </c>
      <c r="P86" s="216">
        <v>11961.59</v>
      </c>
      <c r="Q86" s="216">
        <v>6001.39</v>
      </c>
      <c r="R86" s="216"/>
      <c r="S86" s="216"/>
      <c r="T86" s="216">
        <v>143.30000000000001</v>
      </c>
      <c r="U86" s="216">
        <v>464.31</v>
      </c>
      <c r="V86" s="216">
        <v>615.4</v>
      </c>
      <c r="W86" s="216">
        <v>806.98</v>
      </c>
      <c r="X86" s="216">
        <v>495.3</v>
      </c>
      <c r="Y86" s="216">
        <v>1517.98</v>
      </c>
      <c r="Z86" s="216">
        <v>1969.07</v>
      </c>
      <c r="AA86" s="216">
        <f t="shared" si="23"/>
        <v>31954.78</v>
      </c>
      <c r="AB86" s="218">
        <f t="shared" si="24"/>
        <v>0.12422465476931881</v>
      </c>
      <c r="AC86" s="140"/>
      <c r="AD86" s="216">
        <v>79167.141735042504</v>
      </c>
      <c r="AE86" s="218">
        <f t="shared" si="25"/>
        <v>3.6738597977062554E-2</v>
      </c>
      <c r="AF86" s="233">
        <f t="shared" si="26"/>
        <v>-47212.361735042505</v>
      </c>
      <c r="AG86" s="216">
        <v>32959</v>
      </c>
      <c r="AH86" s="218">
        <f t="shared" si="27"/>
        <v>0.18079036419557612</v>
      </c>
      <c r="AI86" s="233">
        <f t="shared" si="28"/>
        <v>-1004.2200000000012</v>
      </c>
      <c r="AJ86" s="234">
        <f t="shared" si="29"/>
        <v>4.5416117111995451</v>
      </c>
      <c r="AK86" s="235">
        <f t="shared" si="30"/>
        <v>1.6756014505691896</v>
      </c>
      <c r="AL86" s="237">
        <f t="shared" si="31"/>
        <v>5.8313871196036802</v>
      </c>
      <c r="AM86" s="429" t="str">
        <f t="shared" si="32"/>
        <v>8.75 pts.</v>
      </c>
      <c r="AN86" s="430" t="str">
        <f t="shared" si="33"/>
        <v>-5.66 pts.</v>
      </c>
      <c r="AO86" s="11"/>
    </row>
    <row r="87" spans="1:41" x14ac:dyDescent="0.35">
      <c r="A87" s="65" t="s">
        <v>6</v>
      </c>
      <c r="B87" s="66"/>
      <c r="C87" s="11"/>
      <c r="D87" s="11"/>
      <c r="E87" s="11"/>
      <c r="F87" s="11"/>
      <c r="G87" s="11"/>
      <c r="H87" s="88" t="s">
        <v>856</v>
      </c>
      <c r="I87" s="122" t="str">
        <f>IF(_epmOfflineCondition_,"T3",_xll.EVPRO($B$1,$H87,"STYLE"))</f>
        <v>T3</v>
      </c>
      <c r="J87" s="122" t="str">
        <f>IF(_epmOfflineCondition_,"Y",_xll.EVPRO($B$1,$H87,"CALC"))</f>
        <v>Y</v>
      </c>
      <c r="K87" s="179" t="str">
        <f t="shared" si="22"/>
        <v>&gt;</v>
      </c>
      <c r="L87" s="90" t="str">
        <f>IF(_epmOfflineCondition_,"",_xll.EVPRO($B$1,H87,"JDEID"))</f>
        <v/>
      </c>
      <c r="M87" s="90" t="str">
        <f>IF(_epmOfflineCondition_,"",IF(AND(I87="N",J87="N"),_xll.EVPRO($B$1,H87,"PSFTID"),""))</f>
        <v/>
      </c>
      <c r="N87" s="90" t="str">
        <f>IF(_epmOfflineCondition_,"Supplemental Pay",IF(_xll.EVDES(H87,$B$1)="#NODATA","",_xll.EVDES(H87,$B$1)))</f>
        <v>Supplemental Pay</v>
      </c>
      <c r="O87" s="216">
        <v>2978.26</v>
      </c>
      <c r="P87" s="216">
        <v>-1409.67</v>
      </c>
      <c r="Q87" s="216">
        <v>376.16</v>
      </c>
      <c r="R87" s="216">
        <v>-5.6</v>
      </c>
      <c r="S87" s="216"/>
      <c r="T87" s="216"/>
      <c r="U87" s="216">
        <v>281.31</v>
      </c>
      <c r="V87" s="216"/>
      <c r="W87" s="216">
        <v>593.16</v>
      </c>
      <c r="X87" s="216"/>
      <c r="Y87" s="216">
        <v>602.74</v>
      </c>
      <c r="Z87" s="216">
        <v>900.74</v>
      </c>
      <c r="AA87" s="251">
        <f t="shared" si="23"/>
        <v>4317.1000000000004</v>
      </c>
      <c r="AB87" s="218">
        <f t="shared" si="24"/>
        <v>1.6782786709989124E-2</v>
      </c>
      <c r="AC87" s="140"/>
      <c r="AD87" s="216">
        <v>21825.209443737302</v>
      </c>
      <c r="AE87" s="218">
        <f t="shared" si="25"/>
        <v>1.012828779649794E-2</v>
      </c>
      <c r="AF87" s="233">
        <f t="shared" si="26"/>
        <v>-17508.109443737303</v>
      </c>
      <c r="AG87" s="216">
        <v>22007.64</v>
      </c>
      <c r="AH87" s="218">
        <f t="shared" si="27"/>
        <v>0.1207187490726396</v>
      </c>
      <c r="AI87" s="233">
        <f t="shared" si="28"/>
        <v>-17690.54</v>
      </c>
      <c r="AJ87" s="212">
        <f t="shared" si="29"/>
        <v>0.61357305287094943</v>
      </c>
      <c r="AK87" s="213">
        <f t="shared" si="30"/>
        <v>0.4619385240065465</v>
      </c>
      <c r="AL87" s="215">
        <f t="shared" si="31"/>
        <v>3.8937791932059449</v>
      </c>
      <c r="AM87" s="423" t="str">
        <f t="shared" si="32"/>
        <v>0.67 pts.</v>
      </c>
      <c r="AN87" s="424" t="str">
        <f t="shared" si="33"/>
        <v>-10.39 pts.</v>
      </c>
      <c r="AO87" s="11"/>
    </row>
    <row r="88" spans="1:41" x14ac:dyDescent="0.35">
      <c r="A88" s="65" t="s">
        <v>7</v>
      </c>
      <c r="B88" s="66" t="str">
        <f>IF(_epmOfflineCondition_,"'Venue1'!$A$102:$F$108",_xll.EVRNG(A102:F108))</f>
        <v>'Venue1'!$A$102:$F$108</v>
      </c>
      <c r="C88" s="11"/>
      <c r="D88" s="11"/>
      <c r="E88" s="11"/>
      <c r="F88" s="11"/>
      <c r="G88" s="11"/>
      <c r="H88" s="88" t="s">
        <v>857</v>
      </c>
      <c r="I88" s="122" t="str">
        <f>IF(_epmOfflineCondition_,"T3",_xll.EVPRO($B$1,$H88,"STYLE"))</f>
        <v>T3</v>
      </c>
      <c r="J88" s="122" t="str">
        <f>IF(_epmOfflineCondition_,"Y",_xll.EVPRO($B$1,$H88,"CALC"))</f>
        <v>Y</v>
      </c>
      <c r="K88" s="179" t="str">
        <f t="shared" si="22"/>
        <v>&gt;</v>
      </c>
      <c r="L88" s="90" t="str">
        <f>IF(_epmOfflineCondition_,"",_xll.EVPRO($B$1,H88,"JDEID"))</f>
        <v/>
      </c>
      <c r="M88" s="90" t="str">
        <f>IF(_epmOfflineCondition_,"",IF(AND(I88="N",J88="N"),_xll.EVPRO($B$1,H88,"PSFTID"),""))</f>
        <v/>
      </c>
      <c r="N88" s="90" t="str">
        <f>IF(_epmOfflineCondition_,"Employee Benefits",IF(_xll.EVDES(H88,$B$1)="#NODATA","",_xll.EVDES(H88,$B$1)))</f>
        <v>Employee Benefits</v>
      </c>
      <c r="O88" s="216">
        <v>4722.67</v>
      </c>
      <c r="P88" s="216">
        <v>5259.2</v>
      </c>
      <c r="Q88" s="216">
        <v>2056.54</v>
      </c>
      <c r="R88" s="216">
        <v>5970.55</v>
      </c>
      <c r="S88" s="216">
        <v>3210.13</v>
      </c>
      <c r="T88" s="216">
        <v>-2870.6</v>
      </c>
      <c r="U88" s="216">
        <v>1905.63</v>
      </c>
      <c r="V88" s="216">
        <v>3013.48</v>
      </c>
      <c r="W88" s="216">
        <v>1139.58</v>
      </c>
      <c r="X88" s="216">
        <v>2075.94</v>
      </c>
      <c r="Y88" s="216">
        <v>1196.54</v>
      </c>
      <c r="Z88" s="216">
        <v>1787.51</v>
      </c>
      <c r="AA88" s="251">
        <f t="shared" si="23"/>
        <v>29467.17</v>
      </c>
      <c r="AB88" s="218">
        <f t="shared" si="24"/>
        <v>0.1145540360559149</v>
      </c>
      <c r="AC88" s="140"/>
      <c r="AD88" s="216">
        <v>60197.512918002198</v>
      </c>
      <c r="AE88" s="218">
        <f t="shared" si="25"/>
        <v>2.7935481537469518E-2</v>
      </c>
      <c r="AF88" s="233">
        <f t="shared" si="26"/>
        <v>-30730.342918002199</v>
      </c>
      <c r="AG88" s="216">
        <v>23998.25</v>
      </c>
      <c r="AH88" s="218">
        <f t="shared" si="27"/>
        <v>0.13163786393872645</v>
      </c>
      <c r="AI88" s="233">
        <f t="shared" si="28"/>
        <v>5468.9199999999983</v>
      </c>
      <c r="AJ88" s="221">
        <f t="shared" si="29"/>
        <v>4.1880571347356454</v>
      </c>
      <c r="AK88" s="222">
        <f t="shared" si="30"/>
        <v>1.2741023328042458</v>
      </c>
      <c r="AL88" s="224">
        <f t="shared" si="31"/>
        <v>4.2459748761500355</v>
      </c>
      <c r="AM88" s="425" t="str">
        <f t="shared" si="32"/>
        <v>8.66 pts.</v>
      </c>
      <c r="AN88" s="426" t="str">
        <f t="shared" si="33"/>
        <v>-1.71 pts.</v>
      </c>
      <c r="AO88" s="11"/>
    </row>
    <row r="89" spans="1:41" x14ac:dyDescent="0.35">
      <c r="A89" s="65" t="s">
        <v>47</v>
      </c>
      <c r="B89" s="66" t="str">
        <f>IF(_epmOfflineCondition_,"'Venue1'!$A$125:$B$146",_xll.EVRNG($A$125:$B$146))</f>
        <v>'Venue1'!$A$125:$B$146</v>
      </c>
      <c r="C89" s="11"/>
      <c r="D89" s="11"/>
      <c r="E89" s="11"/>
      <c r="F89" s="11"/>
      <c r="G89" s="11"/>
      <c r="H89" s="88" t="s">
        <v>858</v>
      </c>
      <c r="I89" s="188" t="str">
        <f>IF(_epmOfflineCondition_,"T2",_xll.EVPRO($B$1,$H89,"STYLE"))</f>
        <v>T2</v>
      </c>
      <c r="J89" s="188" t="str">
        <f>IF(_epmOfflineCondition_,"Y",_xll.EVPRO($B$1,$H89,"CALC"))</f>
        <v>Y</v>
      </c>
      <c r="K89" s="189" t="str">
        <f t="shared" si="22"/>
        <v/>
      </c>
      <c r="L89" s="190" t="str">
        <f>IF(_epmOfflineCondition_,"",_xll.EVPRO($B$1,H89,"JDEID"))</f>
        <v/>
      </c>
      <c r="M89" s="190" t="str">
        <f>IF(_epmOfflineCondition_,"",IF(AND(I89="N",J89="N"),_xll.EVPRO($B$1,H89,"PSFTID"),""))</f>
        <v/>
      </c>
      <c r="N89" s="190" t="str">
        <f>IF(_epmOfflineCondition_,"Total Payroll Related",IF(_xll.EVDES(H89,$B$1)="#NODATA","",_xll.EVDES(H89,$B$1)))</f>
        <v>Total Payroll Related</v>
      </c>
      <c r="O89" s="238">
        <v>15680.39</v>
      </c>
      <c r="P89" s="238">
        <v>15811.12</v>
      </c>
      <c r="Q89" s="238">
        <v>8434.09</v>
      </c>
      <c r="R89" s="238">
        <v>5964.95</v>
      </c>
      <c r="S89" s="238">
        <v>3210.13</v>
      </c>
      <c r="T89" s="238">
        <v>-2727.3</v>
      </c>
      <c r="U89" s="238">
        <v>2651.25</v>
      </c>
      <c r="V89" s="238">
        <v>3628.88</v>
      </c>
      <c r="W89" s="238">
        <v>2539.7199999999998</v>
      </c>
      <c r="X89" s="238">
        <v>2571.2399999999998</v>
      </c>
      <c r="Y89" s="238">
        <v>3317.26</v>
      </c>
      <c r="Z89" s="238">
        <v>4657.32</v>
      </c>
      <c r="AA89" s="238">
        <f t="shared" si="23"/>
        <v>65739.049999999988</v>
      </c>
      <c r="AB89" s="239">
        <f t="shared" si="24"/>
        <v>0.25556147753522279</v>
      </c>
      <c r="AC89" s="240"/>
      <c r="AD89" s="238">
        <v>161189.864096782</v>
      </c>
      <c r="AE89" s="239">
        <f t="shared" si="25"/>
        <v>7.4802367311030002E-2</v>
      </c>
      <c r="AF89" s="241">
        <f t="shared" si="26"/>
        <v>-95450.814096782007</v>
      </c>
      <c r="AG89" s="238">
        <v>78964.89</v>
      </c>
      <c r="AH89" s="239">
        <f t="shared" si="27"/>
        <v>0.43314697720694217</v>
      </c>
      <c r="AI89" s="241">
        <f t="shared" si="28"/>
        <v>-13225.840000000011</v>
      </c>
      <c r="AJ89" s="242">
        <f t="shared" si="29"/>
        <v>9.3432418988061379</v>
      </c>
      <c r="AK89" s="243">
        <f t="shared" si="30"/>
        <v>3.4116423073799815</v>
      </c>
      <c r="AL89" s="245">
        <f t="shared" si="31"/>
        <v>13.97114118895966</v>
      </c>
      <c r="AM89" s="431" t="str">
        <f t="shared" si="32"/>
        <v>18.08 pts.</v>
      </c>
      <c r="AN89" s="432" t="str">
        <f t="shared" si="33"/>
        <v>-17.76 pts.</v>
      </c>
      <c r="AO89" s="11"/>
    </row>
    <row r="90" spans="1:41" x14ac:dyDescent="0.35">
      <c r="A90" s="65" t="s">
        <v>8</v>
      </c>
      <c r="B90" s="66"/>
      <c r="C90" s="11"/>
      <c r="D90" s="11"/>
      <c r="E90" s="11"/>
      <c r="F90" s="11"/>
      <c r="G90" s="11"/>
      <c r="H90" s="88" t="s">
        <v>76</v>
      </c>
      <c r="I90" s="188" t="str">
        <f>IF(_epmOfflineCondition_,"T1",_xll.EVPRO($B$1,$H90,"STYLE"))</f>
        <v>T1</v>
      </c>
      <c r="J90" s="188" t="str">
        <f>IF(_epmOfflineCondition_,"Y",_xll.EVPRO($B$1,$H90,"CALC"))</f>
        <v>Y</v>
      </c>
      <c r="K90" s="189" t="str">
        <f t="shared" si="22"/>
        <v/>
      </c>
      <c r="L90" s="190" t="str">
        <f>IF(_epmOfflineCondition_,"600000",_xll.EVPRO($B$1,H90,"JDEID"))</f>
        <v>600000</v>
      </c>
      <c r="M90" s="190" t="str">
        <f>IF(_epmOfflineCondition_,"",IF(AND(I90="N",J90="N"),_xll.EVPRO($B$1,H90,"PSFTID"),""))</f>
        <v/>
      </c>
      <c r="N90" s="190" t="str">
        <f>IF(_epmOfflineCondition_,"Total Labor &amp; Related Exp",IF(_xll.EVDES(H90,$B$1)="#NODATA","",_xll.EVDES(H90,$B$1)))</f>
        <v>Total Labor &amp; Related Exp</v>
      </c>
      <c r="O90" s="238">
        <v>98875.03</v>
      </c>
      <c r="P90" s="238">
        <v>128864.74</v>
      </c>
      <c r="Q90" s="238">
        <v>89685.36</v>
      </c>
      <c r="R90" s="238">
        <v>5964.95</v>
      </c>
      <c r="S90" s="238">
        <v>3210.13</v>
      </c>
      <c r="T90" s="238">
        <v>1724.03</v>
      </c>
      <c r="U90" s="238">
        <v>8599.2800000000007</v>
      </c>
      <c r="V90" s="238">
        <v>10739.08</v>
      </c>
      <c r="W90" s="238">
        <v>11134.22</v>
      </c>
      <c r="X90" s="238">
        <v>-3713.25</v>
      </c>
      <c r="Y90" s="238">
        <v>19378.46</v>
      </c>
      <c r="Z90" s="238">
        <v>28171.55</v>
      </c>
      <c r="AA90" s="238">
        <f t="shared" si="23"/>
        <v>402633.58000000007</v>
      </c>
      <c r="AB90" s="239">
        <f t="shared" si="24"/>
        <v>1.5652436810403614</v>
      </c>
      <c r="AC90" s="240"/>
      <c r="AD90" s="238">
        <v>1196287.9441537501</v>
      </c>
      <c r="AE90" s="239">
        <f t="shared" si="25"/>
        <v>0.55515382874581287</v>
      </c>
      <c r="AF90" s="241">
        <f t="shared" si="26"/>
        <v>-793654.36415375001</v>
      </c>
      <c r="AG90" s="238">
        <v>515046.97</v>
      </c>
      <c r="AH90" s="239">
        <f t="shared" si="27"/>
        <v>2.8251927935959209</v>
      </c>
      <c r="AI90" s="241">
        <f t="shared" si="28"/>
        <v>-112413.3899999999</v>
      </c>
      <c r="AJ90" s="246">
        <f t="shared" si="29"/>
        <v>57.224783968163742</v>
      </c>
      <c r="AK90" s="247">
        <f t="shared" si="30"/>
        <v>25.319870979189158</v>
      </c>
      <c r="AL90" s="249">
        <f t="shared" si="31"/>
        <v>91.126498584571834</v>
      </c>
      <c r="AM90" s="433" t="str">
        <f t="shared" si="32"/>
        <v>101.01 pts.</v>
      </c>
      <c r="AN90" s="434" t="str">
        <f t="shared" si="33"/>
        <v>-125.99 pts.</v>
      </c>
      <c r="AO90" s="11"/>
    </row>
    <row r="91" spans="1:41" x14ac:dyDescent="0.35">
      <c r="A91" s="11"/>
      <c r="B91" s="11"/>
      <c r="C91" s="11"/>
      <c r="D91" s="11"/>
      <c r="E91" s="11"/>
      <c r="F91" s="11"/>
      <c r="G91" s="76"/>
      <c r="H91" s="11"/>
      <c r="I91" s="59"/>
      <c r="J91" s="59"/>
      <c r="K91" s="11"/>
      <c r="L91" s="11"/>
      <c r="M91" s="11"/>
      <c r="N91" s="11"/>
      <c r="O91" s="129"/>
      <c r="P91" s="130"/>
      <c r="Q91" s="130"/>
      <c r="R91" s="130"/>
      <c r="S91" s="130"/>
      <c r="T91" s="130"/>
      <c r="U91" s="130"/>
      <c r="V91" s="130"/>
      <c r="W91" s="130"/>
      <c r="X91" s="130"/>
      <c r="Y91" s="130"/>
      <c r="Z91" s="130"/>
      <c r="AA91" s="130"/>
      <c r="AB91" s="131"/>
      <c r="AC91" s="11"/>
      <c r="AD91" s="129"/>
      <c r="AE91" s="130"/>
      <c r="AF91" s="131"/>
      <c r="AG91" s="129"/>
      <c r="AH91" s="130"/>
      <c r="AI91" s="131"/>
      <c r="AJ91" s="11"/>
      <c r="AK91" s="11"/>
      <c r="AL91" s="11"/>
      <c r="AM91" s="11"/>
      <c r="AN91" s="11"/>
      <c r="AO91" s="11"/>
    </row>
    <row r="92" spans="1:41" x14ac:dyDescent="0.35">
      <c r="A92" s="62" t="s">
        <v>9</v>
      </c>
      <c r="B92" s="63" t="s">
        <v>10</v>
      </c>
      <c r="C92" s="11"/>
      <c r="D92" s="11"/>
      <c r="E92" s="11"/>
      <c r="F92" s="11"/>
      <c r="G92" s="11"/>
      <c r="H92" s="11" t="s">
        <v>82</v>
      </c>
      <c r="I92" s="59" t="str">
        <f>IF(_epmOfflineCondition_,"B1",_xll.EVPRO($B$1,$H92,"STYLE"))</f>
        <v>B1</v>
      </c>
      <c r="J92" s="59" t="str">
        <f>IF(_epmOfflineCondition_,"Y",_xll.EVPRO($B$1,$H92,"CALC"))</f>
        <v>Y</v>
      </c>
      <c r="K92" s="11"/>
      <c r="L92" s="11"/>
      <c r="M92" s="11"/>
      <c r="N92" s="105" t="str">
        <f>IF(_epmOfflineCondition_,"Other Expenses",IF(_xll.EVDES(H92,$B$1)="#NODATA","",_xll.EVDES(H92,$B$1)))</f>
        <v>Other Expenses</v>
      </c>
      <c r="O92" s="119"/>
      <c r="P92" s="120"/>
      <c r="Q92" s="120"/>
      <c r="R92" s="120"/>
      <c r="S92" s="120"/>
      <c r="T92" s="120"/>
      <c r="U92" s="120"/>
      <c r="V92" s="120"/>
      <c r="W92" s="120"/>
      <c r="X92" s="120"/>
      <c r="Y92" s="120"/>
      <c r="Z92" s="120"/>
      <c r="AA92" s="120"/>
      <c r="AB92" s="121"/>
      <c r="AC92" s="11"/>
      <c r="AD92" s="119"/>
      <c r="AE92" s="120"/>
      <c r="AF92" s="121"/>
      <c r="AG92" s="119"/>
      <c r="AH92" s="120"/>
      <c r="AI92" s="121"/>
      <c r="AJ92" s="11"/>
      <c r="AK92" s="11"/>
      <c r="AL92" s="11"/>
      <c r="AM92" s="11"/>
      <c r="AN92" s="11"/>
      <c r="AO92" s="11"/>
    </row>
    <row r="93" spans="1:41" x14ac:dyDescent="0.35">
      <c r="A93" s="65" t="s">
        <v>11</v>
      </c>
      <c r="B93" s="66" t="s">
        <v>21</v>
      </c>
      <c r="C93" s="11"/>
      <c r="D93" s="11"/>
      <c r="E93" s="11"/>
      <c r="F93" s="11"/>
      <c r="G93" s="11"/>
      <c r="H93" s="88" t="s">
        <v>826</v>
      </c>
      <c r="I93" s="122" t="str">
        <f>IF(_epmOfflineCondition_,"N",_xll.EVPRO($B$1,$H93,"STYLE"))</f>
        <v>N</v>
      </c>
      <c r="J93" s="122" t="str">
        <f>IF(_epmOfflineCondition_,"N",_xll.EVPRO($B$1,$H93,"CALC"))</f>
        <v>N</v>
      </c>
      <c r="K93" s="179" t="str">
        <f t="shared" ref="K93:K115" si="34">IF(AND(I93&lt;&gt;"B1",J93="Y"),"&gt;","")</f>
        <v/>
      </c>
      <c r="L93" s="90" t="str">
        <f>IF(_epmOfflineCondition_,"701100",_xll.EVPRO($B$1,H93,"JDEID"))</f>
        <v>701100</v>
      </c>
      <c r="M93" s="90" t="str">
        <f>IF(_epmOfflineCondition_,"690015",IF(AND(I93="N",J93="N"),_xll.EVPRO($B$1,H93,"PSFTID"),""))</f>
        <v>690015</v>
      </c>
      <c r="N93" s="90" t="str">
        <f>IF(_epmOfflineCondition_,"Dues and Subscriptions",IF(_xll.EVDES(H93,$B$1)="#NODATA","",_xll.EVDES(H93,$B$1)))</f>
        <v>Dues and Subscriptions</v>
      </c>
      <c r="O93" s="143">
        <v>30</v>
      </c>
      <c r="P93" s="143">
        <v>30</v>
      </c>
      <c r="Q93" s="143">
        <v>55</v>
      </c>
      <c r="R93" s="143">
        <v>-25</v>
      </c>
      <c r="S93" s="143"/>
      <c r="T93" s="143"/>
      <c r="U93" s="143"/>
      <c r="V93" s="143"/>
      <c r="W93" s="143"/>
      <c r="X93" s="143"/>
      <c r="Y93" s="143"/>
      <c r="Z93" s="143"/>
      <c r="AA93" s="250">
        <f t="shared" ref="AA93:AA116" si="35">IF($I93="B1","",SUM(O93:Z93))</f>
        <v>90</v>
      </c>
      <c r="AB93" s="144">
        <f t="shared" ref="AB93:AB116" si="36">IF(AA93=0,"",IFERROR(AA93/AA$19,""))</f>
        <v>3.498762604292282E-4</v>
      </c>
      <c r="AC93" s="140"/>
      <c r="AD93" s="143">
        <v>480</v>
      </c>
      <c r="AE93" s="144">
        <f t="shared" ref="AE93:AE116" si="37">IF(AD93=0,"",IFERROR(AD93/AD$19,""))</f>
        <v>2.2275058367029926E-4</v>
      </c>
      <c r="AF93" s="145">
        <f t="shared" ref="AF93:AF116" si="38">IF(AND($AA93="",AD93=""),"",$AA93-AD93)</f>
        <v>-390</v>
      </c>
      <c r="AG93" s="143">
        <v>60</v>
      </c>
      <c r="AH93" s="144">
        <f t="shared" ref="AH93:AH116" si="39">IF(AG93=0,"",IFERROR(AG93/AG$19,""))</f>
        <v>3.2911865808230126E-4</v>
      </c>
      <c r="AI93" s="145">
        <f t="shared" ref="AI93:AI116" si="40">IF(AND($AA93="",AG93=""),"",$AA93-AG93)</f>
        <v>30</v>
      </c>
      <c r="AJ93" s="212">
        <f t="shared" ref="AJ93:AJ116" si="41">IFERROR(AA93/AA$20,0)</f>
        <v>1.2791358726549176E-2</v>
      </c>
      <c r="AK93" s="213">
        <f t="shared" ref="AK93:AK116" si="42">IFERROR(AD93/AD$20,0)</f>
        <v>1.0159375198425297E-2</v>
      </c>
      <c r="AL93" s="215">
        <f t="shared" ref="AL93:AL116" si="43">IFERROR(AG93/AG$20,0)</f>
        <v>1.0615711252653927E-2</v>
      </c>
      <c r="AM93" s="423" t="str">
        <f t="shared" ref="AM93:AM116" si="44">+IFERROR(ROUND(($AB93-AE93)*100,2)&amp;" pts.",0)</f>
        <v>0.01 pts.</v>
      </c>
      <c r="AN93" s="424" t="str">
        <f t="shared" ref="AN93:AN116" si="45">+IFERROR(ROUND(($AB93-AH93)*100,2)&amp;" pts.",0)</f>
        <v>0 pts.</v>
      </c>
      <c r="AO93" s="11"/>
    </row>
    <row r="94" spans="1:41" x14ac:dyDescent="0.35">
      <c r="A94" s="65" t="s">
        <v>12</v>
      </c>
      <c r="B94" s="66" t="s">
        <v>22</v>
      </c>
      <c r="C94" s="11"/>
      <c r="D94" s="11"/>
      <c r="E94" s="11"/>
      <c r="F94" s="11"/>
      <c r="G94" s="11"/>
      <c r="H94" s="88" t="s">
        <v>860</v>
      </c>
      <c r="I94" s="122" t="str">
        <f>IF(_epmOfflineCondition_,"N",_xll.EVPRO($B$1,$H94,"STYLE"))</f>
        <v>N</v>
      </c>
      <c r="J94" s="122" t="str">
        <f>IF(_epmOfflineCondition_,"N",_xll.EVPRO($B$1,$H94,"CALC"))</f>
        <v>N</v>
      </c>
      <c r="K94" s="179" t="str">
        <f t="shared" si="34"/>
        <v/>
      </c>
      <c r="L94" s="90" t="str">
        <f>IF(_epmOfflineCondition_,"701300",_xll.EVPRO($B$1,H94,"JDEID"))</f>
        <v>701300</v>
      </c>
      <c r="M94" s="90" t="str">
        <f>IF(_epmOfflineCondition_,"690205",IF(AND(I94="N",J94="N"),_xll.EVPRO($B$1,H94,"PSFTID"),""))</f>
        <v>690205</v>
      </c>
      <c r="N94" s="90" t="str">
        <f>IF(_epmOfflineCondition_,"Printing &amp; Stationery",IF(_xll.EVDES(H94,$B$1)="#NODATA","",_xll.EVDES(H94,$B$1)))</f>
        <v>Printing &amp; Stationery</v>
      </c>
      <c r="O94" s="143">
        <v>112.35</v>
      </c>
      <c r="P94" s="143">
        <v>294.25</v>
      </c>
      <c r="Q94" s="143">
        <v>85.6</v>
      </c>
      <c r="R94" s="143"/>
      <c r="S94" s="143"/>
      <c r="T94" s="143"/>
      <c r="U94" s="143">
        <v>56.99</v>
      </c>
      <c r="V94" s="143"/>
      <c r="W94" s="143"/>
      <c r="X94" s="143"/>
      <c r="Y94" s="143"/>
      <c r="Z94" s="143"/>
      <c r="AA94" s="250">
        <f t="shared" si="35"/>
        <v>549.19000000000005</v>
      </c>
      <c r="AB94" s="144">
        <f t="shared" si="36"/>
        <v>2.1349838162791983E-3</v>
      </c>
      <c r="AC94" s="140"/>
      <c r="AD94" s="143">
        <v>2362.35</v>
      </c>
      <c r="AE94" s="144">
        <f t="shared" si="37"/>
        <v>1.0962809194448571E-3</v>
      </c>
      <c r="AF94" s="145">
        <f t="shared" si="38"/>
        <v>-1813.1599999999999</v>
      </c>
      <c r="AG94" s="143">
        <v>1153.4100000000001</v>
      </c>
      <c r="AH94" s="144">
        <f t="shared" si="39"/>
        <v>6.3268125236451188E-3</v>
      </c>
      <c r="AI94" s="145">
        <f t="shared" si="40"/>
        <v>-604.22</v>
      </c>
      <c r="AJ94" s="212">
        <f t="shared" si="41"/>
        <v>7.80542922114838E-2</v>
      </c>
      <c r="AK94" s="213">
        <f t="shared" si="42"/>
        <v>4.9999999999999996E-2</v>
      </c>
      <c r="AL94" s="215">
        <f t="shared" si="43"/>
        <v>0.20407112526539278</v>
      </c>
      <c r="AM94" s="423" t="str">
        <f t="shared" si="44"/>
        <v>0.1 pts.</v>
      </c>
      <c r="AN94" s="424" t="str">
        <f t="shared" si="45"/>
        <v>-0.42 pts.</v>
      </c>
      <c r="AO94" s="11"/>
    </row>
    <row r="95" spans="1:41" x14ac:dyDescent="0.35">
      <c r="A95" s="65" t="s">
        <v>13</v>
      </c>
      <c r="B95" s="66" t="s">
        <v>737</v>
      </c>
      <c r="C95" s="11"/>
      <c r="D95" s="11"/>
      <c r="E95" s="11"/>
      <c r="F95" s="11"/>
      <c r="G95" s="11"/>
      <c r="H95" s="88" t="s">
        <v>830</v>
      </c>
      <c r="I95" s="122" t="str">
        <f>IF(_epmOfflineCondition_,"T4",_xll.EVPRO($B$1,$H95,"STYLE"))</f>
        <v>T4</v>
      </c>
      <c r="J95" s="122" t="str">
        <f>IF(_epmOfflineCondition_,"Y",_xll.EVPRO($B$1,$H95,"CALC"))</f>
        <v>Y</v>
      </c>
      <c r="K95" s="179" t="str">
        <f t="shared" si="34"/>
        <v>&gt;</v>
      </c>
      <c r="L95" s="90" t="str">
        <f>IF(_epmOfflineCondition_,"701500",_xll.EVPRO($B$1,H95,"JDEID"))</f>
        <v>701500</v>
      </c>
      <c r="M95" s="90" t="str">
        <f>IF(_epmOfflineCondition_,"",IF(AND(I95="N",J95="N"),_xll.EVPRO($B$1,H95,"PSFTID"),""))</f>
        <v/>
      </c>
      <c r="N95" s="90" t="str">
        <f>IF(_epmOfflineCondition_,"Operating Supplies",IF(_xll.EVDES(H95,$B$1)="#NODATA","",_xll.EVDES(H95,$B$1)))</f>
        <v>Operating Supplies</v>
      </c>
      <c r="O95" s="143">
        <v>1118.0899999999999</v>
      </c>
      <c r="P95" s="143">
        <v>-35.700000000000003</v>
      </c>
      <c r="Q95" s="143">
        <v>2553.5700000000002</v>
      </c>
      <c r="R95" s="143"/>
      <c r="S95" s="143"/>
      <c r="T95" s="143"/>
      <c r="U95" s="143">
        <v>447.89</v>
      </c>
      <c r="V95" s="143">
        <v>175.99</v>
      </c>
      <c r="W95" s="143">
        <v>93.03</v>
      </c>
      <c r="X95" s="143">
        <v>1.71</v>
      </c>
      <c r="Y95" s="143">
        <v>517.25</v>
      </c>
      <c r="Z95" s="143">
        <v>937.29</v>
      </c>
      <c r="AA95" s="250">
        <f t="shared" si="35"/>
        <v>5809.12</v>
      </c>
      <c r="AB95" s="144">
        <f t="shared" si="36"/>
        <v>2.2583035355384869E-2</v>
      </c>
      <c r="AC95" s="140"/>
      <c r="AD95" s="143">
        <v>18638.941500000001</v>
      </c>
      <c r="AE95" s="144">
        <f t="shared" si="37"/>
        <v>8.6496564544199239E-3</v>
      </c>
      <c r="AF95" s="145">
        <f t="shared" si="38"/>
        <v>-12829.821500000002</v>
      </c>
      <c r="AG95" s="143">
        <v>8150.04</v>
      </c>
      <c r="AH95" s="144">
        <f t="shared" si="39"/>
        <v>4.4705503801951312E-2</v>
      </c>
      <c r="AI95" s="145">
        <f t="shared" si="40"/>
        <v>-2340.92</v>
      </c>
      <c r="AJ95" s="212">
        <f t="shared" si="41"/>
        <v>0.82562819783968167</v>
      </c>
      <c r="AK95" s="213">
        <f t="shared" si="42"/>
        <v>0.39450000000000002</v>
      </c>
      <c r="AL95" s="215">
        <f t="shared" si="43"/>
        <v>1.4419745222929936</v>
      </c>
      <c r="AM95" s="423" t="str">
        <f t="shared" si="44"/>
        <v>1.39 pts.</v>
      </c>
      <c r="AN95" s="424" t="str">
        <f t="shared" si="45"/>
        <v>-2.21 pts.</v>
      </c>
      <c r="AO95" s="11"/>
    </row>
    <row r="96" spans="1:41" x14ac:dyDescent="0.35">
      <c r="A96" s="65" t="s">
        <v>14</v>
      </c>
      <c r="B96" s="66"/>
      <c r="C96" s="11"/>
      <c r="D96" s="11"/>
      <c r="E96" s="11"/>
      <c r="F96" s="11"/>
      <c r="G96" s="11"/>
      <c r="H96" s="88" t="s">
        <v>861</v>
      </c>
      <c r="I96" s="122" t="str">
        <f>IF(_epmOfflineCondition_,"N",_xll.EVPRO($B$1,$H96,"STYLE"))</f>
        <v>N</v>
      </c>
      <c r="J96" s="122" t="str">
        <f>IF(_epmOfflineCondition_,"N",_xll.EVPRO($B$1,$H96,"CALC"))</f>
        <v>N</v>
      </c>
      <c r="K96" s="179" t="str">
        <f t="shared" si="34"/>
        <v/>
      </c>
      <c r="L96" s="90" t="str">
        <f>IF(_epmOfflineCondition_,"701600",_xll.EVPRO($B$1,H96,"JDEID"))</f>
        <v>701600</v>
      </c>
      <c r="M96" s="90" t="str">
        <f>IF(_epmOfflineCondition_,"590015",IF(AND(I96="N",J96="N"),_xll.EVPRO($B$1,H96,"PSFTID"),""))</f>
        <v>590015</v>
      </c>
      <c r="N96" s="90" t="str">
        <f>IF(_epmOfflineCondition_,"Cleaning Supplies",IF(_xll.EVDES(H96,$B$1)="#NODATA","",_xll.EVDES(H96,$B$1)))</f>
        <v>Cleaning Supplies</v>
      </c>
      <c r="O96" s="143">
        <v>1253.6500000000001</v>
      </c>
      <c r="P96" s="143">
        <v>698.91</v>
      </c>
      <c r="Q96" s="143">
        <v>57.84</v>
      </c>
      <c r="R96" s="143"/>
      <c r="S96" s="143"/>
      <c r="T96" s="143"/>
      <c r="U96" s="143">
        <v>155.94999999999999</v>
      </c>
      <c r="V96" s="143"/>
      <c r="W96" s="143"/>
      <c r="X96" s="143"/>
      <c r="Y96" s="143">
        <v>244.89</v>
      </c>
      <c r="Z96" s="143">
        <v>855.92</v>
      </c>
      <c r="AA96" s="250">
        <f t="shared" si="35"/>
        <v>3267.16</v>
      </c>
      <c r="AB96" s="144">
        <f t="shared" si="36"/>
        <v>1.2701130255821747E-2</v>
      </c>
      <c r="AC96" s="140"/>
      <c r="AD96" s="143">
        <v>5960.6815200000001</v>
      </c>
      <c r="AE96" s="144">
        <f t="shared" si="37"/>
        <v>2.7661360159432634E-3</v>
      </c>
      <c r="AF96" s="145">
        <f t="shared" si="38"/>
        <v>-2693.5215200000002</v>
      </c>
      <c r="AG96" s="143">
        <v>2880.69</v>
      </c>
      <c r="AH96" s="144">
        <f t="shared" si="39"/>
        <v>1.5801480452518408E-2</v>
      </c>
      <c r="AI96" s="145">
        <f t="shared" si="40"/>
        <v>386.4699999999998</v>
      </c>
      <c r="AJ96" s="212">
        <f t="shared" si="41"/>
        <v>0.46434906196702669</v>
      </c>
      <c r="AK96" s="213">
        <f t="shared" si="42"/>
        <v>0.12615999999999999</v>
      </c>
      <c r="AL96" s="215">
        <f t="shared" si="43"/>
        <v>0.50967622080679409</v>
      </c>
      <c r="AM96" s="423" t="str">
        <f t="shared" si="44"/>
        <v>0.99 pts.</v>
      </c>
      <c r="AN96" s="424" t="str">
        <f t="shared" si="45"/>
        <v>-0.31 pts.</v>
      </c>
      <c r="AO96" s="11"/>
    </row>
    <row r="97" spans="1:41" x14ac:dyDescent="0.35">
      <c r="A97" s="65" t="s">
        <v>15</v>
      </c>
      <c r="B97" s="66"/>
      <c r="C97" s="11"/>
      <c r="D97" s="11"/>
      <c r="E97" s="11"/>
      <c r="F97" s="11"/>
      <c r="G97" s="11"/>
      <c r="H97" s="88" t="s">
        <v>862</v>
      </c>
      <c r="I97" s="122" t="str">
        <f>IF(_epmOfflineCondition_,"N",_xll.EVPRO($B$1,$H97,"STYLE"))</f>
        <v>N</v>
      </c>
      <c r="J97" s="122" t="str">
        <f>IF(_epmOfflineCondition_,"N",_xll.EVPRO($B$1,$H97,"CALC"))</f>
        <v>N</v>
      </c>
      <c r="K97" s="179" t="str">
        <f t="shared" si="34"/>
        <v/>
      </c>
      <c r="L97" s="90" t="str">
        <f>IF(_epmOfflineCondition_,"701700",_xll.EVPRO($B$1,H97,"JDEID"))</f>
        <v>701700</v>
      </c>
      <c r="M97" s="90" t="str">
        <f>IF(_epmOfflineCondition_,"590026",IF(AND(I97="N",J97="N"),_xll.EVPRO($B$1,H97,"PSFTID"),""))</f>
        <v>590026</v>
      </c>
      <c r="N97" s="90" t="str">
        <f>IF(_epmOfflineCondition_,"Dishwashing Supplies",IF(_xll.EVDES(H97,$B$1)="#NODATA","",_xll.EVDES(H97,$B$1)))</f>
        <v>Dishwashing Supplies</v>
      </c>
      <c r="O97" s="143"/>
      <c r="P97" s="143">
        <v>530.57000000000005</v>
      </c>
      <c r="Q97" s="143">
        <v>-404.62</v>
      </c>
      <c r="R97" s="143"/>
      <c r="S97" s="143"/>
      <c r="T97" s="143"/>
      <c r="U97" s="143">
        <v>289.26</v>
      </c>
      <c r="V97" s="143"/>
      <c r="W97" s="143"/>
      <c r="X97" s="143"/>
      <c r="Y97" s="143">
        <v>163.72999999999999</v>
      </c>
      <c r="Z97" s="143"/>
      <c r="AA97" s="250">
        <f t="shared" si="35"/>
        <v>578.94000000000005</v>
      </c>
      <c r="AB97" s="144">
        <f t="shared" si="36"/>
        <v>2.2506373579210823E-3</v>
      </c>
      <c r="AC97" s="140"/>
      <c r="AD97" s="143">
        <v>7087.05</v>
      </c>
      <c r="AE97" s="144">
        <f t="shared" si="37"/>
        <v>3.2888427583345715E-3</v>
      </c>
      <c r="AF97" s="145">
        <f t="shared" si="38"/>
        <v>-6508.1100000000006</v>
      </c>
      <c r="AG97" s="143">
        <v>3022.36</v>
      </c>
      <c r="AH97" s="144">
        <f t="shared" si="39"/>
        <v>1.65785844573604E-2</v>
      </c>
      <c r="AI97" s="145">
        <f t="shared" si="40"/>
        <v>-2443.42</v>
      </c>
      <c r="AJ97" s="212">
        <f t="shared" si="41"/>
        <v>8.228254690164867E-2</v>
      </c>
      <c r="AK97" s="213">
        <f t="shared" si="42"/>
        <v>0.15</v>
      </c>
      <c r="AL97" s="215">
        <f t="shared" si="43"/>
        <v>0.53474168435951874</v>
      </c>
      <c r="AM97" s="423" t="str">
        <f t="shared" si="44"/>
        <v>-0.1 pts.</v>
      </c>
      <c r="AN97" s="424" t="str">
        <f t="shared" si="45"/>
        <v>-1.43 pts.</v>
      </c>
      <c r="AO97" s="11"/>
    </row>
    <row r="98" spans="1:41" x14ac:dyDescent="0.35">
      <c r="A98" s="65" t="s">
        <v>16</v>
      </c>
      <c r="B98" s="66" t="s">
        <v>78</v>
      </c>
      <c r="C98" s="11"/>
      <c r="D98" s="11"/>
      <c r="E98" s="11"/>
      <c r="F98" s="11"/>
      <c r="G98" s="11"/>
      <c r="H98" s="88" t="s">
        <v>863</v>
      </c>
      <c r="I98" s="122" t="str">
        <f>IF(_epmOfflineCondition_,"N",_xll.EVPRO($B$1,$H98,"STYLE"))</f>
        <v>N</v>
      </c>
      <c r="J98" s="122" t="str">
        <f>IF(_epmOfflineCondition_,"N",_xll.EVPRO($B$1,$H98,"CALC"))</f>
        <v>N</v>
      </c>
      <c r="K98" s="179" t="str">
        <f t="shared" si="34"/>
        <v/>
      </c>
      <c r="L98" s="90" t="str">
        <f>IF(_epmOfflineCondition_,"702000",_xll.EVPRO($B$1,H98,"JDEID"))</f>
        <v>702000</v>
      </c>
      <c r="M98" s="90" t="str">
        <f>IF(_epmOfflineCondition_,"590031",IF(AND(I98="N",J98="N"),_xll.EVPRO($B$1,H98,"PSFTID"),""))</f>
        <v>590031</v>
      </c>
      <c r="N98" s="90" t="str">
        <f>IF(_epmOfflineCondition_,"Paper and Plastics",IF(_xll.EVDES(H98,$B$1)="#NODATA","",_xll.EVDES(H98,$B$1)))</f>
        <v>Paper and Plastics</v>
      </c>
      <c r="O98" s="143">
        <v>1735.42</v>
      </c>
      <c r="P98" s="143">
        <v>955.13</v>
      </c>
      <c r="Q98" s="143">
        <v>6.28</v>
      </c>
      <c r="R98" s="143"/>
      <c r="S98" s="143"/>
      <c r="T98" s="143"/>
      <c r="U98" s="143">
        <v>52.95</v>
      </c>
      <c r="V98" s="143"/>
      <c r="W98" s="143"/>
      <c r="X98" s="143"/>
      <c r="Y98" s="143">
        <v>439</v>
      </c>
      <c r="Z98" s="143">
        <v>1239.5999999999999</v>
      </c>
      <c r="AA98" s="250">
        <f t="shared" si="35"/>
        <v>4428.38</v>
      </c>
      <c r="AB98" s="144">
        <f t="shared" si="36"/>
        <v>1.7215389268439841E-2</v>
      </c>
      <c r="AC98" s="140"/>
      <c r="AD98" s="143">
        <v>9103.0794900000001</v>
      </c>
      <c r="AE98" s="144">
        <f t="shared" si="37"/>
        <v>4.2244088949888129E-3</v>
      </c>
      <c r="AF98" s="145">
        <f t="shared" si="38"/>
        <v>-4674.69949</v>
      </c>
      <c r="AG98" s="143">
        <v>2600.96</v>
      </c>
      <c r="AH98" s="144">
        <f t="shared" si="39"/>
        <v>1.4267074415429038E-2</v>
      </c>
      <c r="AI98" s="145">
        <f t="shared" si="40"/>
        <v>1827.42</v>
      </c>
      <c r="AJ98" s="212">
        <f t="shared" si="41"/>
        <v>0.62938885730528715</v>
      </c>
      <c r="AK98" s="213">
        <f t="shared" si="42"/>
        <v>0.19267000000000001</v>
      </c>
      <c r="AL98" s="215">
        <f t="shared" si="43"/>
        <v>0.46018400566171269</v>
      </c>
      <c r="AM98" s="423" t="str">
        <f t="shared" si="44"/>
        <v>1.3 pts.</v>
      </c>
      <c r="AN98" s="424" t="str">
        <f t="shared" si="45"/>
        <v>0.29 pts.</v>
      </c>
      <c r="AO98" s="11"/>
    </row>
    <row r="99" spans="1:41" x14ac:dyDescent="0.35">
      <c r="A99" s="65" t="s">
        <v>17</v>
      </c>
      <c r="B99" s="66"/>
      <c r="C99" s="11"/>
      <c r="D99" s="11"/>
      <c r="E99" s="11"/>
      <c r="F99" s="11"/>
      <c r="G99" s="11"/>
      <c r="H99" s="88" t="s">
        <v>831</v>
      </c>
      <c r="I99" s="122" t="str">
        <f>IF(_epmOfflineCondition_,"N",_xll.EVPRO($B$1,$H99,"STYLE"))</f>
        <v>N</v>
      </c>
      <c r="J99" s="122" t="str">
        <f>IF(_epmOfflineCondition_,"N",_xll.EVPRO($B$1,$H99,"CALC"))</f>
        <v>N</v>
      </c>
      <c r="K99" s="179" t="str">
        <f t="shared" si="34"/>
        <v/>
      </c>
      <c r="L99" s="90" t="str">
        <f>IF(_epmOfflineCondition_,"702300",_xll.EVPRO($B$1,H99,"JDEID"))</f>
        <v>702300</v>
      </c>
      <c r="M99" s="90" t="str">
        <f>IF(_epmOfflineCondition_,"590040",IF(AND(I99="N",J99="N"),_xll.EVPRO($B$1,H99,"PSFTID"),""))</f>
        <v>590040</v>
      </c>
      <c r="N99" s="90" t="str">
        <f>IF(_epmOfflineCondition_,"Decorations",IF(_xll.EVDES(H99,$B$1)="#NODATA","",_xll.EVDES(H99,$B$1)))</f>
        <v>Decorations</v>
      </c>
      <c r="O99" s="143">
        <v>379.65</v>
      </c>
      <c r="P99" s="143">
        <v>330.57</v>
      </c>
      <c r="Q99" s="143">
        <v>9.26</v>
      </c>
      <c r="R99" s="143"/>
      <c r="S99" s="143"/>
      <c r="T99" s="143"/>
      <c r="U99" s="143"/>
      <c r="V99" s="143"/>
      <c r="W99" s="143"/>
      <c r="X99" s="143"/>
      <c r="Y99" s="143">
        <v>179.98</v>
      </c>
      <c r="Z99" s="143"/>
      <c r="AA99" s="250">
        <f t="shared" si="35"/>
        <v>899.46</v>
      </c>
      <c r="AB99" s="144">
        <f t="shared" si="36"/>
        <v>3.4966633467297067E-3</v>
      </c>
      <c r="AC99" s="140"/>
      <c r="AD99" s="143">
        <v>4100</v>
      </c>
      <c r="AE99" s="144">
        <f t="shared" si="37"/>
        <v>1.9026612355171394E-3</v>
      </c>
      <c r="AF99" s="145">
        <f t="shared" si="38"/>
        <v>-3200.54</v>
      </c>
      <c r="AG99" s="143">
        <v>410.4</v>
      </c>
      <c r="AH99" s="144">
        <f t="shared" si="39"/>
        <v>2.2511716212829406E-3</v>
      </c>
      <c r="AI99" s="145">
        <f t="shared" si="40"/>
        <v>489.06000000000006</v>
      </c>
      <c r="AJ99" s="212">
        <f t="shared" si="41"/>
        <v>0.12783683911313246</v>
      </c>
      <c r="AK99" s="213">
        <f t="shared" si="42"/>
        <v>8.6777996486549408E-2</v>
      </c>
      <c r="AL99" s="215">
        <f t="shared" si="43"/>
        <v>7.2611464968152864E-2</v>
      </c>
      <c r="AM99" s="423" t="str">
        <f t="shared" si="44"/>
        <v>0.16 pts.</v>
      </c>
      <c r="AN99" s="424" t="str">
        <f t="shared" si="45"/>
        <v>0.12 pts.</v>
      </c>
      <c r="AO99" s="11"/>
    </row>
    <row r="100" spans="1:41" x14ac:dyDescent="0.35">
      <c r="A100" s="11"/>
      <c r="B100" s="11"/>
      <c r="C100" s="11"/>
      <c r="D100" s="11"/>
      <c r="E100" s="11"/>
      <c r="F100" s="11"/>
      <c r="G100" s="11"/>
      <c r="H100" s="88" t="s">
        <v>878</v>
      </c>
      <c r="I100" s="122" t="str">
        <f>IF(_epmOfflineCondition_,"N",_xll.EVPRO($B$1,$H100,"STYLE"))</f>
        <v>N</v>
      </c>
      <c r="J100" s="122" t="str">
        <f>IF(_epmOfflineCondition_,"N",_xll.EVPRO($B$1,$H100,"CALC"))</f>
        <v>N</v>
      </c>
      <c r="K100" s="179" t="str">
        <f t="shared" si="34"/>
        <v/>
      </c>
      <c r="L100" s="90" t="str">
        <f>IF(_epmOfflineCondition_,"702580",_xll.EVPRO($B$1,H100,"JDEID"))</f>
        <v>702580</v>
      </c>
      <c r="M100" s="90" t="str">
        <f>IF(_epmOfflineCondition_,"590166",IF(AND(I100="N",J100="N"),_xll.EVPRO($B$1,H100,"PSFTID"),""))</f>
        <v>590166</v>
      </c>
      <c r="N100" s="90" t="str">
        <f>IF(_epmOfflineCondition_,"Reservations",IF(_xll.EVDES(H100,$B$1)="#NODATA","",_xll.EVDES(H100,$B$1)))</f>
        <v>Reservations</v>
      </c>
      <c r="O100" s="143">
        <v>417.35</v>
      </c>
      <c r="P100" s="143">
        <v>-417.35</v>
      </c>
      <c r="Q100" s="143"/>
      <c r="R100" s="143"/>
      <c r="S100" s="143"/>
      <c r="T100" s="143"/>
      <c r="U100" s="143"/>
      <c r="V100" s="143"/>
      <c r="W100" s="143"/>
      <c r="X100" s="143"/>
      <c r="Y100" s="143"/>
      <c r="Z100" s="143"/>
      <c r="AA100" s="250">
        <f t="shared" si="35"/>
        <v>0</v>
      </c>
      <c r="AB100" s="144" t="str">
        <f t="shared" si="36"/>
        <v/>
      </c>
      <c r="AC100" s="140"/>
      <c r="AD100" s="143"/>
      <c r="AE100" s="144" t="str">
        <f t="shared" si="37"/>
        <v/>
      </c>
      <c r="AF100" s="145">
        <f t="shared" si="38"/>
        <v>0</v>
      </c>
      <c r="AG100" s="143">
        <v>498.02</v>
      </c>
      <c r="AH100" s="144">
        <f t="shared" si="39"/>
        <v>2.7317945683024611E-3</v>
      </c>
      <c r="AI100" s="145">
        <f t="shared" si="40"/>
        <v>-498.02</v>
      </c>
      <c r="AJ100" s="212">
        <f t="shared" si="41"/>
        <v>0</v>
      </c>
      <c r="AK100" s="213">
        <f t="shared" si="42"/>
        <v>0</v>
      </c>
      <c r="AL100" s="215">
        <f t="shared" si="43"/>
        <v>8.8113941967445153E-2</v>
      </c>
      <c r="AM100" s="423">
        <f t="shared" si="44"/>
        <v>0</v>
      </c>
      <c r="AN100" s="424">
        <f t="shared" si="45"/>
        <v>0</v>
      </c>
      <c r="AO100" s="11"/>
    </row>
    <row r="101" spans="1:41" x14ac:dyDescent="0.35">
      <c r="A101" s="97" t="s">
        <v>92</v>
      </c>
      <c r="B101" s="98" t="s">
        <v>93</v>
      </c>
      <c r="C101" s="98" t="s">
        <v>94</v>
      </c>
      <c r="D101" s="98" t="s">
        <v>95</v>
      </c>
      <c r="E101" s="98" t="s">
        <v>96</v>
      </c>
      <c r="F101" s="99" t="s">
        <v>97</v>
      </c>
      <c r="G101" s="11"/>
      <c r="H101" s="88" t="s">
        <v>832</v>
      </c>
      <c r="I101" s="122" t="str">
        <f>IF(_epmOfflineCondition_,"T4",_xll.EVPRO($B$1,$H101,"STYLE"))</f>
        <v>T4</v>
      </c>
      <c r="J101" s="122" t="str">
        <f>IF(_epmOfflineCondition_,"Y",_xll.EVPRO($B$1,$H101,"CALC"))</f>
        <v>Y</v>
      </c>
      <c r="K101" s="179" t="str">
        <f t="shared" si="34"/>
        <v>&gt;</v>
      </c>
      <c r="L101" s="90" t="str">
        <f>IF(_epmOfflineCondition_,"",_xll.EVPRO($B$1,H101,"JDEID"))</f>
        <v/>
      </c>
      <c r="M101" s="90" t="str">
        <f>IF(_epmOfflineCondition_,"",IF(AND(I101="N",J101="N"),_xll.EVPRO($B$1,H101,"PSFTID"),""))</f>
        <v/>
      </c>
      <c r="N101" s="90" t="str">
        <f>IF(_epmOfflineCondition_,"Contract Services",IF(_xll.EVDES(H101,$B$1)="#NODATA","",_xll.EVDES(H101,$B$1)))</f>
        <v>Contract Services</v>
      </c>
      <c r="O101" s="143">
        <v>5751</v>
      </c>
      <c r="P101" s="143">
        <v>4143.8599999999997</v>
      </c>
      <c r="Q101" s="143">
        <v>8656.09</v>
      </c>
      <c r="R101" s="143"/>
      <c r="S101" s="143"/>
      <c r="T101" s="143"/>
      <c r="U101" s="143"/>
      <c r="V101" s="143"/>
      <c r="W101" s="143"/>
      <c r="X101" s="143">
        <v>1140</v>
      </c>
      <c r="Y101" s="143">
        <v>625</v>
      </c>
      <c r="Z101" s="143">
        <v>631.5</v>
      </c>
      <c r="AA101" s="250">
        <f t="shared" si="35"/>
        <v>20947.45</v>
      </c>
      <c r="AB101" s="144">
        <f t="shared" si="36"/>
        <v>8.1433505239202633E-2</v>
      </c>
      <c r="AC101" s="140"/>
      <c r="AD101" s="143">
        <v>60984</v>
      </c>
      <c r="AE101" s="144">
        <f t="shared" si="37"/>
        <v>2.8300461655311519E-2</v>
      </c>
      <c r="AF101" s="145">
        <f t="shared" si="38"/>
        <v>-40036.550000000003</v>
      </c>
      <c r="AG101" s="143">
        <v>12864.26</v>
      </c>
      <c r="AH101" s="144">
        <f t="shared" si="39"/>
        <v>7.0564466473697088E-2</v>
      </c>
      <c r="AI101" s="145">
        <f t="shared" si="40"/>
        <v>8083.1900000000005</v>
      </c>
      <c r="AJ101" s="212">
        <f t="shared" si="41"/>
        <v>2.977181637293917</v>
      </c>
      <c r="AK101" s="213">
        <f t="shared" si="42"/>
        <v>1.290748618959934</v>
      </c>
      <c r="AL101" s="215">
        <f t="shared" si="43"/>
        <v>2.2760544939844305</v>
      </c>
      <c r="AM101" s="423" t="str">
        <f t="shared" si="44"/>
        <v>5.31 pts.</v>
      </c>
      <c r="AN101" s="424" t="str">
        <f t="shared" si="45"/>
        <v>1.09 pts.</v>
      </c>
      <c r="AO101" s="11"/>
    </row>
    <row r="102" spans="1:41" x14ac:dyDescent="0.35">
      <c r="A102" s="11"/>
      <c r="B102" s="11"/>
      <c r="C102" s="11"/>
      <c r="D102" s="11"/>
      <c r="E102" s="11"/>
      <c r="F102" s="11"/>
      <c r="G102" s="11"/>
      <c r="H102" s="88" t="s">
        <v>833</v>
      </c>
      <c r="I102" s="122" t="str">
        <f>IF(_epmOfflineCondition_,"T4",_xll.EVPRO($B$1,$H102,"STYLE"))</f>
        <v>T4</v>
      </c>
      <c r="J102" s="122" t="str">
        <f>IF(_epmOfflineCondition_,"Y",_xll.EVPRO($B$1,$H102,"CALC"))</f>
        <v>Y</v>
      </c>
      <c r="K102" s="179" t="str">
        <f t="shared" si="34"/>
        <v>&gt;</v>
      </c>
      <c r="L102" s="90" t="str">
        <f>IF(_epmOfflineCondition_,"",_xll.EVPRO($B$1,H102,"JDEID"))</f>
        <v/>
      </c>
      <c r="M102" s="90" t="str">
        <f>IF(_epmOfflineCondition_,"",IF(AND(I102="N",J102="N"),_xll.EVPRO($B$1,H102,"PSFTID"),""))</f>
        <v/>
      </c>
      <c r="N102" s="90" t="str">
        <f>IF(_epmOfflineCondition_,"Travel - Other",IF(_xll.EVDES(H102,$B$1)="#NODATA","",_xll.EVDES(H102,$B$1)))</f>
        <v>Travel - Other</v>
      </c>
      <c r="O102" s="143">
        <v>1306.43</v>
      </c>
      <c r="P102" s="143">
        <v>93.89</v>
      </c>
      <c r="Q102" s="143">
        <v>258.76</v>
      </c>
      <c r="R102" s="143">
        <v>-52.89</v>
      </c>
      <c r="S102" s="143"/>
      <c r="T102" s="143"/>
      <c r="U102" s="143">
        <v>194.16</v>
      </c>
      <c r="V102" s="143"/>
      <c r="W102" s="143"/>
      <c r="X102" s="143"/>
      <c r="Y102" s="143"/>
      <c r="Z102" s="143"/>
      <c r="AA102" s="250">
        <f t="shared" si="35"/>
        <v>1800.3500000000001</v>
      </c>
      <c r="AB102" s="144">
        <f t="shared" si="36"/>
        <v>6.9988858384862343E-3</v>
      </c>
      <c r="AC102" s="140"/>
      <c r="AD102" s="143">
        <v>4050</v>
      </c>
      <c r="AE102" s="144">
        <f t="shared" si="37"/>
        <v>1.8794580497181498E-3</v>
      </c>
      <c r="AF102" s="145">
        <f t="shared" si="38"/>
        <v>-2249.6499999999996</v>
      </c>
      <c r="AG102" s="143">
        <v>3439.96</v>
      </c>
      <c r="AH102" s="144">
        <f t="shared" si="39"/>
        <v>1.8869250317613218E-2</v>
      </c>
      <c r="AI102" s="145">
        <f t="shared" si="40"/>
        <v>-1639.61</v>
      </c>
      <c r="AJ102" s="212">
        <f t="shared" si="41"/>
        <v>0.25587691870380902</v>
      </c>
      <c r="AK102" s="213">
        <f t="shared" si="42"/>
        <v>8.5719728236713436E-2</v>
      </c>
      <c r="AL102" s="215">
        <f t="shared" si="43"/>
        <v>0.60862703467799006</v>
      </c>
      <c r="AM102" s="423" t="str">
        <f t="shared" si="44"/>
        <v>0.51 pts.</v>
      </c>
      <c r="AN102" s="424" t="str">
        <f t="shared" si="45"/>
        <v>-1.19 pts.</v>
      </c>
      <c r="AO102" s="11"/>
    </row>
    <row r="103" spans="1:41" x14ac:dyDescent="0.35">
      <c r="A103" s="11" t="s">
        <v>108</v>
      </c>
      <c r="B103" s="11"/>
      <c r="C103" s="104" t="s">
        <v>101</v>
      </c>
      <c r="D103" s="11" t="s">
        <v>106</v>
      </c>
      <c r="E103" s="11"/>
      <c r="F103" s="11" t="s">
        <v>98</v>
      </c>
      <c r="G103" s="11"/>
      <c r="H103" s="88" t="s">
        <v>834</v>
      </c>
      <c r="I103" s="122" t="str">
        <f>IF(_epmOfflineCondition_,"T4",_xll.EVPRO($B$1,$H103,"STYLE"))</f>
        <v>T4</v>
      </c>
      <c r="J103" s="122" t="str">
        <f>IF(_epmOfflineCondition_,"Y",_xll.EVPRO($B$1,$H103,"CALC"))</f>
        <v>Y</v>
      </c>
      <c r="K103" s="179" t="str">
        <f t="shared" si="34"/>
        <v>&gt;</v>
      </c>
      <c r="L103" s="90" t="str">
        <f>IF(_epmOfflineCondition_,"702900",_xll.EVPRO($B$1,H103,"JDEID"))</f>
        <v>702900</v>
      </c>
      <c r="M103" s="90" t="str">
        <f>IF(_epmOfflineCondition_,"",IF(AND(I103="N",J103="N"),_xll.EVPRO($B$1,H103,"PSFTID"),""))</f>
        <v/>
      </c>
      <c r="N103" s="90" t="str">
        <f>IF(_epmOfflineCondition_,"Travel - Meals &amp; Entertainment",IF(_xll.EVDES(H103,$B$1)="#NODATA","",_xll.EVDES(H103,$B$1)))</f>
        <v>Travel - Meals &amp; Entertainment</v>
      </c>
      <c r="O103" s="143">
        <v>404.68</v>
      </c>
      <c r="P103" s="143">
        <v>186.81</v>
      </c>
      <c r="Q103" s="143">
        <v>557.86</v>
      </c>
      <c r="R103" s="143"/>
      <c r="S103" s="143"/>
      <c r="T103" s="143"/>
      <c r="U103" s="143"/>
      <c r="V103" s="143"/>
      <c r="W103" s="143"/>
      <c r="X103" s="143"/>
      <c r="Y103" s="143"/>
      <c r="Z103" s="143"/>
      <c r="AA103" s="250">
        <f t="shared" si="35"/>
        <v>1149.3499999999999</v>
      </c>
      <c r="AB103" s="144">
        <f t="shared" si="36"/>
        <v>4.4681142213814822E-3</v>
      </c>
      <c r="AC103" s="140"/>
      <c r="AD103" s="143">
        <v>1810</v>
      </c>
      <c r="AE103" s="144">
        <f t="shared" si="37"/>
        <v>8.3995532592342007E-4</v>
      </c>
      <c r="AF103" s="145">
        <f t="shared" si="38"/>
        <v>-660.65000000000009</v>
      </c>
      <c r="AG103" s="143">
        <v>2861.74</v>
      </c>
      <c r="AH103" s="144">
        <f t="shared" si="39"/>
        <v>1.5697533809674077E-2</v>
      </c>
      <c r="AI103" s="145">
        <f t="shared" si="40"/>
        <v>-1712.3899999999999</v>
      </c>
      <c r="AJ103" s="212">
        <f t="shared" si="41"/>
        <v>0.16335275724843659</v>
      </c>
      <c r="AK103" s="213">
        <f t="shared" si="42"/>
        <v>3.830931064406206E-2</v>
      </c>
      <c r="AL103" s="215">
        <f t="shared" si="43"/>
        <v>0.50632342533616415</v>
      </c>
      <c r="AM103" s="423" t="str">
        <f t="shared" si="44"/>
        <v>0.36 pts.</v>
      </c>
      <c r="AN103" s="424" t="str">
        <f t="shared" si="45"/>
        <v>-1.12 pts.</v>
      </c>
      <c r="AO103" s="11"/>
    </row>
    <row r="104" spans="1:41" x14ac:dyDescent="0.35">
      <c r="A104" s="11" t="s">
        <v>100</v>
      </c>
      <c r="B104" s="11"/>
      <c r="C104" s="53" t="s">
        <v>101</v>
      </c>
      <c r="D104" s="11" t="s">
        <v>106</v>
      </c>
      <c r="E104" s="11"/>
      <c r="F104" s="11" t="s">
        <v>98</v>
      </c>
      <c r="G104" s="11"/>
      <c r="H104" s="88" t="s">
        <v>835</v>
      </c>
      <c r="I104" s="122" t="str">
        <f>IF(_epmOfflineCondition_,"T4",_xll.EVPRO($B$1,$H104,"STYLE"))</f>
        <v>T4</v>
      </c>
      <c r="J104" s="122" t="str">
        <f>IF(_epmOfflineCondition_,"Y",_xll.EVPRO($B$1,$H104,"CALC"))</f>
        <v>Y</v>
      </c>
      <c r="K104" s="179" t="str">
        <f t="shared" si="34"/>
        <v>&gt;</v>
      </c>
      <c r="L104" s="90" t="str">
        <f>IF(_epmOfflineCondition_,"703000",_xll.EVPRO($B$1,H104,"JDEID"))</f>
        <v>703000</v>
      </c>
      <c r="M104" s="90" t="str">
        <f>IF(_epmOfflineCondition_,"",IF(AND(I104="N",J104="N"),_xll.EVPRO($B$1,H104,"PSFTID"),""))</f>
        <v/>
      </c>
      <c r="N104" s="90" t="str">
        <f>IF(_epmOfflineCondition_,"Complimentary Services &amp; Gifts",IF(_xll.EVDES(H104,$B$1)="#NODATA","",_xll.EVDES(H104,$B$1)))</f>
        <v>Complimentary Services &amp; Gifts</v>
      </c>
      <c r="O104" s="143"/>
      <c r="P104" s="143">
        <v>57.69</v>
      </c>
      <c r="Q104" s="143"/>
      <c r="R104" s="143"/>
      <c r="S104" s="143"/>
      <c r="T104" s="143"/>
      <c r="U104" s="143"/>
      <c r="V104" s="143"/>
      <c r="W104" s="143"/>
      <c r="X104" s="143"/>
      <c r="Y104" s="143"/>
      <c r="Z104" s="143"/>
      <c r="AA104" s="250">
        <f t="shared" si="35"/>
        <v>57.69</v>
      </c>
      <c r="AB104" s="144">
        <f t="shared" si="36"/>
        <v>2.2427068293513527E-4</v>
      </c>
      <c r="AC104" s="140"/>
      <c r="AD104" s="143">
        <v>2695.3306499999999</v>
      </c>
      <c r="AE104" s="144">
        <f t="shared" si="37"/>
        <v>1.250805157233223E-3</v>
      </c>
      <c r="AF104" s="145">
        <f t="shared" si="38"/>
        <v>-2637.6406499999998</v>
      </c>
      <c r="AG104" s="143"/>
      <c r="AH104" s="144" t="str">
        <f t="shared" si="39"/>
        <v/>
      </c>
      <c r="AI104" s="145">
        <f t="shared" si="40"/>
        <v>57.69</v>
      </c>
      <c r="AJ104" s="212">
        <f t="shared" si="41"/>
        <v>8.199260943718022E-3</v>
      </c>
      <c r="AK104" s="213">
        <f t="shared" si="42"/>
        <v>5.7047656994094857E-2</v>
      </c>
      <c r="AL104" s="215">
        <f t="shared" si="43"/>
        <v>0</v>
      </c>
      <c r="AM104" s="423" t="str">
        <f t="shared" si="44"/>
        <v>-0.1 pts.</v>
      </c>
      <c r="AN104" s="424">
        <f t="shared" si="45"/>
        <v>0</v>
      </c>
      <c r="AO104" s="11"/>
    </row>
    <row r="105" spans="1:41" x14ac:dyDescent="0.35">
      <c r="A105" s="11" t="s">
        <v>109</v>
      </c>
      <c r="B105" s="11"/>
      <c r="C105" s="106" t="s">
        <v>101</v>
      </c>
      <c r="D105" s="11" t="s">
        <v>106</v>
      </c>
      <c r="E105" s="11"/>
      <c r="F105" s="11" t="s">
        <v>98</v>
      </c>
      <c r="G105" s="76"/>
      <c r="H105" s="88" t="s">
        <v>836</v>
      </c>
      <c r="I105" s="122" t="str">
        <f>IF(_epmOfflineCondition_,"N",_xll.EVPRO($B$1,$H105,"STYLE"))</f>
        <v>N</v>
      </c>
      <c r="J105" s="122" t="str">
        <f>IF(_epmOfflineCondition_,"N",_xll.EVPRO($B$1,$H105,"CALC"))</f>
        <v>N</v>
      </c>
      <c r="K105" s="179" t="str">
        <f t="shared" si="34"/>
        <v/>
      </c>
      <c r="L105" s="90" t="str">
        <f>IF(_epmOfflineCondition_,"703100",_xll.EVPRO($B$1,H105,"JDEID"))</f>
        <v>703100</v>
      </c>
      <c r="M105" s="90" t="str">
        <f>IF(_epmOfflineCondition_,"690035",IF(AND(I105="N",J105="N"),_xll.EVPRO($B$1,H105,"PSFTID"),""))</f>
        <v>690035</v>
      </c>
      <c r="N105" s="90" t="str">
        <f>IF(_epmOfflineCondition_,"Training",IF(_xll.EVDES(H105,$B$1)="#NODATA","",_xll.EVDES(H105,$B$1)))</f>
        <v>Training</v>
      </c>
      <c r="O105" s="143"/>
      <c r="P105" s="143"/>
      <c r="Q105" s="143"/>
      <c r="R105" s="143"/>
      <c r="S105" s="143"/>
      <c r="T105" s="143"/>
      <c r="U105" s="143"/>
      <c r="V105" s="143"/>
      <c r="W105" s="143"/>
      <c r="X105" s="143"/>
      <c r="Y105" s="143"/>
      <c r="Z105" s="143"/>
      <c r="AA105" s="250">
        <f t="shared" si="35"/>
        <v>0</v>
      </c>
      <c r="AB105" s="144" t="str">
        <f t="shared" si="36"/>
        <v/>
      </c>
      <c r="AC105" s="140"/>
      <c r="AD105" s="143">
        <v>2200</v>
      </c>
      <c r="AE105" s="144">
        <f t="shared" si="37"/>
        <v>1.0209401751555382E-3</v>
      </c>
      <c r="AF105" s="145">
        <f t="shared" si="38"/>
        <v>-2200</v>
      </c>
      <c r="AG105" s="143"/>
      <c r="AH105" s="144" t="str">
        <f t="shared" si="39"/>
        <v/>
      </c>
      <c r="AI105" s="145">
        <f t="shared" si="40"/>
        <v>0</v>
      </c>
      <c r="AJ105" s="212">
        <f t="shared" si="41"/>
        <v>0</v>
      </c>
      <c r="AK105" s="213">
        <f t="shared" si="42"/>
        <v>4.6563802992782607E-2</v>
      </c>
      <c r="AL105" s="215">
        <f t="shared" si="43"/>
        <v>0</v>
      </c>
      <c r="AM105" s="423">
        <f t="shared" si="44"/>
        <v>0</v>
      </c>
      <c r="AN105" s="424">
        <f t="shared" si="45"/>
        <v>0</v>
      </c>
      <c r="AO105" s="11"/>
    </row>
    <row r="106" spans="1:41" x14ac:dyDescent="0.35">
      <c r="A106" s="11" t="s">
        <v>109</v>
      </c>
      <c r="B106" s="11"/>
      <c r="C106" s="196" t="s">
        <v>101</v>
      </c>
      <c r="D106" s="11" t="s">
        <v>107</v>
      </c>
      <c r="E106" s="11"/>
      <c r="F106" s="11" t="s">
        <v>99</v>
      </c>
      <c r="G106" s="11"/>
      <c r="H106" s="88" t="s">
        <v>837</v>
      </c>
      <c r="I106" s="122" t="str">
        <f>IF(_epmOfflineCondition_,"N",_xll.EVPRO($B$1,$H106,"STYLE"))</f>
        <v>N</v>
      </c>
      <c r="J106" s="122" t="str">
        <f>IF(_epmOfflineCondition_,"N",_xll.EVPRO($B$1,$H106,"CALC"))</f>
        <v>N</v>
      </c>
      <c r="K106" s="179" t="str">
        <f t="shared" si="34"/>
        <v/>
      </c>
      <c r="L106" s="90" t="str">
        <f>IF(_epmOfflineCondition_,"703200",_xll.EVPRO($B$1,H106,"JDEID"))</f>
        <v>703200</v>
      </c>
      <c r="M106" s="90" t="str">
        <f>IF(_epmOfflineCondition_,"590035",IF(AND(I106="N",J106="N"),_xll.EVPRO($B$1,H106,"PSFTID"),""))</f>
        <v>590035</v>
      </c>
      <c r="N106" s="90" t="str">
        <f>IF(_epmOfflineCondition_,"Uniform Costs",IF(_xll.EVDES(H106,$B$1)="#NODATA","",_xll.EVDES(H106,$B$1)))</f>
        <v>Uniform Costs</v>
      </c>
      <c r="O106" s="143">
        <v>69.55</v>
      </c>
      <c r="P106" s="143">
        <v>38</v>
      </c>
      <c r="Q106" s="143">
        <v>782.81</v>
      </c>
      <c r="R106" s="143"/>
      <c r="S106" s="143"/>
      <c r="T106" s="143"/>
      <c r="U106" s="143"/>
      <c r="V106" s="143"/>
      <c r="W106" s="143"/>
      <c r="X106" s="143"/>
      <c r="Y106" s="143"/>
      <c r="Z106" s="143"/>
      <c r="AA106" s="250">
        <f t="shared" si="35"/>
        <v>890.3599999999999</v>
      </c>
      <c r="AB106" s="144">
        <f t="shared" si="36"/>
        <v>3.4612869692863067E-3</v>
      </c>
      <c r="AC106" s="140"/>
      <c r="AD106" s="143">
        <v>2400</v>
      </c>
      <c r="AE106" s="144">
        <f t="shared" si="37"/>
        <v>1.1137529183514962E-3</v>
      </c>
      <c r="AF106" s="145">
        <f t="shared" si="38"/>
        <v>-1509.64</v>
      </c>
      <c r="AG106" s="143">
        <v>2807.66</v>
      </c>
      <c r="AH106" s="144">
        <f t="shared" si="39"/>
        <v>1.5400888192522565E-2</v>
      </c>
      <c r="AI106" s="145">
        <f t="shared" si="40"/>
        <v>-1917.3</v>
      </c>
      <c r="AJ106" s="212">
        <f t="shared" si="41"/>
        <v>0.12654349061967024</v>
      </c>
      <c r="AK106" s="213">
        <f t="shared" si="42"/>
        <v>5.0796875992126483E-2</v>
      </c>
      <c r="AL106" s="215">
        <f t="shared" si="43"/>
        <v>0.49675513092710544</v>
      </c>
      <c r="AM106" s="423" t="str">
        <f t="shared" si="44"/>
        <v>0.23 pts.</v>
      </c>
      <c r="AN106" s="424" t="str">
        <f t="shared" si="45"/>
        <v>-1.19 pts.</v>
      </c>
      <c r="AO106" s="11"/>
    </row>
    <row r="107" spans="1:41" x14ac:dyDescent="0.35">
      <c r="A107" s="11" t="s">
        <v>110</v>
      </c>
      <c r="B107" s="11"/>
      <c r="C107" s="106" t="s">
        <v>101</v>
      </c>
      <c r="D107" s="11" t="s">
        <v>106</v>
      </c>
      <c r="E107" s="11"/>
      <c r="F107" s="11" t="s">
        <v>98</v>
      </c>
      <c r="G107" s="11"/>
      <c r="H107" s="88" t="s">
        <v>838</v>
      </c>
      <c r="I107" s="122" t="str">
        <f>IF(_epmOfflineCondition_,"N",_xll.EVPRO($B$1,$H107,"STYLE"))</f>
        <v>N</v>
      </c>
      <c r="J107" s="122" t="str">
        <f>IF(_epmOfflineCondition_,"N",_xll.EVPRO($B$1,$H107,"CALC"))</f>
        <v>N</v>
      </c>
      <c r="K107" s="179" t="str">
        <f t="shared" si="34"/>
        <v/>
      </c>
      <c r="L107" s="90" t="str">
        <f>IF(_epmOfflineCondition_,"703300",_xll.EVPRO($B$1,H107,"JDEID"))</f>
        <v>703300</v>
      </c>
      <c r="M107" s="90" t="str">
        <f>IF(_epmOfflineCondition_,"590115",IF(AND(I107="N",J107="N"),_xll.EVPRO($B$1,H107,"PSFTID"),""))</f>
        <v>590115</v>
      </c>
      <c r="N107" s="90" t="str">
        <f>IF(_epmOfflineCondition_,"Uniforms Laundry",IF(_xll.EVDES(H107,$B$1)="#NODATA","",_xll.EVDES(H107,$B$1)))</f>
        <v>Uniforms Laundry</v>
      </c>
      <c r="O107" s="143">
        <v>851.64</v>
      </c>
      <c r="P107" s="143">
        <v>181.5</v>
      </c>
      <c r="Q107" s="143">
        <v>290.5</v>
      </c>
      <c r="R107" s="143"/>
      <c r="S107" s="143"/>
      <c r="T107" s="143">
        <v>66</v>
      </c>
      <c r="U107" s="143">
        <v>105.6</v>
      </c>
      <c r="V107" s="143"/>
      <c r="W107" s="143"/>
      <c r="X107" s="143"/>
      <c r="Y107" s="143"/>
      <c r="Z107" s="143"/>
      <c r="AA107" s="250">
        <f t="shared" si="35"/>
        <v>1495.2399999999998</v>
      </c>
      <c r="AB107" s="144">
        <f t="shared" si="36"/>
        <v>5.8127664404911015E-3</v>
      </c>
      <c r="AC107" s="140"/>
      <c r="AD107" s="143">
        <v>4169.6588749439998</v>
      </c>
      <c r="AE107" s="144">
        <f t="shared" si="37"/>
        <v>1.9349873918746235E-3</v>
      </c>
      <c r="AF107" s="145">
        <f t="shared" si="38"/>
        <v>-2674.418874944</v>
      </c>
      <c r="AG107" s="143">
        <v>1731.1</v>
      </c>
      <c r="AH107" s="144">
        <f t="shared" si="39"/>
        <v>9.495621816771195E-3</v>
      </c>
      <c r="AI107" s="145">
        <f t="shared" si="40"/>
        <v>-235.86000000000013</v>
      </c>
      <c r="AJ107" s="212">
        <f t="shared" si="41"/>
        <v>0.21251279135872653</v>
      </c>
      <c r="AK107" s="213">
        <f t="shared" si="42"/>
        <v>8.8252351999999992E-2</v>
      </c>
      <c r="AL107" s="215">
        <f t="shared" si="43"/>
        <v>0.30628096249115355</v>
      </c>
      <c r="AM107" s="423" t="str">
        <f t="shared" si="44"/>
        <v>0.39 pts.</v>
      </c>
      <c r="AN107" s="424" t="str">
        <f t="shared" si="45"/>
        <v>-0.37 pts.</v>
      </c>
      <c r="AO107" s="11"/>
    </row>
    <row r="108" spans="1:41" x14ac:dyDescent="0.35">
      <c r="A108" s="11" t="s">
        <v>110</v>
      </c>
      <c r="B108" s="11"/>
      <c r="C108" s="109" t="s">
        <v>101</v>
      </c>
      <c r="D108" s="11" t="s">
        <v>107</v>
      </c>
      <c r="E108" s="11"/>
      <c r="F108" s="11" t="s">
        <v>99</v>
      </c>
      <c r="G108" s="11"/>
      <c r="H108" s="88" t="s">
        <v>864</v>
      </c>
      <c r="I108" s="122" t="str">
        <f>IF(_epmOfflineCondition_,"N",_xll.EVPRO($B$1,$H108,"STYLE"))</f>
        <v>N</v>
      </c>
      <c r="J108" s="122" t="str">
        <f>IF(_epmOfflineCondition_,"N",_xll.EVPRO($B$1,$H108,"CALC"))</f>
        <v>N</v>
      </c>
      <c r="K108" s="179" t="str">
        <f t="shared" si="34"/>
        <v/>
      </c>
      <c r="L108" s="90" t="str">
        <f>IF(_epmOfflineCondition_,"703400",_xll.EVPRO($B$1,H108,"JDEID"))</f>
        <v>703400</v>
      </c>
      <c r="M108" s="90" t="str">
        <f>IF(_epmOfflineCondition_,"590010",IF(AND(I108="N",J108="N"),_xll.EVPRO($B$1,H108,"PSFTID"),""))</f>
        <v>590010</v>
      </c>
      <c r="N108" s="90" t="str">
        <f>IF(_epmOfflineCondition_,"Linen",IF(_xll.EVDES(H108,$B$1)="#NODATA","",_xll.EVDES(H108,$B$1)))</f>
        <v>Linen</v>
      </c>
      <c r="O108" s="143">
        <v>2412.15</v>
      </c>
      <c r="P108" s="143">
        <v>2282.4499999999998</v>
      </c>
      <c r="Q108" s="143">
        <v>1194.55</v>
      </c>
      <c r="R108" s="143"/>
      <c r="S108" s="143"/>
      <c r="T108" s="143"/>
      <c r="U108" s="143"/>
      <c r="V108" s="143"/>
      <c r="W108" s="143"/>
      <c r="X108" s="143"/>
      <c r="Y108" s="143"/>
      <c r="Z108" s="143">
        <v>341.99</v>
      </c>
      <c r="AA108" s="250">
        <f t="shared" si="35"/>
        <v>6231.14</v>
      </c>
      <c r="AB108" s="144">
        <f t="shared" si="36"/>
        <v>2.4223644015677569E-2</v>
      </c>
      <c r="AC108" s="140"/>
      <c r="AD108" s="143">
        <v>22206.09</v>
      </c>
      <c r="AE108" s="144">
        <f t="shared" si="37"/>
        <v>1.0305040642781657E-2</v>
      </c>
      <c r="AF108" s="145">
        <f t="shared" si="38"/>
        <v>-15974.95</v>
      </c>
      <c r="AG108" s="143">
        <v>4930.3</v>
      </c>
      <c r="AH108" s="144">
        <f t="shared" si="39"/>
        <v>2.70442286657195E-2</v>
      </c>
      <c r="AI108" s="145">
        <f t="shared" si="40"/>
        <v>1300.8400000000001</v>
      </c>
      <c r="AJ108" s="212">
        <f t="shared" si="41"/>
        <v>0.88560830017055148</v>
      </c>
      <c r="AK108" s="213">
        <f t="shared" si="42"/>
        <v>0.47000000000000003</v>
      </c>
      <c r="AL108" s="215">
        <f t="shared" si="43"/>
        <v>0.87231068648266108</v>
      </c>
      <c r="AM108" s="423" t="str">
        <f t="shared" si="44"/>
        <v>1.39 pts.</v>
      </c>
      <c r="AN108" s="424" t="str">
        <f t="shared" si="45"/>
        <v>-0.28 pts.</v>
      </c>
      <c r="AO108" s="11"/>
    </row>
    <row r="109" spans="1:41" x14ac:dyDescent="0.35">
      <c r="A109" s="11"/>
      <c r="B109" s="11"/>
      <c r="C109" s="208"/>
      <c r="D109" s="11"/>
      <c r="E109" s="11"/>
      <c r="F109" s="11"/>
      <c r="G109" s="11"/>
      <c r="H109" s="88" t="s">
        <v>865</v>
      </c>
      <c r="I109" s="122" t="str">
        <f>IF(_epmOfflineCondition_,"N",_xll.EVPRO($B$1,$H109,"STYLE"))</f>
        <v>N</v>
      </c>
      <c r="J109" s="122" t="str">
        <f>IF(_epmOfflineCondition_,"N",_xll.EVPRO($B$1,$H109,"CALC"))</f>
        <v>N</v>
      </c>
      <c r="K109" s="179" t="str">
        <f t="shared" si="34"/>
        <v/>
      </c>
      <c r="L109" s="90" t="str">
        <f>IF(_epmOfflineCondition_,"703500",_xll.EVPRO($B$1,H109,"JDEID"))</f>
        <v>703500</v>
      </c>
      <c r="M109" s="90" t="str">
        <f>IF(_epmOfflineCondition_,"590004",IF(AND(I109="N",J109="N"),_xll.EVPRO($B$1,H109,"PSFTID"),""))</f>
        <v>590004</v>
      </c>
      <c r="N109" s="90" t="str">
        <f>IF(_epmOfflineCondition_,"China",IF(_xll.EVDES(H109,$B$1)="#NODATA","",_xll.EVDES(H109,$B$1)))</f>
        <v>China</v>
      </c>
      <c r="O109" s="143"/>
      <c r="P109" s="143"/>
      <c r="Q109" s="143"/>
      <c r="R109" s="143"/>
      <c r="S109" s="143"/>
      <c r="T109" s="143"/>
      <c r="U109" s="143"/>
      <c r="V109" s="143"/>
      <c r="W109" s="143"/>
      <c r="X109" s="143"/>
      <c r="Y109" s="143"/>
      <c r="Z109" s="143"/>
      <c r="AA109" s="250">
        <f t="shared" si="35"/>
        <v>0</v>
      </c>
      <c r="AB109" s="144" t="str">
        <f t="shared" si="36"/>
        <v/>
      </c>
      <c r="AC109" s="140"/>
      <c r="AD109" s="143">
        <v>2150</v>
      </c>
      <c r="AE109" s="144">
        <f t="shared" si="37"/>
        <v>9.9773698935654866E-4</v>
      </c>
      <c r="AF109" s="145">
        <f t="shared" si="38"/>
        <v>-2150</v>
      </c>
      <c r="AG109" s="143"/>
      <c r="AH109" s="144" t="str">
        <f t="shared" si="39"/>
        <v/>
      </c>
      <c r="AI109" s="145">
        <f t="shared" si="40"/>
        <v>0</v>
      </c>
      <c r="AJ109" s="212">
        <f t="shared" si="41"/>
        <v>0</v>
      </c>
      <c r="AK109" s="213">
        <f t="shared" si="42"/>
        <v>4.5505534742946642E-2</v>
      </c>
      <c r="AL109" s="215">
        <f t="shared" si="43"/>
        <v>0</v>
      </c>
      <c r="AM109" s="423">
        <f t="shared" si="44"/>
        <v>0</v>
      </c>
      <c r="AN109" s="424">
        <f t="shared" si="45"/>
        <v>0</v>
      </c>
      <c r="AO109" s="11"/>
    </row>
    <row r="110" spans="1:41" x14ac:dyDescent="0.35">
      <c r="A110" s="11"/>
      <c r="B110" s="11"/>
      <c r="C110" s="11"/>
      <c r="D110" s="11"/>
      <c r="E110" s="11"/>
      <c r="F110" s="11"/>
      <c r="G110" s="11"/>
      <c r="H110" s="88" t="s">
        <v>866</v>
      </c>
      <c r="I110" s="122" t="str">
        <f>IF(_epmOfflineCondition_,"N",_xll.EVPRO($B$1,$H110,"STYLE"))</f>
        <v>N</v>
      </c>
      <c r="J110" s="122" t="str">
        <f>IF(_epmOfflineCondition_,"N",_xll.EVPRO($B$1,$H110,"CALC"))</f>
        <v>N</v>
      </c>
      <c r="K110" s="179" t="str">
        <f t="shared" si="34"/>
        <v/>
      </c>
      <c r="L110" s="90" t="str">
        <f>IF(_epmOfflineCondition_,"703510",_xll.EVPRO($B$1,H110,"JDEID"))</f>
        <v>703510</v>
      </c>
      <c r="M110" s="90" t="str">
        <f>IF(_epmOfflineCondition_,"590003",IF(AND(I110="N",J110="N"),_xll.EVPRO($B$1,H110,"PSFTID"),""))</f>
        <v>590003</v>
      </c>
      <c r="N110" s="90" t="str">
        <f>IF(_epmOfflineCondition_,"Glassware",IF(_xll.EVDES(H110,$B$1)="#NODATA","",_xll.EVDES(H110,$B$1)))</f>
        <v>Glassware</v>
      </c>
      <c r="O110" s="143"/>
      <c r="P110" s="143"/>
      <c r="Q110" s="143"/>
      <c r="R110" s="143"/>
      <c r="S110" s="143">
        <v>1081.58</v>
      </c>
      <c r="T110" s="143"/>
      <c r="U110" s="143"/>
      <c r="V110" s="143"/>
      <c r="W110" s="143"/>
      <c r="X110" s="143"/>
      <c r="Y110" s="143"/>
      <c r="Z110" s="143"/>
      <c r="AA110" s="250">
        <f t="shared" si="35"/>
        <v>1081.58</v>
      </c>
      <c r="AB110" s="144">
        <f t="shared" si="36"/>
        <v>4.2046573972782733E-3</v>
      </c>
      <c r="AC110" s="140"/>
      <c r="AD110" s="143">
        <v>1150</v>
      </c>
      <c r="AE110" s="144">
        <f t="shared" si="37"/>
        <v>5.3367327337675865E-4</v>
      </c>
      <c r="AF110" s="145">
        <f t="shared" si="38"/>
        <v>-68.420000000000073</v>
      </c>
      <c r="AG110" s="143">
        <v>3884.55</v>
      </c>
      <c r="AH110" s="144">
        <f t="shared" si="39"/>
        <v>2.1307964720893392E-2</v>
      </c>
      <c r="AI110" s="145">
        <f t="shared" si="40"/>
        <v>-2802.9700000000003</v>
      </c>
      <c r="AJ110" s="212">
        <f t="shared" si="41"/>
        <v>0.15372086412734506</v>
      </c>
      <c r="AK110" s="213">
        <f t="shared" si="42"/>
        <v>2.4340169746227273E-2</v>
      </c>
      <c r="AL110" s="215">
        <f t="shared" si="43"/>
        <v>0.68728768577494692</v>
      </c>
      <c r="AM110" s="423" t="str">
        <f t="shared" si="44"/>
        <v>0.37 pts.</v>
      </c>
      <c r="AN110" s="424" t="str">
        <f t="shared" si="45"/>
        <v>-1.71 pts.</v>
      </c>
      <c r="AO110" s="11"/>
    </row>
    <row r="111" spans="1:41" x14ac:dyDescent="0.35">
      <c r="A111" s="61" t="str">
        <f>IF(_epmOfflineCondition_,"Evdre:Ok",_xll.EVDRE($B$1,A114:B121))</f>
        <v>Evdre:Ok</v>
      </c>
      <c r="B111" s="11" t="s">
        <v>736</v>
      </c>
      <c r="C111" s="11"/>
      <c r="D111" s="11"/>
      <c r="E111" s="11"/>
      <c r="F111" s="11"/>
      <c r="G111" s="76"/>
      <c r="H111" s="88" t="s">
        <v>867</v>
      </c>
      <c r="I111" s="122" t="str">
        <f>IF(_epmOfflineCondition_,"N",_xll.EVPRO($B$1,$H111,"STYLE"))</f>
        <v>N</v>
      </c>
      <c r="J111" s="122" t="str">
        <f>IF(_epmOfflineCondition_,"N",_xll.EVPRO($B$1,$H111,"CALC"))</f>
        <v>N</v>
      </c>
      <c r="K111" s="179" t="str">
        <f t="shared" si="34"/>
        <v/>
      </c>
      <c r="L111" s="90" t="str">
        <f>IF(_epmOfflineCondition_,"703520",_xll.EVPRO($B$1,H111,"JDEID"))</f>
        <v>703520</v>
      </c>
      <c r="M111" s="90" t="str">
        <f>IF(_epmOfflineCondition_,"590008",IF(AND(I111="N",J111="N"),_xll.EVPRO($B$1,H111,"PSFTID"),""))</f>
        <v>590008</v>
      </c>
      <c r="N111" s="90" t="str">
        <f>IF(_epmOfflineCondition_,"Flatware",IF(_xll.EVDES(H111,$B$1)="#NODATA","",_xll.EVDES(H111,$B$1)))</f>
        <v>Flatware</v>
      </c>
      <c r="O111" s="143"/>
      <c r="P111" s="143"/>
      <c r="Q111" s="143"/>
      <c r="R111" s="143"/>
      <c r="S111" s="143"/>
      <c r="T111" s="143"/>
      <c r="U111" s="143"/>
      <c r="V111" s="143"/>
      <c r="W111" s="143"/>
      <c r="X111" s="143"/>
      <c r="Y111" s="143"/>
      <c r="Z111" s="143"/>
      <c r="AA111" s="250">
        <f t="shared" si="35"/>
        <v>0</v>
      </c>
      <c r="AB111" s="144" t="str">
        <f t="shared" si="36"/>
        <v/>
      </c>
      <c r="AC111" s="140"/>
      <c r="AD111" s="143">
        <v>1800</v>
      </c>
      <c r="AE111" s="144">
        <f t="shared" si="37"/>
        <v>8.3531468876362218E-4</v>
      </c>
      <c r="AF111" s="145">
        <f t="shared" si="38"/>
        <v>-1800</v>
      </c>
      <c r="AG111" s="143">
        <v>513.79</v>
      </c>
      <c r="AH111" s="144">
        <f t="shared" si="39"/>
        <v>2.8182979222684261E-3</v>
      </c>
      <c r="AI111" s="145">
        <f t="shared" si="40"/>
        <v>-513.79</v>
      </c>
      <c r="AJ111" s="212">
        <f t="shared" si="41"/>
        <v>0</v>
      </c>
      <c r="AK111" s="213">
        <f t="shared" si="42"/>
        <v>3.8097656994094863E-2</v>
      </c>
      <c r="AL111" s="215">
        <f t="shared" si="43"/>
        <v>9.0904104741684352E-2</v>
      </c>
      <c r="AM111" s="423">
        <f t="shared" si="44"/>
        <v>0</v>
      </c>
      <c r="AN111" s="424">
        <f t="shared" si="45"/>
        <v>0</v>
      </c>
      <c r="AO111" s="11"/>
    </row>
    <row r="112" spans="1:41" x14ac:dyDescent="0.35">
      <c r="A112" s="11"/>
      <c r="B112" s="11"/>
      <c r="C112" s="11"/>
      <c r="D112" s="11"/>
      <c r="E112" s="11"/>
      <c r="F112" s="11"/>
      <c r="G112" s="11"/>
      <c r="H112" s="88" t="s">
        <v>879</v>
      </c>
      <c r="I112" s="122" t="str">
        <f>IF(_epmOfflineCondition_,"N",_xll.EVPRO($B$1,$H112,"STYLE"))</f>
        <v>N</v>
      </c>
      <c r="J112" s="122" t="str">
        <f>IF(_epmOfflineCondition_,"N",_xll.EVPRO($B$1,$H112,"CALC"))</f>
        <v>N</v>
      </c>
      <c r="K112" s="179" t="str">
        <f t="shared" si="34"/>
        <v/>
      </c>
      <c r="L112" s="90" t="str">
        <f>IF(_epmOfflineCondition_,"703700",_xll.EVPRO($B$1,H112,"JDEID"))</f>
        <v>703700</v>
      </c>
      <c r="M112" s="90" t="str">
        <f>IF(_epmOfflineCondition_,"590046",IF(AND(I112="N",J112="N"),_xll.EVPRO($B$1,H112,"PSFTID"),""))</f>
        <v>590046</v>
      </c>
      <c r="N112" s="90" t="str">
        <f>IF(_epmOfflineCondition_,"Menus and Beverage Lists",IF(_xll.EVDES(H112,$B$1)="#NODATA","",_xll.EVDES(H112,$B$1)))</f>
        <v>Menus and Beverage Lists</v>
      </c>
      <c r="O112" s="143"/>
      <c r="P112" s="143">
        <v>1293.3900000000001</v>
      </c>
      <c r="Q112" s="143"/>
      <c r="R112" s="143"/>
      <c r="S112" s="143"/>
      <c r="T112" s="143"/>
      <c r="U112" s="143"/>
      <c r="V112" s="143"/>
      <c r="W112" s="143"/>
      <c r="X112" s="143"/>
      <c r="Y112" s="143"/>
      <c r="Z112" s="143"/>
      <c r="AA112" s="250">
        <f t="shared" si="35"/>
        <v>1293.3900000000001</v>
      </c>
      <c r="AB112" s="144">
        <f t="shared" si="36"/>
        <v>5.0280717386284391E-3</v>
      </c>
      <c r="AC112" s="140"/>
      <c r="AD112" s="143"/>
      <c r="AE112" s="144" t="str">
        <f t="shared" si="37"/>
        <v/>
      </c>
      <c r="AF112" s="145">
        <f t="shared" si="38"/>
        <v>1293.3900000000001</v>
      </c>
      <c r="AG112" s="143">
        <v>2109.5300000000002</v>
      </c>
      <c r="AH112" s="144">
        <f t="shared" si="39"/>
        <v>1.157142804640595E-2</v>
      </c>
      <c r="AI112" s="145">
        <f t="shared" si="40"/>
        <v>-816.1400000000001</v>
      </c>
      <c r="AJ112" s="212">
        <f t="shared" si="41"/>
        <v>0.18382461625923821</v>
      </c>
      <c r="AK112" s="213">
        <f t="shared" si="42"/>
        <v>0</v>
      </c>
      <c r="AL112" s="215">
        <f t="shared" si="43"/>
        <v>0.37323602264685068</v>
      </c>
      <c r="AM112" s="423">
        <f t="shared" si="44"/>
        <v>0</v>
      </c>
      <c r="AN112" s="424" t="str">
        <f t="shared" si="45"/>
        <v>-0.65 pts.</v>
      </c>
      <c r="AO112" s="11"/>
    </row>
    <row r="113" spans="1:41" x14ac:dyDescent="0.35">
      <c r="A113" s="62" t="s">
        <v>0</v>
      </c>
      <c r="B113" s="63" t="s">
        <v>1</v>
      </c>
      <c r="C113" s="11"/>
      <c r="D113" s="11"/>
      <c r="E113" s="11"/>
      <c r="F113" s="11"/>
      <c r="G113" s="11"/>
      <c r="H113" s="88" t="s">
        <v>880</v>
      </c>
      <c r="I113" s="122" t="str">
        <f>IF(_epmOfflineCondition_,"N",_xll.EVPRO($B$1,$H113,"STYLE"))</f>
        <v>N</v>
      </c>
      <c r="J113" s="122" t="str">
        <f>IF(_epmOfflineCondition_,"N",_xll.EVPRO($B$1,$H113,"CALC"))</f>
        <v>N</v>
      </c>
      <c r="K113" s="179" t="str">
        <f t="shared" si="34"/>
        <v/>
      </c>
      <c r="L113" s="90" t="str">
        <f>IF(_epmOfflineCondition_,"704100",_xll.EVPRO($B$1,H113,"JDEID"))</f>
        <v>704100</v>
      </c>
      <c r="M113" s="90" t="str">
        <f>IF(_epmOfflineCondition_,"690241",IF(AND(I113="N",J113="N"),_xll.EVPRO($B$1,H113,"PSFTID"),""))</f>
        <v>690241</v>
      </c>
      <c r="N113" s="90" t="str">
        <f>IF(_epmOfflineCondition_,"Music and Entertainment",IF(_xll.EVDES(H113,$B$1)="#NODATA","",_xll.EVDES(H113,$B$1)))</f>
        <v>Music and Entertainment</v>
      </c>
      <c r="O113" s="143"/>
      <c r="P113" s="143">
        <v>1500</v>
      </c>
      <c r="Q113" s="143">
        <v>1150</v>
      </c>
      <c r="R113" s="143"/>
      <c r="S113" s="143"/>
      <c r="T113" s="143"/>
      <c r="U113" s="143">
        <v>450</v>
      </c>
      <c r="V113" s="143">
        <v>450</v>
      </c>
      <c r="W113" s="143">
        <v>150</v>
      </c>
      <c r="X113" s="143"/>
      <c r="Y113" s="143"/>
      <c r="Z113" s="143"/>
      <c r="AA113" s="250">
        <f t="shared" si="35"/>
        <v>3700</v>
      </c>
      <c r="AB113" s="144">
        <f t="shared" si="36"/>
        <v>1.4383801817646048E-2</v>
      </c>
      <c r="AC113" s="140"/>
      <c r="AD113" s="143">
        <v>1800</v>
      </c>
      <c r="AE113" s="144">
        <f t="shared" si="37"/>
        <v>8.3531468876362218E-4</v>
      </c>
      <c r="AF113" s="145">
        <f t="shared" si="38"/>
        <v>1900</v>
      </c>
      <c r="AG113" s="143"/>
      <c r="AH113" s="144" t="str">
        <f t="shared" si="39"/>
        <v/>
      </c>
      <c r="AI113" s="145">
        <f t="shared" si="40"/>
        <v>3700</v>
      </c>
      <c r="AJ113" s="212">
        <f t="shared" si="41"/>
        <v>0.52586696986924386</v>
      </c>
      <c r="AK113" s="213">
        <f t="shared" si="42"/>
        <v>3.8097656994094863E-2</v>
      </c>
      <c r="AL113" s="215">
        <f t="shared" si="43"/>
        <v>0</v>
      </c>
      <c r="AM113" s="423" t="str">
        <f t="shared" si="44"/>
        <v>1.35 pts.</v>
      </c>
      <c r="AN113" s="424">
        <f t="shared" si="45"/>
        <v>0</v>
      </c>
      <c r="AO113" s="11"/>
    </row>
    <row r="114" spans="1:41" x14ac:dyDescent="0.35">
      <c r="A114" s="65" t="s">
        <v>2</v>
      </c>
      <c r="B114" s="66" t="str">
        <f>IF(_epmOfflineCondition_,"'Venue1'!$B$2:$B$10",_xll.EVRNG($B$2:$B$10))</f>
        <v>'Venue1'!$B$2:$B$10</v>
      </c>
      <c r="C114" s="11"/>
      <c r="D114" s="11"/>
      <c r="E114" s="11"/>
      <c r="F114" s="11"/>
      <c r="G114" s="11"/>
      <c r="H114" s="88" t="s">
        <v>845</v>
      </c>
      <c r="I114" s="122" t="str">
        <f>IF(_epmOfflineCondition_,"N",_xll.EVPRO($B$1,$H114,"STYLE"))</f>
        <v>N</v>
      </c>
      <c r="J114" s="122" t="str">
        <f>IF(_epmOfflineCondition_,"N",_xll.EVPRO($B$1,$H114,"CALC"))</f>
        <v>N</v>
      </c>
      <c r="K114" s="179" t="str">
        <f t="shared" si="34"/>
        <v/>
      </c>
      <c r="L114" s="90" t="str">
        <f>IF(_epmOfflineCondition_,"705500",_xll.EVPRO($B$1,H114,"JDEID"))</f>
        <v>705500</v>
      </c>
      <c r="M114" s="90" t="str">
        <f>IF(_epmOfflineCondition_,"690105",IF(AND(I114="N",J114="N"),_xll.EVPRO($B$1,H114,"PSFTID"),""))</f>
        <v>690105</v>
      </c>
      <c r="N114" s="90" t="str">
        <f>IF(_epmOfflineCondition_,"Licenses &amp; Permits",IF(_xll.EVDES(H114,$B$1)="#NODATA","",_xll.EVDES(H114,$B$1)))</f>
        <v>Licenses &amp; Permits</v>
      </c>
      <c r="O114" s="143"/>
      <c r="P114" s="143"/>
      <c r="Q114" s="143">
        <v>1870</v>
      </c>
      <c r="R114" s="143"/>
      <c r="S114" s="143"/>
      <c r="T114" s="143"/>
      <c r="U114" s="143"/>
      <c r="V114" s="143"/>
      <c r="W114" s="143"/>
      <c r="X114" s="143"/>
      <c r="Y114" s="143"/>
      <c r="Z114" s="143"/>
      <c r="AA114" s="250">
        <f t="shared" si="35"/>
        <v>1870</v>
      </c>
      <c r="AB114" s="144">
        <f t="shared" si="36"/>
        <v>7.2696511889184081E-3</v>
      </c>
      <c r="AC114" s="140"/>
      <c r="AD114" s="143">
        <v>1870</v>
      </c>
      <c r="AE114" s="144">
        <f t="shared" si="37"/>
        <v>8.677991488822075E-4</v>
      </c>
      <c r="AF114" s="145">
        <f t="shared" si="38"/>
        <v>0</v>
      </c>
      <c r="AG114" s="143">
        <v>1870</v>
      </c>
      <c r="AH114" s="144">
        <f t="shared" si="39"/>
        <v>1.0257531510231723E-2</v>
      </c>
      <c r="AI114" s="145">
        <f t="shared" si="40"/>
        <v>0</v>
      </c>
      <c r="AJ114" s="212">
        <f t="shared" si="41"/>
        <v>0.26577600909607729</v>
      </c>
      <c r="AK114" s="213">
        <f t="shared" si="42"/>
        <v>3.9579232543865216E-2</v>
      </c>
      <c r="AL114" s="215">
        <f t="shared" si="43"/>
        <v>0.33085633404104742</v>
      </c>
      <c r="AM114" s="423" t="str">
        <f t="shared" si="44"/>
        <v>0.64 pts.</v>
      </c>
      <c r="AN114" s="424" t="str">
        <f t="shared" si="45"/>
        <v>-0.3 pts.</v>
      </c>
      <c r="AO114" s="11"/>
    </row>
    <row r="115" spans="1:41" x14ac:dyDescent="0.35">
      <c r="A115" s="65" t="s">
        <v>3</v>
      </c>
      <c r="B115" s="66" t="str">
        <f>IF(_epmOfflineCondition_,"'Venue1'!$O$16:$AN$18",_xll.EVRNG($O$16:$AN$18))</f>
        <v>'Venue1'!$O$16:$AN$18</v>
      </c>
      <c r="C115" s="11"/>
      <c r="D115" s="11"/>
      <c r="E115" s="11"/>
      <c r="F115" s="11"/>
      <c r="G115" s="11"/>
      <c r="H115" s="88" t="s">
        <v>848</v>
      </c>
      <c r="I115" s="122" t="str">
        <f>IF(_epmOfflineCondition_,"T4",_xll.EVPRO($B$1,$H115,"STYLE"))</f>
        <v>T4</v>
      </c>
      <c r="J115" s="122" t="str">
        <f>IF(_epmOfflineCondition_,"Y",_xll.EVPRO($B$1,$H115,"CALC"))</f>
        <v>Y</v>
      </c>
      <c r="K115" s="179" t="str">
        <f t="shared" si="34"/>
        <v>&gt;</v>
      </c>
      <c r="L115" s="90" t="str">
        <f>IF(_epmOfflineCondition_,"706100",_xll.EVPRO($B$1,H115,"JDEID"))</f>
        <v>706100</v>
      </c>
      <c r="M115" s="90" t="str">
        <f>IF(_epmOfflineCondition_,"",IF(AND(I115="N",J115="N"),_xll.EVPRO($B$1,H115,"PSFTID"),""))</f>
        <v/>
      </c>
      <c r="N115" s="90" t="str">
        <f>IF(_epmOfflineCondition_,"Miscellaneous",IF(_xll.EVDES(H115,$B$1)="#NODATA","",_xll.EVDES(H115,$B$1)))</f>
        <v>Miscellaneous</v>
      </c>
      <c r="O115" s="143"/>
      <c r="P115" s="143">
        <v>5.14</v>
      </c>
      <c r="Q115" s="143">
        <v>143.63999999999999</v>
      </c>
      <c r="R115" s="143"/>
      <c r="S115" s="143"/>
      <c r="T115" s="143"/>
      <c r="U115" s="143"/>
      <c r="V115" s="143"/>
      <c r="W115" s="143"/>
      <c r="X115" s="143"/>
      <c r="Y115" s="143"/>
      <c r="Z115" s="143"/>
      <c r="AA115" s="250">
        <f t="shared" si="35"/>
        <v>148.77999999999997</v>
      </c>
      <c r="AB115" s="144">
        <f t="shared" si="36"/>
        <v>5.7838433362956184E-4</v>
      </c>
      <c r="AC115" s="140"/>
      <c r="AD115" s="143"/>
      <c r="AE115" s="144" t="str">
        <f t="shared" si="37"/>
        <v/>
      </c>
      <c r="AF115" s="145">
        <f t="shared" si="38"/>
        <v>148.77999999999997</v>
      </c>
      <c r="AG115" s="143">
        <v>7867.99</v>
      </c>
      <c r="AH115" s="144">
        <f t="shared" si="39"/>
        <v>4.3158371843416088E-2</v>
      </c>
      <c r="AI115" s="145">
        <f t="shared" si="40"/>
        <v>-7719.21</v>
      </c>
      <c r="AJ115" s="212">
        <f t="shared" si="41"/>
        <v>2.1145537237066511E-2</v>
      </c>
      <c r="AK115" s="213">
        <f t="shared" si="42"/>
        <v>0</v>
      </c>
      <c r="AL115" s="215">
        <f t="shared" si="43"/>
        <v>1.3920718329794763</v>
      </c>
      <c r="AM115" s="423">
        <f t="shared" si="44"/>
        <v>0</v>
      </c>
      <c r="AN115" s="424" t="str">
        <f t="shared" si="45"/>
        <v>-4.26 pts.</v>
      </c>
      <c r="AO115" s="11"/>
    </row>
    <row r="116" spans="1:41" x14ac:dyDescent="0.35">
      <c r="A116" s="65" t="s">
        <v>4</v>
      </c>
      <c r="B116" s="66" t="str">
        <f>IF(_epmOfflineCondition_,"'Venue1'!$H$116:$H$119",_xll.EVRNG(H116:H119))</f>
        <v>'Venue1'!$H$116:$H$119</v>
      </c>
      <c r="C116" s="11"/>
      <c r="D116" s="11"/>
      <c r="E116" s="11"/>
      <c r="F116" s="11"/>
      <c r="G116" s="11"/>
      <c r="H116" s="88" t="s">
        <v>79</v>
      </c>
      <c r="I116" s="136" t="str">
        <f>IF(_epmOfflineCondition_,"T3",_xll.EVPRO($B$1,$H116,"STYLE"))</f>
        <v>T3</v>
      </c>
      <c r="J116" s="136" t="str">
        <f>IF(_epmOfflineCondition_,"Y",_xll.EVPRO($B$1,$H116,"CALC"))</f>
        <v>Y</v>
      </c>
      <c r="K116" s="104"/>
      <c r="L116" s="104"/>
      <c r="M116" s="104"/>
      <c r="N116" s="106" t="str">
        <f>IF(_epmOfflineCondition_,"Total Operations Expense",IF(_xll.EVDES(H116,$B$1)="#NODATA","",_xll.EVDES(H116,$B$1)))</f>
        <v>Total Operations Expense</v>
      </c>
      <c r="O116" s="154">
        <v>15841.96</v>
      </c>
      <c r="P116" s="154">
        <v>12169.11</v>
      </c>
      <c r="Q116" s="154">
        <v>17267.14</v>
      </c>
      <c r="R116" s="154">
        <v>-77.89</v>
      </c>
      <c r="S116" s="154">
        <v>1081.58</v>
      </c>
      <c r="T116" s="154">
        <v>66</v>
      </c>
      <c r="U116" s="154">
        <v>1752.8</v>
      </c>
      <c r="V116" s="154">
        <v>625.99</v>
      </c>
      <c r="W116" s="154">
        <v>243.03</v>
      </c>
      <c r="X116" s="154">
        <v>1141.71</v>
      </c>
      <c r="Y116" s="154">
        <v>2169.85</v>
      </c>
      <c r="Z116" s="154">
        <v>4006.3</v>
      </c>
      <c r="AA116" s="154">
        <f t="shared" si="35"/>
        <v>56287.58</v>
      </c>
      <c r="AB116" s="155">
        <f t="shared" si="36"/>
        <v>0.21881875554456687</v>
      </c>
      <c r="AC116" s="140"/>
      <c r="AD116" s="154">
        <v>157017.18203494401</v>
      </c>
      <c r="AE116" s="155">
        <f t="shared" si="37"/>
        <v>7.2865976967811261E-2</v>
      </c>
      <c r="AF116" s="156">
        <f t="shared" si="38"/>
        <v>-100729.60203494401</v>
      </c>
      <c r="AG116" s="154">
        <v>63656.76</v>
      </c>
      <c r="AH116" s="155">
        <f t="shared" si="39"/>
        <v>0.34917712381778521</v>
      </c>
      <c r="AI116" s="156">
        <f t="shared" si="40"/>
        <v>-7369.18</v>
      </c>
      <c r="AJ116" s="466">
        <f t="shared" si="41"/>
        <v>7.9999403069926096</v>
      </c>
      <c r="AK116" s="467">
        <f t="shared" si="42"/>
        <v>3.3233259685259173</v>
      </c>
      <c r="AL116" s="468">
        <f t="shared" si="43"/>
        <v>11.262696390658174</v>
      </c>
      <c r="AM116" s="469" t="str">
        <f t="shared" si="44"/>
        <v>14.6 pts.</v>
      </c>
      <c r="AN116" s="470" t="str">
        <f t="shared" si="45"/>
        <v>-13.04 pts.</v>
      </c>
      <c r="AO116" s="11"/>
    </row>
    <row r="117" spans="1:41" x14ac:dyDescent="0.35">
      <c r="A117" s="65" t="s">
        <v>5</v>
      </c>
      <c r="B117" s="66"/>
      <c r="C117" s="11"/>
      <c r="D117" s="11"/>
      <c r="E117" s="11"/>
      <c r="F117" s="11"/>
      <c r="G117" s="11"/>
      <c r="H117" s="11"/>
      <c r="I117" s="59"/>
      <c r="J117" s="59"/>
      <c r="K117" s="11"/>
      <c r="L117" s="11"/>
      <c r="M117" s="11"/>
      <c r="N117" s="11"/>
      <c r="O117" s="140"/>
      <c r="P117" s="140"/>
      <c r="Q117" s="140"/>
      <c r="R117" s="140"/>
      <c r="S117" s="140"/>
      <c r="T117" s="140"/>
      <c r="U117" s="140"/>
      <c r="V117" s="140"/>
      <c r="W117" s="140"/>
      <c r="X117" s="140"/>
      <c r="Y117" s="140"/>
      <c r="Z117" s="140"/>
      <c r="AA117" s="140"/>
      <c r="AB117" s="140"/>
      <c r="AC117" s="140"/>
      <c r="AD117" s="140"/>
      <c r="AE117" s="140"/>
      <c r="AF117" s="140"/>
      <c r="AG117" s="140"/>
      <c r="AH117" s="140"/>
      <c r="AI117" s="140"/>
      <c r="AJ117" s="140"/>
      <c r="AK117" s="140"/>
      <c r="AL117" s="140"/>
      <c r="AM117" s="140"/>
      <c r="AN117" s="140"/>
      <c r="AO117" s="11"/>
    </row>
    <row r="118" spans="1:41" x14ac:dyDescent="0.35">
      <c r="A118" s="65" t="s">
        <v>6</v>
      </c>
      <c r="B118" s="66"/>
      <c r="C118" s="11"/>
      <c r="D118" s="11"/>
      <c r="E118" s="11"/>
      <c r="F118" s="11"/>
      <c r="G118" s="11"/>
      <c r="H118" s="88" t="s">
        <v>80</v>
      </c>
      <c r="I118" s="136" t="str">
        <f>IF(_epmOfflineCondition_,"T3",_xll.EVPRO($B$1,$H118,"STYLE"))</f>
        <v>T3</v>
      </c>
      <c r="J118" s="136" t="str">
        <f>IF(_epmOfflineCondition_,"Y",_xll.EVPRO($B$1,$H118,"CALC"))</f>
        <v>Y</v>
      </c>
      <c r="K118" s="106"/>
      <c r="L118" s="106"/>
      <c r="M118" s="106"/>
      <c r="N118" s="106" t="str">
        <f>IF(_epmOfflineCondition_,"Total Expenses",IF(_xll.EVDES(H118,$B$1)="#NODATA","",_xll.EVDES(H118,$B$1)))</f>
        <v>Total Expenses</v>
      </c>
      <c r="O118" s="238">
        <v>114716.99</v>
      </c>
      <c r="P118" s="238">
        <v>141033.85</v>
      </c>
      <c r="Q118" s="238">
        <v>106952.5</v>
      </c>
      <c r="R118" s="238">
        <v>5887.06</v>
      </c>
      <c r="S118" s="238">
        <v>4291.71</v>
      </c>
      <c r="T118" s="238">
        <v>1790.03</v>
      </c>
      <c r="U118" s="238">
        <v>10352.08</v>
      </c>
      <c r="V118" s="238">
        <v>11365.07</v>
      </c>
      <c r="W118" s="238">
        <v>11377.25</v>
      </c>
      <c r="X118" s="238">
        <v>-2571.54</v>
      </c>
      <c r="Y118" s="238">
        <v>21548.31</v>
      </c>
      <c r="Z118" s="238">
        <v>32177.85</v>
      </c>
      <c r="AA118" s="238">
        <f>IF($I118="B1","",SUM(O118:Z118))</f>
        <v>458921.16000000009</v>
      </c>
      <c r="AB118" s="239">
        <f>IF(AA118=0,"",IFERROR(AA118/AA$19,""))</f>
        <v>1.7840624365849282</v>
      </c>
      <c r="AC118" s="140"/>
      <c r="AD118" s="238">
        <v>1353305.1261886901</v>
      </c>
      <c r="AE118" s="239">
        <f>IF(AD118=0,"",IFERROR(AD118/AD$19,""))</f>
        <v>0.62801980571362226</v>
      </c>
      <c r="AF118" s="254">
        <f>IF(AND($AA118="",AD118=""),"",$AA118-AD118)</f>
        <v>-894383.96618868993</v>
      </c>
      <c r="AG118" s="255">
        <v>578703.73</v>
      </c>
      <c r="AH118" s="256">
        <f>IF(AG118=0,"",IFERROR(AG118/AG$19,""))</f>
        <v>3.1743699174137063</v>
      </c>
      <c r="AI118" s="254">
        <f>IF(AND($AA118="",AG118=""),"",$AA118-AG118)</f>
        <v>-119782.56999999989</v>
      </c>
      <c r="AJ118" s="528">
        <f>IFERROR(AA118/AA$20,0)</f>
        <v>65.224724275156348</v>
      </c>
      <c r="AK118" s="529">
        <f>IFERROR(AD118/AD$20,0)</f>
        <v>28.643196947714987</v>
      </c>
      <c r="AL118" s="530">
        <f>IFERROR(AG118/AG$20,0)</f>
        <v>102.38919497523</v>
      </c>
      <c r="AM118" s="531" t="str">
        <f>+IFERROR(ROUND(($AB118-AE118)*100,2)&amp;" pts.",0)</f>
        <v>115.6 pts.</v>
      </c>
      <c r="AN118" s="532" t="str">
        <f>+IFERROR(ROUND(($AB118-AH118)*100,2)&amp;" pts.",0)</f>
        <v>-139.03 pts.</v>
      </c>
      <c r="AO118" s="11"/>
    </row>
    <row r="119" spans="1:41" ht="15" thickBot="1" x14ac:dyDescent="0.4">
      <c r="A119" s="65" t="s">
        <v>7</v>
      </c>
      <c r="B119" s="66"/>
      <c r="C119" s="11"/>
      <c r="D119" s="11"/>
      <c r="E119" s="11"/>
      <c r="F119" s="11"/>
      <c r="G119" s="11"/>
      <c r="H119" s="88" t="s">
        <v>81</v>
      </c>
      <c r="I119" s="136" t="str">
        <f>IF(_epmOfflineCondition_,"T3",_xll.EVPRO($B$1,$H119,"STYLE"))</f>
        <v>T3</v>
      </c>
      <c r="J119" s="136" t="str">
        <f>IF(_epmOfflineCondition_,"Y",_xll.EVPRO($B$1,$H119,"CALC"))</f>
        <v>Y</v>
      </c>
      <c r="K119" s="106"/>
      <c r="L119" s="106"/>
      <c r="M119" s="106"/>
      <c r="N119" s="106" t="str">
        <f>IF(_epmOfflineCondition_,"Department Profit (Loss)",IF(_xll.EVDES(H119,$B$1)="#NODATA","",_xll.EVDES(H119,$B$1)))</f>
        <v>Department Profit (Loss)</v>
      </c>
      <c r="O119" s="169">
        <v>-69722.720000000001</v>
      </c>
      <c r="P119" s="169">
        <v>-77300.44</v>
      </c>
      <c r="Q119" s="169">
        <v>-84214.14</v>
      </c>
      <c r="R119" s="169">
        <v>-5742.06</v>
      </c>
      <c r="S119" s="169">
        <v>-1250.76</v>
      </c>
      <c r="T119" s="169">
        <v>-1474.29</v>
      </c>
      <c r="U119" s="169">
        <v>-18610.240000000002</v>
      </c>
      <c r="V119" s="169">
        <v>-11697.79</v>
      </c>
      <c r="W119" s="169">
        <v>-10555.11</v>
      </c>
      <c r="X119" s="169">
        <v>2571.54</v>
      </c>
      <c r="Y119" s="169">
        <v>-14761.87</v>
      </c>
      <c r="Z119" s="169">
        <v>-18850.12</v>
      </c>
      <c r="AA119" s="169">
        <f>IF($I119="B1","",SUM(O119:Z119))</f>
        <v>-311608</v>
      </c>
      <c r="AB119" s="170">
        <f>IF(AA119=0,"",IFERROR(AA119/AA$19,""))</f>
        <v>-1.2113804639981216</v>
      </c>
      <c r="AC119" s="140"/>
      <c r="AD119" s="169">
        <v>311548.47228530602</v>
      </c>
      <c r="AE119" s="170">
        <f>IF(AD119=0,"",IFERROR(AD119/AD$19,""))</f>
        <v>0.14457834175654577</v>
      </c>
      <c r="AF119" s="171">
        <f>IF(AND($AA119="",AD119=""),"",$AA119-AD119)</f>
        <v>-623156.47228530608</v>
      </c>
      <c r="AG119" s="169">
        <v>-504255.85</v>
      </c>
      <c r="AH119" s="170">
        <f>IF(AG119=0,"",IFERROR(AG119/AG$19,""))</f>
        <v>-2.7660001447025029</v>
      </c>
      <c r="AI119" s="171">
        <f>IF(AND($AA119="",AG119=""),"",$AA119-AG119)</f>
        <v>192647.84999999998</v>
      </c>
      <c r="AJ119" s="477">
        <f>IFERROR(AA119/AA$20,0)</f>
        <v>-44.28766344513928</v>
      </c>
      <c r="AK119" s="478">
        <f>IFERROR(AD119/AD$20,0)</f>
        <v>6.5940371300888101</v>
      </c>
      <c r="AL119" s="479">
        <f>IFERROR(AG119/AG$20,0)</f>
        <v>-89.217241684359522</v>
      </c>
      <c r="AM119" s="480" t="str">
        <f>+IFERROR(ROUND(($AB119-AE119)*100,2)&amp;" pts.",0)</f>
        <v>-135.6 pts.</v>
      </c>
      <c r="AN119" s="481" t="str">
        <f>+IFERROR(ROUND(($AB119-AH119)*100,2)&amp;" pts.",0)</f>
        <v>155.46 pts.</v>
      </c>
      <c r="AO119" s="11"/>
    </row>
    <row r="120" spans="1:41" ht="15" thickTop="1" x14ac:dyDescent="0.35">
      <c r="A120" s="65" t="s">
        <v>47</v>
      </c>
      <c r="B120" s="66" t="str">
        <f>IF(_epmOfflineCondition_,"'Venue1'!$A$125:$B$146",_xll.EVRNG($A$125:$B$146))</f>
        <v>'Venue1'!$A$125:$B$146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04" t="str">
        <f>N118&amp;" - Check"</f>
        <v>Total Expenses - Check</v>
      </c>
      <c r="O121" s="209">
        <f t="shared" ref="O121:AA121" si="46">SUMIF($H$35:$H$119,"600000",O$35:O$119)+SUMIF($H$35:$H$119,"700000",O$35:O$119)-SUMIF($H$35:$H$119,"TOTDEPTEXP",O$35:O$119)</f>
        <v>0</v>
      </c>
      <c r="P121" s="209">
        <f t="shared" si="46"/>
        <v>0</v>
      </c>
      <c r="Q121" s="209">
        <f t="shared" si="46"/>
        <v>0</v>
      </c>
      <c r="R121" s="209">
        <f t="shared" si="46"/>
        <v>0</v>
      </c>
      <c r="S121" s="209">
        <f t="shared" si="46"/>
        <v>0</v>
      </c>
      <c r="T121" s="209">
        <f t="shared" si="46"/>
        <v>0</v>
      </c>
      <c r="U121" s="209">
        <f t="shared" si="46"/>
        <v>0</v>
      </c>
      <c r="V121" s="209">
        <f t="shared" si="46"/>
        <v>0</v>
      </c>
      <c r="W121" s="209">
        <f t="shared" si="46"/>
        <v>0</v>
      </c>
      <c r="X121" s="209">
        <f t="shared" si="46"/>
        <v>0</v>
      </c>
      <c r="Y121" s="209">
        <f t="shared" si="46"/>
        <v>0</v>
      </c>
      <c r="Z121" s="209">
        <f t="shared" si="46"/>
        <v>0</v>
      </c>
      <c r="AA121" s="209">
        <f t="shared" si="46"/>
        <v>0</v>
      </c>
      <c r="AB121" s="100"/>
      <c r="AC121" s="11"/>
      <c r="AD121" s="209">
        <f>SUMIF($H$35:$H$119,"600000",AD$35:AD$119)+SUMIF($H$35:$H$119,"700000",AD$35:AD$119)-SUMIF($H$35:$H$119,"TOTDEPTEXP",AD$35:AD$119)</f>
        <v>3.9581209421157837E-9</v>
      </c>
      <c r="AE121" s="100"/>
      <c r="AF121" s="91"/>
      <c r="AG121" s="209">
        <f>SUMIF($H$35:$H$119,"600000",AG$35:AG$119)+SUMIF($H$35:$H$119,"700000",AG$35:AG$119)-SUMIF($H$35:$H$119,"TOTDEPTEXP",AG$35:AG$119)</f>
        <v>0</v>
      </c>
      <c r="AH121" s="100"/>
      <c r="AI121" s="9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04" t="str">
        <f>N119&amp;" - Check"</f>
        <v>Department Profit (Loss) - Check</v>
      </c>
      <c r="O122" s="209">
        <f t="shared" ref="O122:AA122" si="47">SUMIF($H$35:$H$119,"KPI_GP",O$35:O$119)-SUMIF($H$35:$H$119,"TOTDEPTEXP",O$35:O$119)-SUMIF($H$35:$H$119,"TOTDEPTPL",O$35:O$119)</f>
        <v>0</v>
      </c>
      <c r="P122" s="209">
        <f t="shared" si="47"/>
        <v>0</v>
      </c>
      <c r="Q122" s="209">
        <f t="shared" si="47"/>
        <v>0</v>
      </c>
      <c r="R122" s="209">
        <f t="shared" si="47"/>
        <v>0</v>
      </c>
      <c r="S122" s="209">
        <f t="shared" si="47"/>
        <v>0</v>
      </c>
      <c r="T122" s="209">
        <f t="shared" si="47"/>
        <v>0</v>
      </c>
      <c r="U122" s="209">
        <f t="shared" si="47"/>
        <v>0</v>
      </c>
      <c r="V122" s="209">
        <f t="shared" si="47"/>
        <v>0</v>
      </c>
      <c r="W122" s="209">
        <f t="shared" si="47"/>
        <v>0</v>
      </c>
      <c r="X122" s="209">
        <f t="shared" si="47"/>
        <v>0</v>
      </c>
      <c r="Y122" s="209">
        <f t="shared" si="47"/>
        <v>0</v>
      </c>
      <c r="Z122" s="209">
        <f t="shared" si="47"/>
        <v>0</v>
      </c>
      <c r="AA122" s="209">
        <f t="shared" si="47"/>
        <v>0</v>
      </c>
      <c r="AB122" s="100"/>
      <c r="AC122" s="11"/>
      <c r="AD122" s="209">
        <f>SUMIF($H$35:$H$119,"KPI_GP",AD$35:AD$119)-SUMIF($H$35:$H$119,"TOTDEPTEXP",AD$35:AD$119)-SUMIF($H$35:$H$119,"TOTDEPTPL",AD$35:AD$119)</f>
        <v>3.7834979593753815E-9</v>
      </c>
      <c r="AE122" s="100"/>
      <c r="AF122" s="91"/>
      <c r="AG122" s="209">
        <f>SUMIF($H$35:$H$119,"KPI_GP",AG$35:AG$119)-SUMIF($H$35:$H$119,"TOTDEPTEXP",AG$35:AG$119)-SUMIF($H$35:$H$119,"TOTDEPTPL",AG$35:AG$119)</f>
        <v>0</v>
      </c>
      <c r="AH122" s="100"/>
      <c r="AI122" s="9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37"/>
      <c r="P124" s="137"/>
      <c r="Q124" s="137"/>
      <c r="R124" s="137"/>
      <c r="S124" s="137"/>
      <c r="T124" s="137"/>
      <c r="U124" s="137"/>
      <c r="V124" s="137"/>
      <c r="W124" s="137"/>
      <c r="X124" s="137"/>
      <c r="Y124" s="137"/>
      <c r="Z124" s="137"/>
      <c r="AA124" s="137"/>
      <c r="AB124" s="11"/>
      <c r="AC124" s="11"/>
      <c r="AD124" s="137"/>
      <c r="AE124" s="11"/>
      <c r="AF124" s="11"/>
      <c r="AG124" s="137"/>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37"/>
      <c r="P126" s="137"/>
      <c r="Q126" s="137"/>
      <c r="R126" s="137"/>
      <c r="S126" s="137"/>
      <c r="T126" s="137"/>
      <c r="U126" s="137"/>
      <c r="V126" s="137"/>
      <c r="W126" s="137"/>
      <c r="X126" s="137"/>
      <c r="Y126" s="137"/>
      <c r="Z126" s="137"/>
      <c r="AA126" s="137"/>
      <c r="AB126" s="11"/>
      <c r="AC126" s="11"/>
      <c r="AD126" s="137"/>
      <c r="AE126" s="11"/>
      <c r="AF126" s="11"/>
      <c r="AG126" s="137"/>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59"/>
      <c r="I142" s="59"/>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59"/>
      <c r="I143" s="59"/>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59"/>
      <c r="I144" s="59"/>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59"/>
      <c r="I145" s="59"/>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59"/>
      <c r="I146" s="59"/>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59"/>
      <c r="I147" s="59"/>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59"/>
      <c r="I148" s="59"/>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59"/>
      <c r="I149" s="59"/>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59"/>
      <c r="I150" s="59"/>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59"/>
      <c r="I151" s="59"/>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267"/>
      <c r="J192" s="11"/>
      <c r="K192" s="267"/>
      <c r="L192" s="267"/>
      <c r="M192" s="267"/>
      <c r="N192" s="11"/>
      <c r="O192" s="267"/>
      <c r="P192" s="267"/>
      <c r="Q192" s="267"/>
      <c r="R192" s="267"/>
      <c r="S192" s="267"/>
      <c r="T192" s="267"/>
      <c r="U192" s="267"/>
      <c r="V192" s="267"/>
      <c r="W192" s="267"/>
      <c r="X192" s="267"/>
      <c r="Y192" s="267"/>
      <c r="Z192" s="267"/>
      <c r="AA192" s="267"/>
      <c r="AB192" s="11"/>
      <c r="AC192" s="11"/>
      <c r="AD192" s="267"/>
      <c r="AE192" s="11"/>
      <c r="AF192" s="267"/>
      <c r="AG192" s="11"/>
      <c r="AH192" s="267"/>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row r="195" spans="1:41"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row>
    <row r="196" spans="1:41" x14ac:dyDescent="0.35">
      <c r="A196" s="11"/>
      <c r="B196" s="11"/>
      <c r="C196" s="11"/>
      <c r="D196" s="11"/>
      <c r="E196" s="11"/>
      <c r="F196" s="11"/>
      <c r="G196" s="11"/>
      <c r="H196" s="11"/>
      <c r="I196" s="267"/>
      <c r="J196" s="11"/>
      <c r="K196" s="267"/>
      <c r="L196" s="267"/>
      <c r="M196" s="267"/>
      <c r="N196" s="11"/>
      <c r="O196" s="267"/>
      <c r="P196" s="267"/>
      <c r="Q196" s="267"/>
      <c r="R196" s="267"/>
      <c r="S196" s="267"/>
      <c r="T196" s="267"/>
      <c r="U196" s="267"/>
      <c r="V196" s="267"/>
      <c r="W196" s="267"/>
      <c r="X196" s="267"/>
      <c r="Y196" s="267"/>
      <c r="Z196" s="267"/>
      <c r="AA196" s="267"/>
      <c r="AB196" s="11"/>
      <c r="AC196" s="11"/>
      <c r="AD196" s="267"/>
      <c r="AE196" s="11"/>
      <c r="AF196" s="267"/>
      <c r="AG196" s="11"/>
      <c r="AH196" s="267"/>
      <c r="AI196" s="11"/>
      <c r="AJ196" s="11"/>
      <c r="AK196" s="11"/>
      <c r="AL196" s="11"/>
      <c r="AM196" s="11"/>
      <c r="AN196" s="11"/>
      <c r="AO196" s="11"/>
    </row>
  </sheetData>
  <sheetProtection algorithmName="SHA-512" hashValue="anL+T7S3jDFSVPRmpHQqXAJ3KV9OYHhxq8vEjr6NEaDMzxMRmYDKJuWE/IZK2jpQA74ptMUPXvD/45Se4wcsiw==" saltValue="DwSMRuGKIXikyE34T1a+xw==" spinCount="100000" sheet="1" scenarios="1"/>
  <mergeCells count="2">
    <mergeCell ref="AD31:AE31"/>
    <mergeCell ref="AG31:AH31"/>
  </mergeCells>
  <dataValidations disablePrompts="1" count="2">
    <dataValidation type="list" allowBlank="1" sqref="B28 B61 B94" xr:uid="{00000000-0002-0000-0700-000000000000}">
      <formula1>"ACCOUNT,BUSINESSUNIT,CATEGORY,DATASRC,DEPARTMENT,INTCO,MEASURES,RPTCURRENCY,TIME"</formula1>
    </dataValidation>
    <dataValidation type="list" allowBlank="1" sqref="B29 B62 B95" xr:uid="{00000000-0002-0000-07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0248" r:id="rId7" name="FPMExcelClientSheetOptionstb1">
          <controlPr defaultSize="0" autoLine="0" r:id="rId8">
            <anchor moveWithCells="1" sizeWithCells="1">
              <from>
                <xdr:col>0</xdr:col>
                <xdr:colOff>0</xdr:colOff>
                <xdr:row>0</xdr:row>
                <xdr:rowOff>0</xdr:rowOff>
              </from>
              <to>
                <xdr:col>13</xdr:col>
                <xdr:colOff>889000</xdr:colOff>
                <xdr:row>0</xdr:row>
                <xdr:rowOff>0</xdr:rowOff>
              </to>
            </anchor>
          </controlPr>
        </control>
      </mc:Choice>
      <mc:Fallback>
        <control shapeId="10248" r:id="rId7" name="FPMExcelClientSheetOptionstb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Venue1!N1</f>
        <v>Seawell Restaurant</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725</v>
      </c>
      <c r="C6" s="11" t="str">
        <f>IF(_epmOfflineCondition_,"Venue 1",_xll.EVDES(B6,$B$1))</f>
        <v>Venue 1</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IF(_epmOfflineCondition_,"'Venue1_KPI'!$B$2:$B$10",_xll.EVRNG($B$2:$B$10))</f>
        <v>'Venue1_KPI'!$B$2:$B$10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IF(_epmOfflineCondition_,"'Venue1_KPI'!$O$16:$AI$18",_xll.EVRNG(O16:AI18))</f>
        <v>'Venue1_KPI'!$O$16:$AI$18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IF(_epmOfflineCondition_,"'Venue1_KPI'!$H$35:$H$146",_xll.EVRNG(H35:H146))</f>
        <v>'Venue1_KPI'!$H$35:$H$146</v>
      </c>
      <c r="C19" s="11"/>
      <c r="D19" s="11"/>
      <c r="E19" s="11"/>
      <c r="F19" s="11"/>
      <c r="G19" s="67" t="str">
        <f>$B$6</f>
        <v>D2140</v>
      </c>
      <c r="H19" s="67" t="s">
        <v>273</v>
      </c>
      <c r="I19" s="68"/>
      <c r="J19" s="68"/>
      <c r="K19" s="67"/>
      <c r="L19" s="67"/>
      <c r="M19" s="67"/>
      <c r="N19" s="67" t="str">
        <f>IF(_epmOfflineCondition_,"Total Food &amp; Beverage Revenue",_xll.EVDES(H19))</f>
        <v>Total Food &amp; Beverage Revenue</v>
      </c>
      <c r="O19" s="69">
        <f>IF(_epmOfflineCondition_,65833.68,_xll.EVGTS($B$1,1,$B$3,$B$5,$B$7,$B$9,O$16,O$17,O$18,$G$19,$H$19))</f>
        <v>65833.679999999993</v>
      </c>
      <c r="P19" s="69">
        <f>IF(_epmOfflineCondition_,85743.96,_xll.EVGTS($B$1,1,$B$3,$B$5,$B$7,$B$9,P$16,P$17,P$18,$G$19,$H$19))</f>
        <v>85743.96</v>
      </c>
      <c r="Q19" s="69">
        <f>IF(_epmOfflineCondition_,37189.26,_xll.EVGTS($B$1,1,$B$3,$B$5,$B$7,$B$9,Q$16,Q$17,Q$18,$G$19,$H$19))</f>
        <v>37189.26</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IF(_epmOfflineCondition_,7447.9,_xll.EVGTS($B$1,1,$B$3,$B$5,$B$7,$B$9,Y$16,Y$17,Y$18,$G$19,$H$19))</f>
        <v>7447.9</v>
      </c>
      <c r="Z19" s="69">
        <f>IF(_epmOfflineCondition_,20333.9,_xll.EVGTS($B$1,1,$B$3,$B$5,$B$7,$B$9,Z$16,Z$17,Z$18,$G$19,$H$19))</f>
        <v>20333.900000000001</v>
      </c>
      <c r="AA19" s="69">
        <f>SUM(O19:Z19)</f>
        <v>216548.7</v>
      </c>
      <c r="AB19" s="67"/>
      <c r="AC19" s="67"/>
      <c r="AD19" s="69">
        <f>IF(_epmOfflineCondition_,1822559.65,_xll.EVGTS($B$1,1,$B$3,$B$5,$B$7,$B$9,AD$16,AD$17,AD$18,$G$19,$H$19))</f>
        <v>1822559.65</v>
      </c>
      <c r="AE19" s="67"/>
      <c r="AF19" s="67"/>
      <c r="AG19" s="69">
        <f>IF(_epmOfflineCondition_,152616.88,_xll.EVGTS($B$1,1,$B$3,$B$5,$B$7,$B$9,AG$16,AG$17,AG$18,$G$19,$H$19))</f>
        <v>152616.88</v>
      </c>
      <c r="AH19" s="67"/>
      <c r="AI19" s="67"/>
    </row>
    <row r="20" spans="1:35" hidden="1" outlineLevel="1" x14ac:dyDescent="0.35">
      <c r="A20" s="65" t="s">
        <v>5</v>
      </c>
      <c r="B20" s="66"/>
      <c r="C20" s="11"/>
      <c r="D20" s="11"/>
      <c r="E20" s="11"/>
      <c r="F20" s="11"/>
      <c r="G20" s="67" t="str">
        <f>$B$6</f>
        <v>D2140</v>
      </c>
      <c r="H20" s="67">
        <v>946000</v>
      </c>
      <c r="I20" s="68"/>
      <c r="J20" s="68"/>
      <c r="K20" s="67"/>
      <c r="L20" s="67"/>
      <c r="M20" s="67"/>
      <c r="N20" s="67" t="str">
        <f>IF(_epmOfflineCondition_,"Total Customers",_xll.EVDES(H20))</f>
        <v>Total Customers</v>
      </c>
      <c r="O20" s="69">
        <f>IF(_epmOfflineCondition_,2245,_xll.EVGTS($B$1,1,$B$3,$B$5,$B$7,$B$9,O$16,O$17,O$18,$G$20,$H$20))</f>
        <v>2245</v>
      </c>
      <c r="P20" s="69">
        <f>IF(_epmOfflineCondition_,2786,_xll.EVGTS($B$1,1,$B$3,$B$5,$B$7,$B$9,P$16,P$17,P$18,$G$20,$H$20))</f>
        <v>2786</v>
      </c>
      <c r="Q20" s="69">
        <f>IF(_epmOfflineCondition_,1279,_xll.EVGTS($B$1,1,$B$3,$B$5,$B$7,$B$9,Q$16,Q$17,Q$18,$G$20,$H$20))</f>
        <v>1279</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IF(_epmOfflineCondition_,167,_xll.EVGTS($B$1,1,$B$3,$B$5,$B$7,$B$9,Y$16,Y$17,Y$18,$G$20,$H$20))</f>
        <v>167</v>
      </c>
      <c r="Z20" s="69">
        <f>IF(_epmOfflineCondition_,559,_xll.EVGTS($B$1,1,$B$3,$B$5,$B$7,$B$9,Z$16,Z$17,Z$18,$G$20,$H$20))</f>
        <v>559</v>
      </c>
      <c r="AA20" s="69">
        <f>SUM(O20:Z20)</f>
        <v>7036</v>
      </c>
      <c r="AB20" s="67"/>
      <c r="AC20" s="67"/>
      <c r="AD20" s="69">
        <f>IF(_epmOfflineCondition_,47247,_xll.EVGTS($B$1,1,$B$3,$B$5,$B$7,$B$9,AD$16,AD$17,AD$18,$G$20,$H$20))</f>
        <v>47247</v>
      </c>
      <c r="AE20" s="67"/>
      <c r="AF20" s="67"/>
      <c r="AG20" s="69">
        <f>IF(_epmOfflineCondition_,5652,_xll.EVGTS($B$1,1,$B$3,$B$5,$B$7,$B$9,AG$16,AG$17,AG$18,$G$20,$H$20))</f>
        <v>5652</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IF(_epmOfflineCondition_,"'Venue1_KPI'!$A$37:$B$58",_xll.EVRNG($A$37:$B$58))</f>
        <v>'Venue1_KPI'!$A$37:$B$58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IF(_epmOfflineCondition_,"Seawell Restaurant",IF($N$1="",IF(_xll.EVDES(B6,$B$1)="#NODATA","",_xll.EVDES(B6,$B$1)&amp;" Department"),$N$1))</f>
        <v>Seawell Restaurant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v>15879</v>
      </c>
      <c r="P35" s="143">
        <v>18887.5</v>
      </c>
      <c r="Q35" s="143">
        <v>8701</v>
      </c>
      <c r="R35" s="143"/>
      <c r="S35" s="143"/>
      <c r="T35" s="143"/>
      <c r="U35" s="143"/>
      <c r="V35" s="143"/>
      <c r="W35" s="143"/>
      <c r="X35" s="143"/>
      <c r="Y35" s="143"/>
      <c r="Z35" s="143">
        <v>3927</v>
      </c>
      <c r="AA35" s="143">
        <f t="shared" ref="AA35:AA41" si="0">SUM(O35:Z35)</f>
        <v>47394.5</v>
      </c>
      <c r="AB35" s="144">
        <f>IF(AA35=0,"",IFERROR(AA35/AA$19,""))</f>
        <v>0.21886300864424491</v>
      </c>
      <c r="AC35" s="140"/>
      <c r="AD35" s="143">
        <v>242450.5545</v>
      </c>
      <c r="AE35" s="144">
        <f>IF(AD35=0,"",IFERROR(AD35/AD$19,""))</f>
        <v>0.13302750036192232</v>
      </c>
      <c r="AF35" s="145">
        <f t="shared" ref="AF35:AF42" si="1">IF(AND($AA35="",AD35=""),"",$AA35-AD35)</f>
        <v>-195056.0545</v>
      </c>
      <c r="AG35" s="143">
        <v>57224.1</v>
      </c>
      <c r="AH35" s="144">
        <f>IF(AG35=0,"",IFERROR(AG35/AG$19,""))</f>
        <v>0.37495262647224864</v>
      </c>
      <c r="AI35" s="145">
        <f t="shared" ref="AI35:AI42" si="2">IF(AND($AA35="",AG35=""),"",$AA35-AG35)</f>
        <v>-9829.5999999999985</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v>81</v>
      </c>
      <c r="P36" s="143">
        <v>443</v>
      </c>
      <c r="Q36" s="143">
        <v>169</v>
      </c>
      <c r="R36" s="143"/>
      <c r="S36" s="143"/>
      <c r="T36" s="143"/>
      <c r="U36" s="143"/>
      <c r="V36" s="143"/>
      <c r="W36" s="143"/>
      <c r="X36" s="143"/>
      <c r="Y36" s="143"/>
      <c r="Z36" s="143">
        <v>53</v>
      </c>
      <c r="AA36" s="143">
        <f t="shared" si="0"/>
        <v>746</v>
      </c>
      <c r="AB36" s="144">
        <f>IF(AA36=0,"",IFERROR(AA36/AA$19,""))</f>
        <v>3.4449525672516157E-3</v>
      </c>
      <c r="AC36" s="140"/>
      <c r="AD36" s="143">
        <v>5364.6417000000001</v>
      </c>
      <c r="AE36" s="144">
        <f>IF(AD36=0,"",IFERROR(AD36/AD$19,""))</f>
        <v>2.9434656363647687E-3</v>
      </c>
      <c r="AF36" s="145">
        <f t="shared" si="1"/>
        <v>-4618.6417000000001</v>
      </c>
      <c r="AG36" s="143">
        <v>96.2</v>
      </c>
      <c r="AH36" s="144">
        <f>IF(AG36=0,"",IFERROR(AG36/AG$19,""))</f>
        <v>6.3033656565381231E-4</v>
      </c>
      <c r="AI36" s="145">
        <f t="shared" si="2"/>
        <v>649.79999999999995</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v>26</v>
      </c>
      <c r="P37" s="143">
        <v>16</v>
      </c>
      <c r="Q37" s="143">
        <v>14</v>
      </c>
      <c r="R37" s="143"/>
      <c r="S37" s="143"/>
      <c r="T37" s="143"/>
      <c r="U37" s="143"/>
      <c r="V37" s="143"/>
      <c r="W37" s="143"/>
      <c r="X37" s="143"/>
      <c r="Y37" s="143"/>
      <c r="Z37" s="143"/>
      <c r="AA37" s="143">
        <f t="shared" si="0"/>
        <v>56</v>
      </c>
      <c r="AB37" s="144">
        <f>IF(AA37=0,"",IFERROR(AA37/AA$19,""))</f>
        <v>2.5860233748805695E-4</v>
      </c>
      <c r="AC37" s="140"/>
      <c r="AD37" s="143">
        <v>1015.63605</v>
      </c>
      <c r="AE37" s="144">
        <f>IF(AD37=0,"",IFERROR(AD37/AD$19,""))</f>
        <v>5.5725805737002901E-4</v>
      </c>
      <c r="AF37" s="145">
        <f t="shared" si="1"/>
        <v>-959.63604999999995</v>
      </c>
      <c r="AG37" s="143">
        <v>12</v>
      </c>
      <c r="AH37" s="144">
        <f>IF(AG37=0,"",IFERROR(AG37/AG$19,""))</f>
        <v>7.8628261827918376E-5</v>
      </c>
      <c r="AI37" s="145">
        <f t="shared" si="2"/>
        <v>44</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v>212</v>
      </c>
      <c r="P38" s="217">
        <v>579</v>
      </c>
      <c r="Q38" s="217">
        <v>606</v>
      </c>
      <c r="R38" s="217"/>
      <c r="S38" s="217"/>
      <c r="T38" s="217"/>
      <c r="U38" s="217"/>
      <c r="V38" s="217"/>
      <c r="W38" s="217"/>
      <c r="X38" s="217"/>
      <c r="Y38" s="217"/>
      <c r="Z38" s="217">
        <v>376</v>
      </c>
      <c r="AA38" s="217">
        <f t="shared" si="0"/>
        <v>1773</v>
      </c>
      <c r="AB38" s="219">
        <f>IF(AA38=0,"",IFERROR(AA38/AA$19,""))</f>
        <v>8.187534720827231E-3</v>
      </c>
      <c r="AC38" s="140"/>
      <c r="AD38" s="217">
        <v>11588.667750000001</v>
      </c>
      <c r="AE38" s="219">
        <f>IF(AD38=0,"",IFERROR(AD38/AD$19,""))</f>
        <v>6.3584573212734086E-3</v>
      </c>
      <c r="AF38" s="220">
        <f t="shared" si="1"/>
        <v>-9815.6677500000005</v>
      </c>
      <c r="AG38" s="217">
        <v>576.6</v>
      </c>
      <c r="AH38" s="219">
        <f>IF(AG38=0,"",IFERROR(AG38/AG$19,""))</f>
        <v>3.7780879808314784E-3</v>
      </c>
      <c r="AI38" s="220">
        <f t="shared" si="2"/>
        <v>1196.4000000000001</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v>16198</v>
      </c>
      <c r="P39" s="166">
        <v>19925.5</v>
      </c>
      <c r="Q39" s="166">
        <v>9490</v>
      </c>
      <c r="R39" s="166"/>
      <c r="S39" s="166"/>
      <c r="T39" s="166"/>
      <c r="U39" s="166"/>
      <c r="V39" s="166"/>
      <c r="W39" s="166"/>
      <c r="X39" s="166"/>
      <c r="Y39" s="166"/>
      <c r="Z39" s="166">
        <v>4356</v>
      </c>
      <c r="AA39" s="166">
        <f t="shared" si="0"/>
        <v>49969.5</v>
      </c>
      <c r="AB39" s="167">
        <f>IF(AA39=0,"",IFERROR(AA39/AA$19,""))</f>
        <v>0.2307540982698118</v>
      </c>
      <c r="AC39" s="140"/>
      <c r="AD39" s="166">
        <v>260419.5</v>
      </c>
      <c r="AE39" s="167">
        <f>IF(AD39=0,"",IFERROR(AD39/AD$19,""))</f>
        <v>0.14288668137693053</v>
      </c>
      <c r="AF39" s="168">
        <f t="shared" si="1"/>
        <v>-210450</v>
      </c>
      <c r="AG39" s="166">
        <v>57908.9</v>
      </c>
      <c r="AH39" s="167">
        <f>IF(AG39=0,"",IFERROR(AG39/AG$19,""))</f>
        <v>0.37943967928056188</v>
      </c>
      <c r="AI39" s="168">
        <f t="shared" si="2"/>
        <v>-7939.4000000000015</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v>31</v>
      </c>
      <c r="P40" s="210">
        <v>29</v>
      </c>
      <c r="Q40" s="210">
        <v>17</v>
      </c>
      <c r="R40" s="210"/>
      <c r="S40" s="210"/>
      <c r="T40" s="210"/>
      <c r="U40" s="210"/>
      <c r="V40" s="210"/>
      <c r="W40" s="210"/>
      <c r="X40" s="210"/>
      <c r="Y40" s="210"/>
      <c r="Z40" s="210">
        <v>13</v>
      </c>
      <c r="AA40" s="210">
        <f t="shared" si="0"/>
        <v>90</v>
      </c>
      <c r="AB40" s="211"/>
      <c r="AC40" s="140"/>
      <c r="AD40" s="210">
        <v>366</v>
      </c>
      <c r="AE40" s="211"/>
      <c r="AF40" s="253">
        <f t="shared" si="1"/>
        <v>-276</v>
      </c>
      <c r="AG40" s="210">
        <v>92</v>
      </c>
      <c r="AH40" s="211"/>
      <c r="AI40" s="253">
        <f t="shared" si="2"/>
        <v>-2</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v>949</v>
      </c>
      <c r="P41" s="210">
        <v>1067</v>
      </c>
      <c r="Q41" s="210">
        <v>481</v>
      </c>
      <c r="R41" s="210"/>
      <c r="S41" s="210"/>
      <c r="T41" s="210"/>
      <c r="U41" s="210"/>
      <c r="V41" s="210"/>
      <c r="W41" s="210"/>
      <c r="X41" s="210"/>
      <c r="Y41" s="210"/>
      <c r="Z41" s="210">
        <v>194</v>
      </c>
      <c r="AA41" s="210">
        <f t="shared" si="0"/>
        <v>2691</v>
      </c>
      <c r="AB41" s="211">
        <f>IF(AA41=0,"",IFERROR(AA41/AA$87,""))</f>
        <v>0.38246162592382033</v>
      </c>
      <c r="AC41" s="140"/>
      <c r="AD41" s="210">
        <v>12890</v>
      </c>
      <c r="AE41" s="211">
        <f>IF(AD41=0,"",IFERROR(AD41/AD$87,""))</f>
        <v>0.27282155480771264</v>
      </c>
      <c r="AF41" s="253">
        <f t="shared" si="1"/>
        <v>-10199</v>
      </c>
      <c r="AG41" s="210">
        <v>3392</v>
      </c>
      <c r="AH41" s="211">
        <f>IF(AG41=0,"",IFERROR(AG41/AG$87,""))</f>
        <v>0.60014154281670207</v>
      </c>
      <c r="AI41" s="253">
        <f t="shared" si="2"/>
        <v>-701</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17.068493150684901</v>
      </c>
      <c r="P42" s="495">
        <v>18.674320524835998</v>
      </c>
      <c r="Q42" s="495">
        <v>19.729729729729701</v>
      </c>
      <c r="R42" s="495"/>
      <c r="S42" s="495"/>
      <c r="T42" s="495"/>
      <c r="U42" s="495"/>
      <c r="V42" s="495"/>
      <c r="W42" s="495"/>
      <c r="X42" s="495"/>
      <c r="Y42" s="495"/>
      <c r="Z42" s="495">
        <v>22.4536082474227</v>
      </c>
      <c r="AA42" s="495">
        <f>IFERROR(AA39/AA41,"")</f>
        <v>18.569119286510592</v>
      </c>
      <c r="AB42" s="495"/>
      <c r="AC42" s="140"/>
      <c r="AD42" s="495">
        <v>20.203219550038799</v>
      </c>
      <c r="AE42" s="495"/>
      <c r="AF42" s="496">
        <f t="shared" si="1"/>
        <v>-1.6341002635282074</v>
      </c>
      <c r="AG42" s="495">
        <v>17.072199292452801</v>
      </c>
      <c r="AH42" s="495"/>
      <c r="AI42" s="496">
        <f t="shared" si="2"/>
        <v>1.4969199940577909</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17.07</v>
      </c>
      <c r="P43" s="498">
        <f t="shared" si="3"/>
        <v>18.670000000000002</v>
      </c>
      <c r="Q43" s="498">
        <f t="shared" si="3"/>
        <v>19.73</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22.45</v>
      </c>
      <c r="AA43" s="498">
        <f t="shared" si="3"/>
        <v>18.57</v>
      </c>
      <c r="AB43" s="499"/>
      <c r="AC43" s="140"/>
      <c r="AD43" s="497">
        <f>ROUND(IFERROR(AD39/AD41,0),2)</f>
        <v>20.2</v>
      </c>
      <c r="AE43" s="498"/>
      <c r="AF43" s="159"/>
      <c r="AG43" s="497">
        <f>ROUND(IFERROR(AG39/AG41,0),2)</f>
        <v>17.07</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v>6964.07</v>
      </c>
      <c r="P45" s="143">
        <v>8631.23</v>
      </c>
      <c r="Q45" s="143">
        <v>3861.7</v>
      </c>
      <c r="R45" s="143"/>
      <c r="S45" s="143"/>
      <c r="T45" s="143"/>
      <c r="U45" s="143"/>
      <c r="V45" s="143"/>
      <c r="W45" s="143"/>
      <c r="X45" s="143"/>
      <c r="Y45" s="143"/>
      <c r="Z45" s="143"/>
      <c r="AA45" s="143">
        <f t="shared" ref="AA45:AA51" si="5">SUM(O45:Z45)</f>
        <v>19457</v>
      </c>
      <c r="AB45" s="144">
        <f>IF(AA45=0,"",IFERROR(AA45/AA$19,""))</f>
        <v>8.9850458580448642E-2</v>
      </c>
      <c r="AC45" s="140"/>
      <c r="AD45" s="143">
        <v>181662.15552</v>
      </c>
      <c r="AE45" s="144">
        <f>IF(AD45=0,"",IFERROR(AD45/AD$19,""))</f>
        <v>9.9674189275506017E-2</v>
      </c>
      <c r="AF45" s="145">
        <f t="shared" ref="AF45:AF52" si="6">IF(AND($AA45="",AD45=""),"",$AA45-AD45)</f>
        <v>-162205.15552</v>
      </c>
      <c r="AG45" s="143">
        <v>5818.1</v>
      </c>
      <c r="AH45" s="144">
        <f>IF(AG45=0,"",IFERROR(AG45/AG$19,""))</f>
        <v>3.8122257511750995E-2</v>
      </c>
      <c r="AI45" s="145">
        <f t="shared" ref="AI45:AI52" si="7">IF(AND($AA45="",AG45=""),"",$AA45-AG45)</f>
        <v>13638.9</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v>478.11</v>
      </c>
      <c r="P46" s="143">
        <v>997.5</v>
      </c>
      <c r="Q46" s="143">
        <v>791.7</v>
      </c>
      <c r="R46" s="143"/>
      <c r="S46" s="143"/>
      <c r="T46" s="143"/>
      <c r="U46" s="143"/>
      <c r="V46" s="143"/>
      <c r="W46" s="143"/>
      <c r="X46" s="143"/>
      <c r="Y46" s="143"/>
      <c r="Z46" s="143"/>
      <c r="AA46" s="143">
        <f t="shared" si="5"/>
        <v>2267.3100000000004</v>
      </c>
      <c r="AB46" s="144">
        <f>IF(AA46=0,"",IFERROR(AA46/AA$19,""))</f>
        <v>1.0470208318036545E-2</v>
      </c>
      <c r="AC46" s="140"/>
      <c r="AD46" s="143">
        <v>37483.34592</v>
      </c>
      <c r="AE46" s="144">
        <f>IF(AD46=0,"",IFERROR(AD46/AD$19,""))</f>
        <v>2.056632051521606E-2</v>
      </c>
      <c r="AF46" s="145">
        <f t="shared" si="6"/>
        <v>-35216.035920000002</v>
      </c>
      <c r="AG46" s="143">
        <v>467</v>
      </c>
      <c r="AH46" s="144">
        <f>IF(AG46=0,"",IFERROR(AG46/AG$19,""))</f>
        <v>3.05994985613649E-3</v>
      </c>
      <c r="AI46" s="145">
        <f t="shared" si="7"/>
        <v>1800.3100000000004</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v>302</v>
      </c>
      <c r="P47" s="143">
        <v>234</v>
      </c>
      <c r="Q47" s="143">
        <v>89</v>
      </c>
      <c r="R47" s="143"/>
      <c r="S47" s="143"/>
      <c r="T47" s="143"/>
      <c r="U47" s="143"/>
      <c r="V47" s="143"/>
      <c r="W47" s="143"/>
      <c r="X47" s="143"/>
      <c r="Y47" s="143"/>
      <c r="Z47" s="143"/>
      <c r="AA47" s="143">
        <f t="shared" si="5"/>
        <v>625</v>
      </c>
      <c r="AB47" s="144">
        <f>IF(AA47=0,"",IFERROR(AA47/AA$19,""))</f>
        <v>2.886186802322064E-3</v>
      </c>
      <c r="AC47" s="140"/>
      <c r="AD47" s="143">
        <v>4748.3097600000001</v>
      </c>
      <c r="AE47" s="144">
        <f>IF(AD47=0,"",IFERROR(AD47/AD$19,""))</f>
        <v>2.6052973135886116E-3</v>
      </c>
      <c r="AF47" s="145">
        <f t="shared" si="6"/>
        <v>-4123.3097600000001</v>
      </c>
      <c r="AG47" s="143">
        <v>50</v>
      </c>
      <c r="AH47" s="144">
        <f>IF(AG47=0,"",IFERROR(AG47/AG$19,""))</f>
        <v>3.276177576163266E-4</v>
      </c>
      <c r="AI47" s="145">
        <f t="shared" si="7"/>
        <v>575</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v>1764.5</v>
      </c>
      <c r="P48" s="217">
        <v>3219</v>
      </c>
      <c r="Q48" s="217">
        <v>1757</v>
      </c>
      <c r="R48" s="217"/>
      <c r="S48" s="217"/>
      <c r="T48" s="217"/>
      <c r="U48" s="217"/>
      <c r="V48" s="217"/>
      <c r="W48" s="217"/>
      <c r="X48" s="217"/>
      <c r="Y48" s="217"/>
      <c r="Z48" s="217"/>
      <c r="AA48" s="217">
        <f t="shared" si="5"/>
        <v>6740.5</v>
      </c>
      <c r="AB48" s="219">
        <f>IF(AA48=0,"",IFERROR(AA48/AA$19,""))</f>
        <v>3.1126947425682998E-2</v>
      </c>
      <c r="AC48" s="140"/>
      <c r="AD48" s="217">
        <v>90563.788799999995</v>
      </c>
      <c r="AE48" s="219">
        <f>IF(AD48=0,"",IFERROR(AD48/AD$19,""))</f>
        <v>4.9690438828709937E-2</v>
      </c>
      <c r="AF48" s="220">
        <f t="shared" si="6"/>
        <v>-83823.288799999995</v>
      </c>
      <c r="AG48" s="217">
        <v>2043</v>
      </c>
      <c r="AH48" s="219">
        <f>IF(AG48=0,"",IFERROR(AG48/AG$19,""))</f>
        <v>1.3386461576203103E-2</v>
      </c>
      <c r="AI48" s="220">
        <f t="shared" si="7"/>
        <v>4697.5</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v>9508.68</v>
      </c>
      <c r="P49" s="166">
        <v>13081.73</v>
      </c>
      <c r="Q49" s="166">
        <v>6499.4</v>
      </c>
      <c r="R49" s="166"/>
      <c r="S49" s="166"/>
      <c r="T49" s="166"/>
      <c r="U49" s="166"/>
      <c r="V49" s="166"/>
      <c r="W49" s="166"/>
      <c r="X49" s="166"/>
      <c r="Y49" s="166"/>
      <c r="Z49" s="166"/>
      <c r="AA49" s="166">
        <f t="shared" si="5"/>
        <v>29089.809999999998</v>
      </c>
      <c r="AB49" s="167">
        <f>IF(AA49=0,"",IFERROR(AA49/AA$19,""))</f>
        <v>0.13433380112649024</v>
      </c>
      <c r="AC49" s="140"/>
      <c r="AD49" s="166">
        <v>314457.59999999998</v>
      </c>
      <c r="AE49" s="167">
        <f>IF(AD49=0,"",IFERROR(AD49/AD$19,""))</f>
        <v>0.17253624593302064</v>
      </c>
      <c r="AF49" s="168">
        <f t="shared" si="6"/>
        <v>-285367.78999999998</v>
      </c>
      <c r="AG49" s="166">
        <v>8378.1</v>
      </c>
      <c r="AH49" s="167">
        <f>IF(AG49=0,"",IFERROR(AG49/AG$19,""))</f>
        <v>5.4896286701706917E-2</v>
      </c>
      <c r="AI49" s="168">
        <f t="shared" si="7"/>
        <v>20711.71</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v>11</v>
      </c>
      <c r="P50" s="210">
        <v>11</v>
      </c>
      <c r="Q50" s="210">
        <v>5</v>
      </c>
      <c r="R50" s="210"/>
      <c r="S50" s="210"/>
      <c r="T50" s="210"/>
      <c r="U50" s="210"/>
      <c r="V50" s="210"/>
      <c r="W50" s="210"/>
      <c r="X50" s="210"/>
      <c r="Y50" s="210"/>
      <c r="Z50" s="210"/>
      <c r="AA50" s="210">
        <f t="shared" si="5"/>
        <v>27</v>
      </c>
      <c r="AB50" s="211"/>
      <c r="AC50" s="140"/>
      <c r="AD50" s="210">
        <v>106</v>
      </c>
      <c r="AE50" s="211"/>
      <c r="AF50" s="253">
        <f t="shared" si="6"/>
        <v>-79</v>
      </c>
      <c r="AG50" s="210">
        <v>16</v>
      </c>
      <c r="AH50" s="211"/>
      <c r="AI50" s="253">
        <f t="shared" si="7"/>
        <v>11</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v>326</v>
      </c>
      <c r="P51" s="210">
        <v>414</v>
      </c>
      <c r="Q51" s="210">
        <v>203</v>
      </c>
      <c r="R51" s="210"/>
      <c r="S51" s="210"/>
      <c r="T51" s="210"/>
      <c r="U51" s="210"/>
      <c r="V51" s="210"/>
      <c r="W51" s="210"/>
      <c r="X51" s="210"/>
      <c r="Y51" s="210"/>
      <c r="Z51" s="210"/>
      <c r="AA51" s="210">
        <f t="shared" si="5"/>
        <v>943</v>
      </c>
      <c r="AB51" s="211">
        <f>IF(AA51=0,"",IFERROR(AA51/AA$87,""))</f>
        <v>0.13402501421262081</v>
      </c>
      <c r="AC51" s="140"/>
      <c r="AD51" s="210">
        <v>7866</v>
      </c>
      <c r="AE51" s="211">
        <f>IF(AD51=0,"",IFERROR(AD51/AD$87,""))</f>
        <v>0.16648676106419455</v>
      </c>
      <c r="AF51" s="253">
        <f t="shared" si="6"/>
        <v>-6923</v>
      </c>
      <c r="AG51" s="210">
        <v>308</v>
      </c>
      <c r="AH51" s="211">
        <f>IF(AG51=0,"",IFERROR(AG51/AG$87,""))</f>
        <v>5.449398443029016E-2</v>
      </c>
      <c r="AI51" s="253">
        <f t="shared" si="7"/>
        <v>635</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29.167730061349701</v>
      </c>
      <c r="P52" s="495">
        <v>31.598381642512098</v>
      </c>
      <c r="Q52" s="495">
        <v>32.016748768472901</v>
      </c>
      <c r="R52" s="495"/>
      <c r="S52" s="495"/>
      <c r="T52" s="495"/>
      <c r="U52" s="495"/>
      <c r="V52" s="495"/>
      <c r="W52" s="495"/>
      <c r="X52" s="495"/>
      <c r="Y52" s="495"/>
      <c r="Z52" s="495"/>
      <c r="AA52" s="495">
        <f>IFERROR(AA49/AA51,"")</f>
        <v>30.848154825026509</v>
      </c>
      <c r="AB52" s="495"/>
      <c r="AC52" s="140"/>
      <c r="AD52" s="495">
        <v>39.9768115942029</v>
      </c>
      <c r="AE52" s="495"/>
      <c r="AF52" s="496">
        <f t="shared" si="6"/>
        <v>-9.1286567691763914</v>
      </c>
      <c r="AG52" s="495">
        <v>27.201623376623399</v>
      </c>
      <c r="AH52" s="495"/>
      <c r="AI52" s="496">
        <f t="shared" si="7"/>
        <v>3.6465314484031097</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29.17</v>
      </c>
      <c r="P53" s="498">
        <f t="shared" si="8"/>
        <v>31.6</v>
      </c>
      <c r="Q53" s="498">
        <f t="shared" si="8"/>
        <v>32.020000000000003</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30.85</v>
      </c>
      <c r="AB53" s="499"/>
      <c r="AC53" s="140"/>
      <c r="AD53" s="497">
        <f>ROUND(IFERROR(AD49/AD51,0),2)</f>
        <v>39.979999999999997</v>
      </c>
      <c r="AE53" s="498"/>
      <c r="AF53" s="159"/>
      <c r="AG53" s="497">
        <f>ROUND(IFERROR(AG49/AG51,0),2)</f>
        <v>27.2</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v>25948.23</v>
      </c>
      <c r="P55" s="143">
        <v>34171.99</v>
      </c>
      <c r="Q55" s="143">
        <v>13778.14</v>
      </c>
      <c r="R55" s="143"/>
      <c r="S55" s="143"/>
      <c r="T55" s="143"/>
      <c r="U55" s="143"/>
      <c r="V55" s="143"/>
      <c r="W55" s="143"/>
      <c r="X55" s="143"/>
      <c r="Y55" s="143">
        <v>5134</v>
      </c>
      <c r="Z55" s="143">
        <v>11352.1</v>
      </c>
      <c r="AA55" s="143">
        <f t="shared" ref="AA55:AA61" si="10">SUM(O55:Z55)</f>
        <v>90384.46</v>
      </c>
      <c r="AB55" s="144">
        <f>IF(AA55=0,"",IFERROR(AA55/AA$19,""))</f>
        <v>0.41738629693921042</v>
      </c>
      <c r="AC55" s="140"/>
      <c r="AD55" s="143">
        <v>777488.42009599996</v>
      </c>
      <c r="AE55" s="144">
        <f>IF(AD55=0,"",IFERROR(AD55/AD$19,""))</f>
        <v>0.42659148088568732</v>
      </c>
      <c r="AF55" s="145">
        <f t="shared" ref="AF55:AF62" si="11">IF(AND($AA55="",AD55=""),"",$AA55-AD55)</f>
        <v>-687103.960096</v>
      </c>
      <c r="AG55" s="143">
        <v>53528.33</v>
      </c>
      <c r="AH55" s="144">
        <f>IF(AG55=0,"",IFERROR(AG55/AG$19,""))</f>
        <v>0.35073662887093487</v>
      </c>
      <c r="AI55" s="145">
        <f t="shared" ref="AI55:AI62" si="12">IF(AND($AA55="",AG55=""),"",$AA55-AG55)</f>
        <v>36856.130000000005</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v>3931.83</v>
      </c>
      <c r="P56" s="143">
        <v>6626.93</v>
      </c>
      <c r="Q56" s="143">
        <v>2980.71</v>
      </c>
      <c r="R56" s="143"/>
      <c r="S56" s="143"/>
      <c r="T56" s="143"/>
      <c r="U56" s="143"/>
      <c r="V56" s="143"/>
      <c r="W56" s="143"/>
      <c r="X56" s="143"/>
      <c r="Y56" s="143">
        <v>1410.3</v>
      </c>
      <c r="Z56" s="143">
        <v>2416.6</v>
      </c>
      <c r="AA56" s="143">
        <f t="shared" si="10"/>
        <v>17366.37</v>
      </c>
      <c r="AB56" s="144">
        <f>IF(AA56=0,"",IFERROR(AA56/AA$19,""))</f>
        <v>8.0196140637186913E-2</v>
      </c>
      <c r="AC56" s="140"/>
      <c r="AD56" s="143">
        <v>109430.4304</v>
      </c>
      <c r="AE56" s="144">
        <f>IF(AD56=0,"",IFERROR(AD56/AD$19,""))</f>
        <v>6.0042166740605724E-2</v>
      </c>
      <c r="AF56" s="145">
        <f t="shared" si="11"/>
        <v>-92064.060400000002</v>
      </c>
      <c r="AG56" s="143">
        <v>7671.78</v>
      </c>
      <c r="AH56" s="144">
        <f>IF(AG56=0,"",IFERROR(AG56/AG$19,""))</f>
        <v>5.0268227210515638E-2</v>
      </c>
      <c r="AI56" s="145">
        <f t="shared" si="12"/>
        <v>9694.59</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v>807.6</v>
      </c>
      <c r="P57" s="143">
        <v>875.98</v>
      </c>
      <c r="Q57" s="143">
        <v>397.58</v>
      </c>
      <c r="R57" s="143"/>
      <c r="S57" s="143"/>
      <c r="T57" s="143"/>
      <c r="U57" s="143"/>
      <c r="V57" s="143"/>
      <c r="W57" s="143"/>
      <c r="X57" s="143"/>
      <c r="Y57" s="143">
        <v>170.4</v>
      </c>
      <c r="Z57" s="143">
        <v>361.4</v>
      </c>
      <c r="AA57" s="143">
        <f t="shared" si="10"/>
        <v>2612.96</v>
      </c>
      <c r="AB57" s="144">
        <f>IF(AA57=0,"",IFERROR(AA57/AA$19,""))</f>
        <v>1.2066385067192736E-2</v>
      </c>
      <c r="AC57" s="140"/>
      <c r="AD57" s="143">
        <v>64711.832896</v>
      </c>
      <c r="AE57" s="144">
        <f>IF(AD57=0,"",IFERROR(AD57/AD$19,""))</f>
        <v>3.5506016440120358E-2</v>
      </c>
      <c r="AF57" s="145">
        <f t="shared" si="11"/>
        <v>-62098.872896000001</v>
      </c>
      <c r="AG57" s="143">
        <v>1687.6</v>
      </c>
      <c r="AH57" s="144">
        <f>IF(AG57=0,"",IFERROR(AG57/AG$19,""))</f>
        <v>1.1057754555066255E-2</v>
      </c>
      <c r="AI57" s="145">
        <f t="shared" si="12"/>
        <v>925.36000000000013</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v>4500.84</v>
      </c>
      <c r="P58" s="217">
        <v>8114.07</v>
      </c>
      <c r="Q58" s="217">
        <v>2770.15</v>
      </c>
      <c r="R58" s="217"/>
      <c r="S58" s="217"/>
      <c r="T58" s="217"/>
      <c r="U58" s="217"/>
      <c r="V58" s="217"/>
      <c r="W58" s="217"/>
      <c r="X58" s="217"/>
      <c r="Y58" s="217">
        <v>733.2</v>
      </c>
      <c r="Z58" s="217">
        <v>1847.8</v>
      </c>
      <c r="AA58" s="217">
        <f t="shared" si="10"/>
        <v>17966.060000000001</v>
      </c>
      <c r="AB58" s="219">
        <f>IF(AA58=0,"",IFERROR(AA58/AA$19,""))</f>
        <v>8.2965448418762161E-2</v>
      </c>
      <c r="AC58" s="140"/>
      <c r="AD58" s="217">
        <v>231400.99660799999</v>
      </c>
      <c r="AE58" s="219">
        <f>IF(AD58=0,"",IFERROR(AD58/AD$19,""))</f>
        <v>0.12696484123743221</v>
      </c>
      <c r="AF58" s="220">
        <f t="shared" si="11"/>
        <v>-213434.93660799999</v>
      </c>
      <c r="AG58" s="217">
        <v>11799.12</v>
      </c>
      <c r="AH58" s="219">
        <f>IF(AG58=0,"",IFERROR(AG58/AG$19,""))</f>
        <v>7.7312024724919035E-2</v>
      </c>
      <c r="AI58" s="220">
        <f t="shared" si="12"/>
        <v>6166.9400000000005</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v>35188.5</v>
      </c>
      <c r="P59" s="166">
        <v>49788.97</v>
      </c>
      <c r="Q59" s="166">
        <v>19926.580000000002</v>
      </c>
      <c r="R59" s="166"/>
      <c r="S59" s="166"/>
      <c r="T59" s="166"/>
      <c r="U59" s="166"/>
      <c r="V59" s="166"/>
      <c r="W59" s="166"/>
      <c r="X59" s="166"/>
      <c r="Y59" s="166">
        <v>7447.9</v>
      </c>
      <c r="Z59" s="166">
        <v>15977.9</v>
      </c>
      <c r="AA59" s="166">
        <f t="shared" si="10"/>
        <v>128329.84999999999</v>
      </c>
      <c r="AB59" s="167">
        <f>IF(AA59=0,"",IFERROR(AA59/AA$19,""))</f>
        <v>0.5926142710623522</v>
      </c>
      <c r="AC59" s="140"/>
      <c r="AD59" s="166">
        <v>1183031.68</v>
      </c>
      <c r="AE59" s="167">
        <f>IF(AD59=0,"",IFERROR(AD59/AD$19,""))</f>
        <v>0.64910450530384556</v>
      </c>
      <c r="AF59" s="168">
        <f t="shared" si="11"/>
        <v>-1054701.8299999998</v>
      </c>
      <c r="AG59" s="166">
        <v>74686.83</v>
      </c>
      <c r="AH59" s="167">
        <f>IF(AG59=0,"",IFERROR(AG59/AG$19,""))</f>
        <v>0.48937463536143577</v>
      </c>
      <c r="AI59" s="168">
        <f t="shared" si="12"/>
        <v>53643.01999999999</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v>31</v>
      </c>
      <c r="P60" s="210">
        <v>29</v>
      </c>
      <c r="Q60" s="210">
        <v>15</v>
      </c>
      <c r="R60" s="210"/>
      <c r="S60" s="210"/>
      <c r="T60" s="210"/>
      <c r="U60" s="210"/>
      <c r="V60" s="210"/>
      <c r="W60" s="210"/>
      <c r="X60" s="210"/>
      <c r="Y60" s="210"/>
      <c r="Z60" s="210">
        <v>13</v>
      </c>
      <c r="AA60" s="210">
        <f t="shared" si="10"/>
        <v>88</v>
      </c>
      <c r="AB60" s="211"/>
      <c r="AC60" s="140"/>
      <c r="AD60" s="210">
        <v>366</v>
      </c>
      <c r="AE60" s="211"/>
      <c r="AF60" s="253">
        <f t="shared" si="11"/>
        <v>-278</v>
      </c>
      <c r="AG60" s="210">
        <v>65</v>
      </c>
      <c r="AH60" s="211"/>
      <c r="AI60" s="253">
        <f t="shared" si="12"/>
        <v>23</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v>821</v>
      </c>
      <c r="P61" s="210">
        <v>1132</v>
      </c>
      <c r="Q61" s="210">
        <v>496</v>
      </c>
      <c r="R61" s="210"/>
      <c r="S61" s="210"/>
      <c r="T61" s="210"/>
      <c r="U61" s="210"/>
      <c r="V61" s="210"/>
      <c r="W61" s="210"/>
      <c r="X61" s="210"/>
      <c r="Y61" s="210">
        <v>167</v>
      </c>
      <c r="Z61" s="210">
        <v>365</v>
      </c>
      <c r="AA61" s="210">
        <f t="shared" si="10"/>
        <v>2981</v>
      </c>
      <c r="AB61" s="211">
        <f>IF(AA61=0,"",IFERROR(AA61/AA$87,""))</f>
        <v>0.42367822626492324</v>
      </c>
      <c r="AC61" s="140"/>
      <c r="AD61" s="210">
        <v>24506</v>
      </c>
      <c r="AE61" s="211">
        <f>IF(AD61=0,"",IFERROR(AD61/AD$87,""))</f>
        <v>0.51867843460960483</v>
      </c>
      <c r="AF61" s="253">
        <f t="shared" si="11"/>
        <v>-21525</v>
      </c>
      <c r="AG61" s="210">
        <v>1586</v>
      </c>
      <c r="AH61" s="211">
        <f>IF(AG61=0,"",IFERROR(AG61/AG$87,""))</f>
        <v>0.2806086341118188</v>
      </c>
      <c r="AI61" s="253">
        <f t="shared" si="12"/>
        <v>1395</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v>42.860535931790501</v>
      </c>
      <c r="P62" s="495">
        <v>43.983189045936399</v>
      </c>
      <c r="Q62" s="495">
        <v>40.174556451612901</v>
      </c>
      <c r="R62" s="495"/>
      <c r="S62" s="495"/>
      <c r="T62" s="495"/>
      <c r="U62" s="495"/>
      <c r="V62" s="495"/>
      <c r="W62" s="495"/>
      <c r="X62" s="495"/>
      <c r="Y62" s="495">
        <v>44.5982035928144</v>
      </c>
      <c r="Z62" s="495">
        <v>43.775068493150698</v>
      </c>
      <c r="AA62" s="495">
        <f>IFERROR(AA59/AA61,"")</f>
        <v>43.049261992619925</v>
      </c>
      <c r="AB62" s="495"/>
      <c r="AC62" s="140"/>
      <c r="AD62" s="495">
        <v>48.275184852689101</v>
      </c>
      <c r="AE62" s="495"/>
      <c r="AF62" s="496">
        <f t="shared" si="11"/>
        <v>-5.2259228600691756</v>
      </c>
      <c r="AG62" s="495">
        <v>47.091317780580098</v>
      </c>
      <c r="AH62" s="495"/>
      <c r="AI62" s="496">
        <f t="shared" si="12"/>
        <v>-4.0420557879601731</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42.86</v>
      </c>
      <c r="P63" s="498">
        <f t="shared" si="13"/>
        <v>43.98</v>
      </c>
      <c r="Q63" s="498">
        <f t="shared" si="13"/>
        <v>40.17</v>
      </c>
      <c r="R63" s="498">
        <f t="shared" si="13"/>
        <v>0</v>
      </c>
      <c r="S63" s="498">
        <f t="shared" si="13"/>
        <v>0</v>
      </c>
      <c r="T63" s="498">
        <f t="shared" si="13"/>
        <v>0</v>
      </c>
      <c r="U63" s="498">
        <f t="shared" si="13"/>
        <v>0</v>
      </c>
      <c r="V63" s="498">
        <f t="shared" si="13"/>
        <v>0</v>
      </c>
      <c r="W63" s="498">
        <f t="shared" si="13"/>
        <v>0</v>
      </c>
      <c r="X63" s="498">
        <f t="shared" si="13"/>
        <v>0</v>
      </c>
      <c r="Y63" s="498">
        <f t="shared" si="13"/>
        <v>44.6</v>
      </c>
      <c r="Z63" s="498">
        <f t="shared" si="13"/>
        <v>43.78</v>
      </c>
      <c r="AA63" s="498">
        <f t="shared" si="13"/>
        <v>43.05</v>
      </c>
      <c r="AB63" s="499"/>
      <c r="AC63" s="140"/>
      <c r="AD63" s="497">
        <f>ROUND(IFERROR(AD59/AD61,0),2)</f>
        <v>48.28</v>
      </c>
      <c r="AE63" s="498"/>
      <c r="AF63" s="159"/>
      <c r="AG63" s="497">
        <f>ROUND(IFERROR(AG59/AG61,0),2)</f>
        <v>47.09</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v>2538.3000000000002</v>
      </c>
      <c r="P65" s="143">
        <v>1444.57</v>
      </c>
      <c r="Q65" s="143">
        <v>624</v>
      </c>
      <c r="R65" s="143"/>
      <c r="S65" s="143"/>
      <c r="T65" s="143"/>
      <c r="U65" s="143"/>
      <c r="V65" s="143"/>
      <c r="W65" s="143"/>
      <c r="X65" s="143"/>
      <c r="Y65" s="143"/>
      <c r="Z65" s="143"/>
      <c r="AA65" s="143">
        <f t="shared" ref="AA65:AA71" si="15">SUM(O65:Z65)</f>
        <v>4606.87</v>
      </c>
      <c r="AB65" s="144">
        <f>IF(AA65=0,"",IFERROR(AA65/AA$19,""))</f>
        <v>2.1274059830421514E-2</v>
      </c>
      <c r="AC65" s="140"/>
      <c r="AD65" s="143">
        <v>9741.6253620000007</v>
      </c>
      <c r="AE65" s="144">
        <f>IF(AD65=0,"",IFERROR(AD65/AD$19,""))</f>
        <v>5.3450241598402559E-3</v>
      </c>
      <c r="AF65" s="145">
        <f t="shared" ref="AF65:AF72" si="16">IF(AND($AA65="",AD65=""),"",$AA65-AD65)</f>
        <v>-5134.7553620000008</v>
      </c>
      <c r="AG65" s="143">
        <v>5588.85</v>
      </c>
      <c r="AH65" s="144">
        <f>IF(AG65=0,"",IFERROR(AG65/AG$19,""))</f>
        <v>3.6620130093080135E-2</v>
      </c>
      <c r="AI65" s="145">
        <f t="shared" ref="AI65:AI72" si="17">IF(AND($AA65="",AG65=""),"",$AA65-AG65)</f>
        <v>-981.98000000000047</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v>1237.2</v>
      </c>
      <c r="P66" s="143">
        <v>1273</v>
      </c>
      <c r="Q66" s="143">
        <v>404</v>
      </c>
      <c r="R66" s="143"/>
      <c r="S66" s="143"/>
      <c r="T66" s="143"/>
      <c r="U66" s="143"/>
      <c r="V66" s="143"/>
      <c r="W66" s="143"/>
      <c r="X66" s="143"/>
      <c r="Y66" s="143"/>
      <c r="Z66" s="143"/>
      <c r="AA66" s="143">
        <f t="shared" si="15"/>
        <v>2914.2</v>
      </c>
      <c r="AB66" s="144">
        <f>IF(AA66=0,"",IFERROR(AA66/AA$19,""))</f>
        <v>1.3457480926923135E-2</v>
      </c>
      <c r="AC66" s="140"/>
      <c r="AD66" s="143">
        <v>13581.886857</v>
      </c>
      <c r="AE66" s="144">
        <f>IF(AD66=0,"",IFERROR(AD66/AD$19,""))</f>
        <v>7.452094562172492E-3</v>
      </c>
      <c r="AF66" s="145">
        <f t="shared" si="16"/>
        <v>-10667.686857000001</v>
      </c>
      <c r="AG66" s="143">
        <v>3547.2</v>
      </c>
      <c r="AH66" s="144">
        <f>IF(AG66=0,"",IFERROR(AG66/AG$19,""))</f>
        <v>2.3242514196332671E-2</v>
      </c>
      <c r="AI66" s="145">
        <f t="shared" si="17"/>
        <v>-633</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v>130</v>
      </c>
      <c r="P67" s="143">
        <v>111</v>
      </c>
      <c r="Q67" s="143">
        <v>65</v>
      </c>
      <c r="R67" s="143"/>
      <c r="S67" s="143"/>
      <c r="T67" s="143"/>
      <c r="U67" s="143"/>
      <c r="V67" s="143"/>
      <c r="W67" s="143"/>
      <c r="X67" s="143"/>
      <c r="Y67" s="143"/>
      <c r="Z67" s="143"/>
      <c r="AA67" s="143">
        <f t="shared" si="15"/>
        <v>306</v>
      </c>
      <c r="AB67" s="144">
        <f>IF(AA67=0,"",IFERROR(AA67/AA$19,""))</f>
        <v>1.4130770584168827E-3</v>
      </c>
      <c r="AC67" s="140"/>
      <c r="AD67" s="143">
        <v>4825.4425030000002</v>
      </c>
      <c r="AE67" s="144">
        <f>IF(AD67=0,"",IFERROR(AD67/AD$19,""))</f>
        <v>2.6476184211583968E-3</v>
      </c>
      <c r="AF67" s="145">
        <f t="shared" si="16"/>
        <v>-4519.4425030000002</v>
      </c>
      <c r="AG67" s="143">
        <v>224</v>
      </c>
      <c r="AH67" s="144">
        <f>IF(AG67=0,"",IFERROR(AG67/AG$19,""))</f>
        <v>1.4677275541211431E-3</v>
      </c>
      <c r="AI67" s="145">
        <f t="shared" si="17"/>
        <v>82</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v>1033</v>
      </c>
      <c r="P68" s="217">
        <v>343</v>
      </c>
      <c r="Q68" s="217">
        <v>361</v>
      </c>
      <c r="R68" s="217"/>
      <c r="S68" s="217"/>
      <c r="T68" s="217"/>
      <c r="U68" s="217"/>
      <c r="V68" s="217"/>
      <c r="W68" s="217"/>
      <c r="X68" s="217"/>
      <c r="Y68" s="217"/>
      <c r="Z68" s="217"/>
      <c r="AA68" s="217">
        <f t="shared" si="15"/>
        <v>1737</v>
      </c>
      <c r="AB68" s="219">
        <f>IF(AA68=0,"",IFERROR(AA68/AA$19,""))</f>
        <v>8.0212903610134799E-3</v>
      </c>
      <c r="AC68" s="140"/>
      <c r="AD68" s="217">
        <v>4258.315278</v>
      </c>
      <c r="AE68" s="219">
        <f>IF(AD68=0,"",IFERROR(AD68/AD$19,""))</f>
        <v>2.3364476866367585E-3</v>
      </c>
      <c r="AF68" s="220">
        <f t="shared" si="16"/>
        <v>-2521.315278</v>
      </c>
      <c r="AG68" s="217">
        <v>2039</v>
      </c>
      <c r="AH68" s="219">
        <f>IF(AG68=0,"",IFERROR(AG68/AG$19,""))</f>
        <v>1.3360252155593798E-2</v>
      </c>
      <c r="AI68" s="220">
        <f t="shared" si="17"/>
        <v>-302</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v>4938.5</v>
      </c>
      <c r="P69" s="166">
        <v>3171.57</v>
      </c>
      <c r="Q69" s="166">
        <v>1454</v>
      </c>
      <c r="R69" s="166"/>
      <c r="S69" s="166"/>
      <c r="T69" s="166"/>
      <c r="U69" s="166"/>
      <c r="V69" s="166"/>
      <c r="W69" s="166"/>
      <c r="X69" s="166"/>
      <c r="Y69" s="166"/>
      <c r="Z69" s="166"/>
      <c r="AA69" s="166">
        <f t="shared" si="15"/>
        <v>9564.07</v>
      </c>
      <c r="AB69" s="167">
        <f>IF(AA69=0,"",IFERROR(AA69/AA$19,""))</f>
        <v>4.4165908176775015E-2</v>
      </c>
      <c r="AC69" s="140"/>
      <c r="AD69" s="166">
        <v>32407.27</v>
      </c>
      <c r="AE69" s="167">
        <f>IF(AD69=0,"",IFERROR(AD69/AD$19,""))</f>
        <v>1.7781184829807905E-2</v>
      </c>
      <c r="AF69" s="168">
        <f t="shared" si="16"/>
        <v>-22843.200000000001</v>
      </c>
      <c r="AG69" s="166">
        <v>11399.05</v>
      </c>
      <c r="AH69" s="167">
        <f>IF(AG69=0,"",IFERROR(AG69/AG$19,""))</f>
        <v>7.4690623999127737E-2</v>
      </c>
      <c r="AI69" s="168">
        <f t="shared" si="17"/>
        <v>-1834.9799999999996</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v>31</v>
      </c>
      <c r="P70" s="210">
        <v>21</v>
      </c>
      <c r="Q70" s="210">
        <v>11</v>
      </c>
      <c r="R70" s="210"/>
      <c r="S70" s="210"/>
      <c r="T70" s="210"/>
      <c r="U70" s="210"/>
      <c r="V70" s="210"/>
      <c r="W70" s="210"/>
      <c r="X70" s="210"/>
      <c r="Y70" s="210"/>
      <c r="Z70" s="210"/>
      <c r="AA70" s="210">
        <f t="shared" si="15"/>
        <v>63</v>
      </c>
      <c r="AB70" s="211"/>
      <c r="AC70" s="140"/>
      <c r="AD70" s="210">
        <v>366</v>
      </c>
      <c r="AE70" s="211"/>
      <c r="AF70" s="253">
        <f t="shared" si="16"/>
        <v>-303</v>
      </c>
      <c r="AG70" s="210">
        <v>61</v>
      </c>
      <c r="AH70" s="211"/>
      <c r="AI70" s="253">
        <f t="shared" si="17"/>
        <v>2</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v>149</v>
      </c>
      <c r="P71" s="210">
        <v>173</v>
      </c>
      <c r="Q71" s="210">
        <v>99</v>
      </c>
      <c r="R71" s="210"/>
      <c r="S71" s="210"/>
      <c r="T71" s="210"/>
      <c r="U71" s="210"/>
      <c r="V71" s="210"/>
      <c r="W71" s="210"/>
      <c r="X71" s="210"/>
      <c r="Y71" s="210"/>
      <c r="Z71" s="210"/>
      <c r="AA71" s="210">
        <f t="shared" si="15"/>
        <v>421</v>
      </c>
      <c r="AB71" s="211">
        <f>IF(AA71=0,"",IFERROR(AA71/AA$87,""))</f>
        <v>5.9835133598635591E-2</v>
      </c>
      <c r="AC71" s="140"/>
      <c r="AD71" s="210">
        <v>1687</v>
      </c>
      <c r="AE71" s="211">
        <f>IF(AD71=0,"",IFERROR(AD71/AD$87,""))</f>
        <v>3.5705970749465576E-2</v>
      </c>
      <c r="AF71" s="253">
        <f t="shared" si="16"/>
        <v>-1266</v>
      </c>
      <c r="AG71" s="210">
        <v>366</v>
      </c>
      <c r="AH71" s="211">
        <f>IF(AG71=0,"",IFERROR(AG71/AG$87,""))</f>
        <v>6.4755838641188959E-2</v>
      </c>
      <c r="AI71" s="253">
        <f t="shared" si="17"/>
        <v>55</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v>33.144295302013397</v>
      </c>
      <c r="P72" s="495">
        <v>18.332774566474001</v>
      </c>
      <c r="Q72" s="495">
        <v>14.686868686868699</v>
      </c>
      <c r="R72" s="495"/>
      <c r="S72" s="495"/>
      <c r="T72" s="495"/>
      <c r="U72" s="495"/>
      <c r="V72" s="495"/>
      <c r="W72" s="495"/>
      <c r="X72" s="495"/>
      <c r="Y72" s="495"/>
      <c r="Z72" s="495"/>
      <c r="AA72" s="495">
        <f>IFERROR(AA69/AA71,"")</f>
        <v>22.717505938242279</v>
      </c>
      <c r="AB72" s="495"/>
      <c r="AC72" s="140"/>
      <c r="AD72" s="495">
        <v>19.21</v>
      </c>
      <c r="AE72" s="495"/>
      <c r="AF72" s="496">
        <f t="shared" si="16"/>
        <v>3.5075059382422786</v>
      </c>
      <c r="AG72" s="495">
        <v>31.1449453551913</v>
      </c>
      <c r="AH72" s="495"/>
      <c r="AI72" s="496">
        <f t="shared" si="17"/>
        <v>-8.4274394169490208</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33.14</v>
      </c>
      <c r="P73" s="498">
        <f t="shared" si="18"/>
        <v>18.329999999999998</v>
      </c>
      <c r="Q73" s="498">
        <f t="shared" si="18"/>
        <v>14.69</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22.72</v>
      </c>
      <c r="AB73" s="499"/>
      <c r="AC73" s="140"/>
      <c r="AD73" s="497">
        <f>ROUND(IFERROR(AD69/AD71,0),2)</f>
        <v>19.21</v>
      </c>
      <c r="AE73" s="498"/>
      <c r="AF73" s="159"/>
      <c r="AG73" s="497">
        <f>ROUND(IFERROR(AG69/AG71,0),2)</f>
        <v>31.14</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b">
        <f t="shared" si="19"/>
        <v>1</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v>19020.499640000002</v>
      </c>
      <c r="AE75" s="144">
        <f>IF(AD75=0,"",IFERROR(AD75/AD$19,""))</f>
        <v>1.0436146570017613E-2</v>
      </c>
      <c r="AF75" s="145">
        <f t="shared" ref="AF75:AF81" si="21">IF(AND($AA75="",AD75=""),"",$AA75-AD75)</f>
        <v>-19020.499640000002</v>
      </c>
      <c r="AG75" s="143">
        <v>104</v>
      </c>
      <c r="AH75" s="144">
        <f>IF(AG75=0,"",IFERROR(AG75/AG$19,""))</f>
        <v>6.8144493584195928E-4</v>
      </c>
      <c r="AI75" s="145">
        <f t="shared" ref="AI75:AI81" si="22">IF(AND($AA75="",AG75=""),"",$AA75-AG75)</f>
        <v>-104</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v>3569.36652</v>
      </c>
      <c r="AE76" s="144">
        <f>IF(AD76=0,"",IFERROR(AD76/AD$19,""))</f>
        <v>1.9584360489929647E-3</v>
      </c>
      <c r="AF76" s="145">
        <f t="shared" si="21"/>
        <v>-3569.36652</v>
      </c>
      <c r="AG76" s="143">
        <v>140</v>
      </c>
      <c r="AH76" s="144">
        <f>IF(AG76=0,"",IFERROR(AG76/AG$19,""))</f>
        <v>9.1732972132571437E-4</v>
      </c>
      <c r="AI76" s="145">
        <f t="shared" si="22"/>
        <v>-140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v>2108.73144</v>
      </c>
      <c r="AE77" s="144">
        <f>IF(AD77=0,"",IFERROR(AD77/AD$19,""))</f>
        <v>1.1570164191882554E-3</v>
      </c>
      <c r="AF77" s="145">
        <f t="shared" si="21"/>
        <v>-2108.73144</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v>7545.0024000000003</v>
      </c>
      <c r="AE78" s="219">
        <f>IF(AD78=0,"",IFERROR(AD78/AD$19,""))</f>
        <v>4.1397835181965102E-3</v>
      </c>
      <c r="AF78" s="220">
        <f t="shared" si="21"/>
        <v>-7545.0024000000003</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v>32243.599999999999</v>
      </c>
      <c r="AE79" s="167">
        <f>IF(AD79=0,"",IFERROR(AD79/AD$19,""))</f>
        <v>1.7691382556395342E-2</v>
      </c>
      <c r="AF79" s="168">
        <f t="shared" si="21"/>
        <v>-32243.599999999999</v>
      </c>
      <c r="AG79" s="166">
        <v>244</v>
      </c>
      <c r="AH79" s="167">
        <f>IF(AG79=0,"",IFERROR(AG79/AG$19,""))</f>
        <v>1.5987746571676736E-3</v>
      </c>
      <c r="AI79" s="168">
        <f t="shared" si="22"/>
        <v>-244</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v>298</v>
      </c>
      <c r="AE80" s="211">
        <f>IF(AD80=0,"",IFERROR(AD80/AD$87,""))</f>
        <v>6.3072787690223722E-3</v>
      </c>
      <c r="AF80" s="253">
        <f t="shared" si="21"/>
        <v>-298</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v>108.2</v>
      </c>
      <c r="AE81" s="495"/>
      <c r="AF81" s="496" t="e">
        <f t="shared" si="21"/>
        <v>#VALUE!</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108.2</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v>-223.81</v>
      </c>
      <c r="Q83" s="143">
        <v>-180.72</v>
      </c>
      <c r="R83" s="143"/>
      <c r="S83" s="143"/>
      <c r="T83" s="143"/>
      <c r="U83" s="143"/>
      <c r="V83" s="143"/>
      <c r="W83" s="143"/>
      <c r="X83" s="143"/>
      <c r="Y83" s="143"/>
      <c r="Z83" s="143"/>
      <c r="AA83" s="143">
        <f>SUM(O83:Z83)</f>
        <v>-404.53</v>
      </c>
      <c r="AB83" s="144">
        <f>IF(AA83=0,"",IFERROR(AA83/AA$19,""))</f>
        <v>-1.8680786354293513E-3</v>
      </c>
      <c r="AC83" s="140"/>
      <c r="AD83" s="143"/>
      <c r="AE83" s="144" t="str">
        <f>IF(AD83=0,"",IFERROR(AD83/AD$19,""))</f>
        <v/>
      </c>
      <c r="AF83" s="145">
        <f>IF(AND($AA83="",AD83=""),"",$AA83-AD83)</f>
        <v>-404.53</v>
      </c>
      <c r="AG83" s="143"/>
      <c r="AH83" s="144" t="str">
        <f>IF(AG83=0,"",IFERROR(AG83/AG$19,""))</f>
        <v/>
      </c>
      <c r="AI83" s="145">
        <f>IF(AND($AA83="",AG83=""),"",$AA83-AG83)</f>
        <v>-404.53</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65833.679999999993</v>
      </c>
      <c r="P85" s="507">
        <v>85743.96</v>
      </c>
      <c r="Q85" s="507">
        <v>37189.26</v>
      </c>
      <c r="R85" s="507"/>
      <c r="S85" s="507"/>
      <c r="T85" s="507"/>
      <c r="U85" s="507"/>
      <c r="V85" s="507"/>
      <c r="W85" s="507"/>
      <c r="X85" s="507"/>
      <c r="Y85" s="507">
        <v>7447.9</v>
      </c>
      <c r="Z85" s="507">
        <v>20333.900000000001</v>
      </c>
      <c r="AA85" s="507">
        <f>SUM(O85:Z85)</f>
        <v>216548.7</v>
      </c>
      <c r="AB85" s="508">
        <f>IF(AA85=0,"",IFERROR(AA85/AA$19,""))</f>
        <v>1</v>
      </c>
      <c r="AC85" s="140"/>
      <c r="AD85" s="507">
        <v>1822559.65</v>
      </c>
      <c r="AE85" s="508">
        <f>IF(AD85=0,"",IFERROR(AD85/AD$19,""))</f>
        <v>1</v>
      </c>
      <c r="AF85" s="509">
        <f>IF(AND($AA85="",AD85=""),"",$AA85-AD85)</f>
        <v>-1606010.95</v>
      </c>
      <c r="AG85" s="507">
        <v>152616.88</v>
      </c>
      <c r="AH85" s="508">
        <f>IF(AG85=0,"",IFERROR(AG85/AG$19,""))</f>
        <v>1</v>
      </c>
      <c r="AI85" s="509">
        <f>IF(AND($AA85="",AG85=""),"",$AA85-AG85)</f>
        <v>63931.820000000007</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v>88</v>
      </c>
      <c r="P86" s="507">
        <v>88</v>
      </c>
      <c r="Q86" s="507">
        <v>88</v>
      </c>
      <c r="R86" s="507"/>
      <c r="S86" s="507"/>
      <c r="T86" s="507"/>
      <c r="U86" s="507">
        <v>88</v>
      </c>
      <c r="V86" s="507">
        <v>88</v>
      </c>
      <c r="W86" s="507">
        <v>88</v>
      </c>
      <c r="X86" s="507"/>
      <c r="Y86" s="507"/>
      <c r="Z86" s="507">
        <v>60</v>
      </c>
      <c r="AA86" s="507">
        <f>SUM(O86:Z86)</f>
        <v>588</v>
      </c>
      <c r="AB86" s="508"/>
      <c r="AC86" s="140"/>
      <c r="AD86" s="507"/>
      <c r="AE86" s="508"/>
      <c r="AF86" s="509">
        <f>IF(AND($AA86="",AD86=""),"",$AA86-AD86)</f>
        <v>588</v>
      </c>
      <c r="AG86" s="507">
        <v>153</v>
      </c>
      <c r="AH86" s="508"/>
      <c r="AI86" s="509">
        <f>IF(AND($AA86="",AG86=""),"",$AA86-AG86)</f>
        <v>435</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2245</v>
      </c>
      <c r="P87" s="507">
        <v>2786</v>
      </c>
      <c r="Q87" s="507">
        <v>1279</v>
      </c>
      <c r="R87" s="507"/>
      <c r="S87" s="507"/>
      <c r="T87" s="507"/>
      <c r="U87" s="507"/>
      <c r="V87" s="507"/>
      <c r="W87" s="507"/>
      <c r="X87" s="507"/>
      <c r="Y87" s="507">
        <v>167</v>
      </c>
      <c r="Z87" s="507">
        <v>559</v>
      </c>
      <c r="AA87" s="507">
        <f>SUM(O87:Z87)</f>
        <v>7036</v>
      </c>
      <c r="AB87" s="508">
        <f>IF(AA87=0,"",IFERROR(AA87/AA$20,""))</f>
        <v>1</v>
      </c>
      <c r="AC87" s="140"/>
      <c r="AD87" s="507">
        <v>47247</v>
      </c>
      <c r="AE87" s="508">
        <f>IF(AD87=0,"",IFERROR(AD87/AD$20,""))</f>
        <v>1</v>
      </c>
      <c r="AF87" s="509">
        <f>IF(AND($AA87="",AD87=""),"",$AA87-AD87)</f>
        <v>-40211</v>
      </c>
      <c r="AG87" s="507">
        <v>5652</v>
      </c>
      <c r="AH87" s="508">
        <f>IF(AG87=0,"",IFERROR(AG87/AG$20,""))</f>
        <v>1</v>
      </c>
      <c r="AI87" s="509">
        <f>IF(AND($AA87="",AG87=""),"",$AA87-AG87)</f>
        <v>1384</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29.324579064588001</v>
      </c>
      <c r="P88" s="495">
        <v>30.7767264895908</v>
      </c>
      <c r="Q88" s="495">
        <v>29.0768256450352</v>
      </c>
      <c r="R88" s="495"/>
      <c r="S88" s="495"/>
      <c r="T88" s="495"/>
      <c r="U88" s="495"/>
      <c r="V88" s="495"/>
      <c r="W88" s="495"/>
      <c r="X88" s="495"/>
      <c r="Y88" s="495">
        <v>44.5982035928144</v>
      </c>
      <c r="Z88" s="495">
        <v>36.375491949910597</v>
      </c>
      <c r="AA88" s="495">
        <f>IFERROR(AA85/AA87,"")</f>
        <v>30.777245594087553</v>
      </c>
      <c r="AB88" s="495"/>
      <c r="AC88" s="140"/>
      <c r="AD88" s="495">
        <v>38.575140220543098</v>
      </c>
      <c r="AE88" s="495"/>
      <c r="AF88" s="496">
        <f>IF(AND($AA88="",AD88=""),"",$AA88-AD88)</f>
        <v>-7.7978946264555447</v>
      </c>
      <c r="AG88" s="495">
        <v>27.0022788393489</v>
      </c>
      <c r="AH88" s="495"/>
      <c r="AI88" s="496">
        <f>IF(AND($AA88="",AG88=""),"",$AA88-AG88)</f>
        <v>3.774966754738653</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v>944.25</v>
      </c>
      <c r="P91" s="143">
        <v>1036.25</v>
      </c>
      <c r="Q91" s="143">
        <v>496.25</v>
      </c>
      <c r="R91" s="143"/>
      <c r="S91" s="143"/>
      <c r="T91" s="143"/>
      <c r="U91" s="143"/>
      <c r="V91" s="143"/>
      <c r="W91" s="143"/>
      <c r="X91" s="143">
        <v>116</v>
      </c>
      <c r="Y91" s="143">
        <v>321.5</v>
      </c>
      <c r="Z91" s="143">
        <v>466.5</v>
      </c>
      <c r="AA91" s="143">
        <f>SUM(O91:Z91)</f>
        <v>3380.75</v>
      </c>
      <c r="AB91" s="144"/>
      <c r="AC91" s="140"/>
      <c r="AD91" s="143">
        <v>16541</v>
      </c>
      <c r="AE91" s="144"/>
      <c r="AF91" s="145">
        <f>IF(AND($AA91="",AD91=""),"",$AA91-AD91)</f>
        <v>-13160.25</v>
      </c>
      <c r="AG91" s="143">
        <v>3208.75</v>
      </c>
      <c r="AH91" s="144"/>
      <c r="AI91" s="145">
        <f>IF(AND($AA91="",AG91=""),"",$AA91-AG91)</f>
        <v>172</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v>2149.23</v>
      </c>
      <c r="P92" s="143">
        <v>2599.75</v>
      </c>
      <c r="Q92" s="143">
        <v>1361.75</v>
      </c>
      <c r="R92" s="143"/>
      <c r="S92" s="143"/>
      <c r="T92" s="143">
        <v>8</v>
      </c>
      <c r="U92" s="143">
        <v>58.5</v>
      </c>
      <c r="V92" s="143">
        <v>6</v>
      </c>
      <c r="W92" s="143">
        <v>115.5</v>
      </c>
      <c r="X92" s="143">
        <v>172.75</v>
      </c>
      <c r="Y92" s="143">
        <v>205.25</v>
      </c>
      <c r="Z92" s="143">
        <v>410.25</v>
      </c>
      <c r="AA92" s="143">
        <f>SUM(O92:Z92)</f>
        <v>7086.98</v>
      </c>
      <c r="AB92" s="144"/>
      <c r="AC92" s="140"/>
      <c r="AD92" s="143">
        <v>19190.285714286201</v>
      </c>
      <c r="AE92" s="144"/>
      <c r="AF92" s="145">
        <f>IF(AND($AA92="",AD92=""),"",$AA92-AD92)</f>
        <v>-12103.305714286202</v>
      </c>
      <c r="AG92" s="143">
        <v>6428.87</v>
      </c>
      <c r="AH92" s="144"/>
      <c r="AI92" s="145">
        <f>IF(AND($AA92="",AG92=""),"",$AA92-AG92)</f>
        <v>658.10999999999967</v>
      </c>
    </row>
    <row r="93" spans="1:35" collapsed="1" x14ac:dyDescent="0.35">
      <c r="A93" s="11"/>
      <c r="B93" s="11"/>
      <c r="C93" s="208"/>
      <c r="D93" s="11"/>
      <c r="E93" s="11"/>
      <c r="F93" s="11"/>
      <c r="G93" s="11"/>
      <c r="H93" s="185"/>
      <c r="I93" s="122"/>
      <c r="J93" s="122"/>
      <c r="K93" s="11"/>
      <c r="L93" s="90"/>
      <c r="M93" s="90"/>
      <c r="N93" s="104" t="s">
        <v>335</v>
      </c>
      <c r="O93" s="510">
        <f t="shared" ref="O93:AA93" si="25">IFERROR(O$87/O91,"")</f>
        <v>2.3775483187715118</v>
      </c>
      <c r="P93" s="510">
        <f t="shared" si="25"/>
        <v>2.6885404101326902</v>
      </c>
      <c r="Q93" s="510">
        <f t="shared" si="25"/>
        <v>2.5773299748110832</v>
      </c>
      <c r="R93" s="510" t="str">
        <f t="shared" si="25"/>
        <v/>
      </c>
      <c r="S93" s="510" t="str">
        <f t="shared" si="25"/>
        <v/>
      </c>
      <c r="T93" s="510" t="str">
        <f t="shared" si="25"/>
        <v/>
      </c>
      <c r="U93" s="510" t="str">
        <f t="shared" si="25"/>
        <v/>
      </c>
      <c r="V93" s="510" t="str">
        <f t="shared" si="25"/>
        <v/>
      </c>
      <c r="W93" s="510" t="str">
        <f t="shared" si="25"/>
        <v/>
      </c>
      <c r="X93" s="510">
        <f t="shared" si="25"/>
        <v>0</v>
      </c>
      <c r="Y93" s="510">
        <f t="shared" si="25"/>
        <v>0.51944012441679632</v>
      </c>
      <c r="Z93" s="510">
        <f t="shared" si="25"/>
        <v>1.1982851018220793</v>
      </c>
      <c r="AA93" s="510">
        <f t="shared" si="25"/>
        <v>2.0811950011092213</v>
      </c>
      <c r="AB93" s="511"/>
      <c r="AC93" s="140"/>
      <c r="AD93" s="510">
        <f>IFERROR(AD$87/AD91,"")</f>
        <v>2.8563569312617134</v>
      </c>
      <c r="AE93" s="511"/>
      <c r="AF93" s="214">
        <f>IF(AND($AA93="",AD93=""),"",$AA93-AD93)</f>
        <v>-0.77516193015249213</v>
      </c>
      <c r="AG93" s="510">
        <f>IFERROR(AG$87/AG91,"")</f>
        <v>1.7614335800545384</v>
      </c>
      <c r="AH93" s="511"/>
      <c r="AI93" s="214">
        <f>IF(AND($AA93="",AG93=""),"",$AA93-AG93)</f>
        <v>0.31976142105468286</v>
      </c>
    </row>
    <row r="94" spans="1:35" x14ac:dyDescent="0.35">
      <c r="A94" s="11"/>
      <c r="B94" s="11"/>
      <c r="C94" s="208"/>
      <c r="D94" s="11"/>
      <c r="E94" s="11"/>
      <c r="F94" s="11"/>
      <c r="G94" s="11"/>
      <c r="H94" s="185"/>
      <c r="I94" s="122"/>
      <c r="J94" s="122"/>
      <c r="K94" s="11"/>
      <c r="L94" s="90"/>
      <c r="M94" s="90"/>
      <c r="N94" s="104" t="s">
        <v>336</v>
      </c>
      <c r="O94" s="510">
        <f t="shared" ref="O94:AA94" si="26">IFERROR(O$87/O92,"")</f>
        <v>1.0445601447960433</v>
      </c>
      <c r="P94" s="510">
        <f t="shared" si="26"/>
        <v>1.0716415039907683</v>
      </c>
      <c r="Q94" s="510">
        <f t="shared" si="26"/>
        <v>0.93923260510372686</v>
      </c>
      <c r="R94" s="510" t="str">
        <f t="shared" si="26"/>
        <v/>
      </c>
      <c r="S94" s="510" t="str">
        <f t="shared" si="26"/>
        <v/>
      </c>
      <c r="T94" s="510">
        <f t="shared" si="26"/>
        <v>0</v>
      </c>
      <c r="U94" s="510">
        <f t="shared" si="26"/>
        <v>0</v>
      </c>
      <c r="V94" s="510">
        <f t="shared" si="26"/>
        <v>0</v>
      </c>
      <c r="W94" s="510">
        <f t="shared" si="26"/>
        <v>0</v>
      </c>
      <c r="X94" s="510">
        <f t="shared" si="26"/>
        <v>0</v>
      </c>
      <c r="Y94" s="510">
        <f t="shared" si="26"/>
        <v>0.81364190012180271</v>
      </c>
      <c r="Z94" s="510">
        <f t="shared" si="26"/>
        <v>1.3625837903717246</v>
      </c>
      <c r="AA94" s="510">
        <f t="shared" si="26"/>
        <v>0.99280652689862259</v>
      </c>
      <c r="AB94" s="511"/>
      <c r="AC94" s="140"/>
      <c r="AD94" s="510">
        <f>IFERROR(AD$87/AD92,"")</f>
        <v>2.4620269183812615</v>
      </c>
      <c r="AE94" s="511"/>
      <c r="AF94" s="214">
        <f>IF(AND($AA94="",AD94=""),"",$AA94-AD94)</f>
        <v>-1.4692203914826389</v>
      </c>
      <c r="AG94" s="510">
        <f>IFERROR(AG$87/AG92,"")</f>
        <v>0.87915916794086679</v>
      </c>
      <c r="AH94" s="511"/>
      <c r="AI94" s="214">
        <f>IF(AND($AA94="",AG94=""),"",$AA94-AG94)</f>
        <v>0.1136473589577558</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v>81</v>
      </c>
      <c r="P98" s="143">
        <v>443</v>
      </c>
      <c r="Q98" s="143">
        <v>169</v>
      </c>
      <c r="R98" s="143"/>
      <c r="S98" s="143"/>
      <c r="T98" s="143"/>
      <c r="U98" s="143"/>
      <c r="V98" s="143"/>
      <c r="W98" s="143"/>
      <c r="X98" s="143"/>
      <c r="Y98" s="143"/>
      <c r="Z98" s="143">
        <v>53</v>
      </c>
      <c r="AA98" s="143">
        <f t="shared" ref="AA98:AA103" si="27">SUM(O98:Z98)</f>
        <v>746</v>
      </c>
      <c r="AB98" s="144">
        <f t="shared" ref="AB98:AB103" si="28">IF(AA98=0,"",IFERROR(AA98/AA$19,""))</f>
        <v>3.4449525672516157E-3</v>
      </c>
      <c r="AC98" s="140"/>
      <c r="AD98" s="143">
        <v>5364.6417000000001</v>
      </c>
      <c r="AE98" s="144">
        <f t="shared" ref="AE98:AE103" si="29">IF(AD98=0,"",IFERROR(AD98/AD$19,""))</f>
        <v>2.9434656363647687E-3</v>
      </c>
      <c r="AF98" s="145">
        <f t="shared" ref="AF98:AF103" si="30">IF(AND($AA98="",AD98=""),"",$AA98-AD98)</f>
        <v>-4618.6417000000001</v>
      </c>
      <c r="AG98" s="143">
        <v>96.2</v>
      </c>
      <c r="AH98" s="144">
        <f t="shared" ref="AH98:AH103" si="31">IF(AG98=0,"",IFERROR(AG98/AG$19,""))</f>
        <v>6.3033656565381231E-4</v>
      </c>
      <c r="AI98" s="145">
        <f t="shared" ref="AI98:AI103" si="32">IF(AND($AA98="",AG98=""),"",$AA98-AG98)</f>
        <v>649.79999999999995</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v>478.11</v>
      </c>
      <c r="P99" s="143">
        <v>997.5</v>
      </c>
      <c r="Q99" s="143">
        <v>791.7</v>
      </c>
      <c r="R99" s="143"/>
      <c r="S99" s="143"/>
      <c r="T99" s="143"/>
      <c r="U99" s="143"/>
      <c r="V99" s="143"/>
      <c r="W99" s="143"/>
      <c r="X99" s="143"/>
      <c r="Y99" s="143"/>
      <c r="Z99" s="143"/>
      <c r="AA99" s="143">
        <f t="shared" si="27"/>
        <v>2267.3100000000004</v>
      </c>
      <c r="AB99" s="144">
        <f t="shared" si="28"/>
        <v>1.0470208318036545E-2</v>
      </c>
      <c r="AC99" s="140"/>
      <c r="AD99" s="143">
        <v>37483.34592</v>
      </c>
      <c r="AE99" s="144">
        <f t="shared" si="29"/>
        <v>2.056632051521606E-2</v>
      </c>
      <c r="AF99" s="145">
        <f t="shared" si="30"/>
        <v>-35216.035920000002</v>
      </c>
      <c r="AG99" s="143">
        <v>467</v>
      </c>
      <c r="AH99" s="144">
        <f t="shared" si="31"/>
        <v>3.05994985613649E-3</v>
      </c>
      <c r="AI99" s="145">
        <f t="shared" si="32"/>
        <v>1800.3100000000004</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v>3931.83</v>
      </c>
      <c r="P100" s="143">
        <v>6626.93</v>
      </c>
      <c r="Q100" s="143">
        <v>2980.71</v>
      </c>
      <c r="R100" s="143"/>
      <c r="S100" s="143"/>
      <c r="T100" s="143"/>
      <c r="U100" s="143"/>
      <c r="V100" s="143"/>
      <c r="W100" s="143"/>
      <c r="X100" s="143"/>
      <c r="Y100" s="143">
        <v>1410.3</v>
      </c>
      <c r="Z100" s="143">
        <v>2416.6</v>
      </c>
      <c r="AA100" s="143">
        <f t="shared" si="27"/>
        <v>17366.37</v>
      </c>
      <c r="AB100" s="144">
        <f t="shared" si="28"/>
        <v>8.0196140637186913E-2</v>
      </c>
      <c r="AC100" s="140"/>
      <c r="AD100" s="143">
        <v>109430.4304</v>
      </c>
      <c r="AE100" s="144">
        <f t="shared" si="29"/>
        <v>6.0042166740605724E-2</v>
      </c>
      <c r="AF100" s="145">
        <f t="shared" si="30"/>
        <v>-92064.060400000002</v>
      </c>
      <c r="AG100" s="143">
        <v>7671.78</v>
      </c>
      <c r="AH100" s="144">
        <f t="shared" si="31"/>
        <v>5.0268227210515638E-2</v>
      </c>
      <c r="AI100" s="145">
        <f t="shared" si="32"/>
        <v>9694.59</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v>1237.2</v>
      </c>
      <c r="P101" s="143">
        <v>1273</v>
      </c>
      <c r="Q101" s="143">
        <v>404</v>
      </c>
      <c r="R101" s="143"/>
      <c r="S101" s="143"/>
      <c r="T101" s="143"/>
      <c r="U101" s="143"/>
      <c r="V101" s="143"/>
      <c r="W101" s="143"/>
      <c r="X101" s="143"/>
      <c r="Y101" s="143"/>
      <c r="Z101" s="143"/>
      <c r="AA101" s="143">
        <f t="shared" si="27"/>
        <v>2914.2</v>
      </c>
      <c r="AB101" s="144">
        <f t="shared" si="28"/>
        <v>1.3457480926923135E-2</v>
      </c>
      <c r="AC101" s="140"/>
      <c r="AD101" s="143">
        <v>13581.886857</v>
      </c>
      <c r="AE101" s="144">
        <f t="shared" si="29"/>
        <v>7.452094562172492E-3</v>
      </c>
      <c r="AF101" s="145">
        <f t="shared" si="30"/>
        <v>-10667.686857000001</v>
      </c>
      <c r="AG101" s="143">
        <v>3547.2</v>
      </c>
      <c r="AH101" s="144">
        <f t="shared" si="31"/>
        <v>2.3242514196332671E-2</v>
      </c>
      <c r="AI101" s="145">
        <f t="shared" si="32"/>
        <v>-633</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v>3569.36652</v>
      </c>
      <c r="AE102" s="144">
        <f t="shared" si="29"/>
        <v>1.9584360489929647E-3</v>
      </c>
      <c r="AF102" s="145">
        <f t="shared" si="30"/>
        <v>-3569.36652</v>
      </c>
      <c r="AG102" s="143">
        <v>140</v>
      </c>
      <c r="AH102" s="144">
        <f t="shared" si="31"/>
        <v>9.1732972132571437E-4</v>
      </c>
      <c r="AI102" s="145">
        <f t="shared" si="32"/>
        <v>-140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v>5728.14</v>
      </c>
      <c r="P103" s="166">
        <v>9340.43</v>
      </c>
      <c r="Q103" s="166">
        <v>4345.41</v>
      </c>
      <c r="R103" s="166"/>
      <c r="S103" s="166"/>
      <c r="T103" s="166"/>
      <c r="U103" s="166"/>
      <c r="V103" s="166"/>
      <c r="W103" s="166"/>
      <c r="X103" s="166"/>
      <c r="Y103" s="166">
        <v>1410.3</v>
      </c>
      <c r="Z103" s="166">
        <v>2469.6</v>
      </c>
      <c r="AA103" s="166">
        <f t="shared" si="27"/>
        <v>23293.879999999997</v>
      </c>
      <c r="AB103" s="167">
        <f t="shared" si="28"/>
        <v>0.1075687824493982</v>
      </c>
      <c r="AC103" s="140"/>
      <c r="AD103" s="166">
        <v>169429.671397</v>
      </c>
      <c r="AE103" s="167">
        <f t="shared" si="29"/>
        <v>9.2962483503352011E-2</v>
      </c>
      <c r="AF103" s="168">
        <f t="shared" si="30"/>
        <v>-146135.79139699999</v>
      </c>
      <c r="AG103" s="166">
        <v>11922.18</v>
      </c>
      <c r="AH103" s="167">
        <f t="shared" si="31"/>
        <v>7.8118357549964323E-2</v>
      </c>
      <c r="AI103" s="168">
        <f t="shared" si="32"/>
        <v>11371.699999999997</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v>26</v>
      </c>
      <c r="P106" s="143">
        <v>16</v>
      </c>
      <c r="Q106" s="143">
        <v>14</v>
      </c>
      <c r="R106" s="143"/>
      <c r="S106" s="143"/>
      <c r="T106" s="143"/>
      <c r="U106" s="143"/>
      <c r="V106" s="143"/>
      <c r="W106" s="143"/>
      <c r="X106" s="143"/>
      <c r="Y106" s="143"/>
      <c r="Z106" s="143"/>
      <c r="AA106" s="143">
        <f t="shared" ref="AA106:AA111" si="33">SUM(O106:Z106)</f>
        <v>56</v>
      </c>
      <c r="AB106" s="144">
        <f t="shared" ref="AB106:AB111" si="34">IF(AA106=0,"",IFERROR(AA106/AA$19,""))</f>
        <v>2.5860233748805695E-4</v>
      </c>
      <c r="AC106" s="140"/>
      <c r="AD106" s="143">
        <v>1015.63605</v>
      </c>
      <c r="AE106" s="144">
        <f t="shared" ref="AE106:AE111" si="35">IF(AD106=0,"",IFERROR(AD106/AD$19,""))</f>
        <v>5.5725805737002901E-4</v>
      </c>
      <c r="AF106" s="145">
        <f t="shared" ref="AF106:AF111" si="36">IF(AND($AA106="",AD106=""),"",$AA106-AD106)</f>
        <v>-959.63604999999995</v>
      </c>
      <c r="AG106" s="143">
        <v>12</v>
      </c>
      <c r="AH106" s="144">
        <f t="shared" ref="AH106:AH111" si="37">IF(AG106=0,"",IFERROR(AG106/AG$19,""))</f>
        <v>7.8628261827918376E-5</v>
      </c>
      <c r="AI106" s="145">
        <f t="shared" ref="AI106:AI111" si="38">IF(AND($AA106="",AG106=""),"",$AA106-AG106)</f>
        <v>44</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v>302</v>
      </c>
      <c r="P107" s="143">
        <v>234</v>
      </c>
      <c r="Q107" s="143">
        <v>89</v>
      </c>
      <c r="R107" s="143"/>
      <c r="S107" s="143"/>
      <c r="T107" s="143"/>
      <c r="U107" s="143"/>
      <c r="V107" s="143"/>
      <c r="W107" s="143"/>
      <c r="X107" s="143"/>
      <c r="Y107" s="143"/>
      <c r="Z107" s="143"/>
      <c r="AA107" s="143">
        <f t="shared" si="33"/>
        <v>625</v>
      </c>
      <c r="AB107" s="144">
        <f t="shared" si="34"/>
        <v>2.886186802322064E-3</v>
      </c>
      <c r="AC107" s="140"/>
      <c r="AD107" s="143">
        <v>4748.3097600000001</v>
      </c>
      <c r="AE107" s="144">
        <f t="shared" si="35"/>
        <v>2.6052973135886116E-3</v>
      </c>
      <c r="AF107" s="145">
        <f t="shared" si="36"/>
        <v>-4123.3097600000001</v>
      </c>
      <c r="AG107" s="143">
        <v>50</v>
      </c>
      <c r="AH107" s="144">
        <f t="shared" si="37"/>
        <v>3.276177576163266E-4</v>
      </c>
      <c r="AI107" s="145">
        <f t="shared" si="38"/>
        <v>575</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v>807.6</v>
      </c>
      <c r="P108" s="143">
        <v>875.98</v>
      </c>
      <c r="Q108" s="143">
        <v>397.58</v>
      </c>
      <c r="R108" s="143"/>
      <c r="S108" s="143"/>
      <c r="T108" s="143"/>
      <c r="U108" s="143"/>
      <c r="V108" s="143"/>
      <c r="W108" s="143"/>
      <c r="X108" s="143"/>
      <c r="Y108" s="143">
        <v>170.4</v>
      </c>
      <c r="Z108" s="143">
        <v>361.4</v>
      </c>
      <c r="AA108" s="143">
        <f t="shared" si="33"/>
        <v>2612.96</v>
      </c>
      <c r="AB108" s="144">
        <f t="shared" si="34"/>
        <v>1.2066385067192736E-2</v>
      </c>
      <c r="AC108" s="140"/>
      <c r="AD108" s="143">
        <v>64711.832896</v>
      </c>
      <c r="AE108" s="144">
        <f t="shared" si="35"/>
        <v>3.5506016440120358E-2</v>
      </c>
      <c r="AF108" s="145">
        <f t="shared" si="36"/>
        <v>-62098.872896000001</v>
      </c>
      <c r="AG108" s="143">
        <v>1687.6</v>
      </c>
      <c r="AH108" s="144">
        <f t="shared" si="37"/>
        <v>1.1057754555066255E-2</v>
      </c>
      <c r="AI108" s="145">
        <f t="shared" si="38"/>
        <v>925.36000000000013</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v>130</v>
      </c>
      <c r="P109" s="143">
        <v>111</v>
      </c>
      <c r="Q109" s="143">
        <v>65</v>
      </c>
      <c r="R109" s="143"/>
      <c r="S109" s="143"/>
      <c r="T109" s="143"/>
      <c r="U109" s="143"/>
      <c r="V109" s="143"/>
      <c r="W109" s="143"/>
      <c r="X109" s="143"/>
      <c r="Y109" s="143"/>
      <c r="Z109" s="143"/>
      <c r="AA109" s="143">
        <f t="shared" si="33"/>
        <v>306</v>
      </c>
      <c r="AB109" s="144">
        <f t="shared" si="34"/>
        <v>1.4130770584168827E-3</v>
      </c>
      <c r="AC109" s="140"/>
      <c r="AD109" s="143">
        <v>4825.4425030000002</v>
      </c>
      <c r="AE109" s="144">
        <f t="shared" si="35"/>
        <v>2.6476184211583968E-3</v>
      </c>
      <c r="AF109" s="145">
        <f t="shared" si="36"/>
        <v>-4519.4425030000002</v>
      </c>
      <c r="AG109" s="143">
        <v>224</v>
      </c>
      <c r="AH109" s="144">
        <f t="shared" si="37"/>
        <v>1.4677275541211431E-3</v>
      </c>
      <c r="AI109" s="145">
        <f t="shared" si="38"/>
        <v>82</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v>2108.73144</v>
      </c>
      <c r="AE110" s="144">
        <f t="shared" si="35"/>
        <v>1.1570164191882554E-3</v>
      </c>
      <c r="AF110" s="145">
        <f t="shared" si="36"/>
        <v>-2108.73144</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v>1265.5999999999999</v>
      </c>
      <c r="P111" s="166">
        <v>1236.98</v>
      </c>
      <c r="Q111" s="166">
        <v>565.58000000000004</v>
      </c>
      <c r="R111" s="166"/>
      <c r="S111" s="166"/>
      <c r="T111" s="166"/>
      <c r="U111" s="166"/>
      <c r="V111" s="166"/>
      <c r="W111" s="166"/>
      <c r="X111" s="166"/>
      <c r="Y111" s="166">
        <v>170.4</v>
      </c>
      <c r="Z111" s="166">
        <v>361.4</v>
      </c>
      <c r="AA111" s="166">
        <f t="shared" si="33"/>
        <v>3599.96</v>
      </c>
      <c r="AB111" s="167">
        <f t="shared" si="34"/>
        <v>1.6624251265419741E-2</v>
      </c>
      <c r="AC111" s="140"/>
      <c r="AD111" s="166">
        <v>77409.952648999999</v>
      </c>
      <c r="AE111" s="167">
        <f t="shared" si="35"/>
        <v>4.2473206651425649E-2</v>
      </c>
      <c r="AF111" s="168">
        <f t="shared" si="36"/>
        <v>-73809.992648999993</v>
      </c>
      <c r="AG111" s="166">
        <v>1973.6</v>
      </c>
      <c r="AH111" s="167">
        <f t="shared" si="37"/>
        <v>1.2931728128631642E-2</v>
      </c>
      <c r="AI111" s="168">
        <f t="shared" si="38"/>
        <v>1626.3600000000001</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v>212</v>
      </c>
      <c r="P114" s="143">
        <v>579</v>
      </c>
      <c r="Q114" s="143">
        <v>606</v>
      </c>
      <c r="R114" s="143"/>
      <c r="S114" s="143"/>
      <c r="T114" s="143"/>
      <c r="U114" s="143"/>
      <c r="V114" s="143"/>
      <c r="W114" s="143"/>
      <c r="X114" s="143"/>
      <c r="Y114" s="143"/>
      <c r="Z114" s="143">
        <v>376</v>
      </c>
      <c r="AA114" s="143">
        <f t="shared" ref="AA114:AA119" si="39">SUM(O114:Z114)</f>
        <v>1773</v>
      </c>
      <c r="AB114" s="144">
        <f t="shared" ref="AB114:AB119" si="40">IF(AA114=0,"",IFERROR(AA114/AA$19,""))</f>
        <v>8.187534720827231E-3</v>
      </c>
      <c r="AC114" s="140"/>
      <c r="AD114" s="143">
        <v>11588.667750000001</v>
      </c>
      <c r="AE114" s="144">
        <f t="shared" ref="AE114:AE119" si="41">IF(AD114=0,"",IFERROR(AD114/AD$19,""))</f>
        <v>6.3584573212734086E-3</v>
      </c>
      <c r="AF114" s="145">
        <f t="shared" ref="AF114:AF119" si="42">IF(AND($AA114="",AD114=""),"",$AA114-AD114)</f>
        <v>-9815.6677500000005</v>
      </c>
      <c r="AG114" s="143">
        <v>576.6</v>
      </c>
      <c r="AH114" s="144">
        <f t="shared" ref="AH114:AH119" si="43">IF(AG114=0,"",IFERROR(AG114/AG$19,""))</f>
        <v>3.7780879808314784E-3</v>
      </c>
      <c r="AI114" s="145">
        <f t="shared" ref="AI114:AI119" si="44">IF(AND($AA114="",AG114=""),"",$AA114-AG114)</f>
        <v>1196.4000000000001</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v>1764.5</v>
      </c>
      <c r="P115" s="143">
        <v>3219</v>
      </c>
      <c r="Q115" s="143">
        <v>1757</v>
      </c>
      <c r="R115" s="143"/>
      <c r="S115" s="143"/>
      <c r="T115" s="143"/>
      <c r="U115" s="143"/>
      <c r="V115" s="143"/>
      <c r="W115" s="143"/>
      <c r="X115" s="143"/>
      <c r="Y115" s="143"/>
      <c r="Z115" s="143"/>
      <c r="AA115" s="143">
        <f t="shared" si="39"/>
        <v>6740.5</v>
      </c>
      <c r="AB115" s="144">
        <f t="shared" si="40"/>
        <v>3.1126947425682998E-2</v>
      </c>
      <c r="AC115" s="140"/>
      <c r="AD115" s="143">
        <v>90563.788799999995</v>
      </c>
      <c r="AE115" s="144">
        <f t="shared" si="41"/>
        <v>4.9690438828709937E-2</v>
      </c>
      <c r="AF115" s="145">
        <f t="shared" si="42"/>
        <v>-83823.288799999995</v>
      </c>
      <c r="AG115" s="143">
        <v>2043</v>
      </c>
      <c r="AH115" s="144">
        <f t="shared" si="43"/>
        <v>1.3386461576203103E-2</v>
      </c>
      <c r="AI115" s="145">
        <f t="shared" si="44"/>
        <v>4697.5</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v>4500.84</v>
      </c>
      <c r="P116" s="143">
        <v>8114.07</v>
      </c>
      <c r="Q116" s="143">
        <v>2770.15</v>
      </c>
      <c r="R116" s="143"/>
      <c r="S116" s="143"/>
      <c r="T116" s="143"/>
      <c r="U116" s="143"/>
      <c r="V116" s="143"/>
      <c r="W116" s="143"/>
      <c r="X116" s="143"/>
      <c r="Y116" s="143">
        <v>733.2</v>
      </c>
      <c r="Z116" s="143">
        <v>1847.8</v>
      </c>
      <c r="AA116" s="143">
        <f t="shared" si="39"/>
        <v>17966.060000000001</v>
      </c>
      <c r="AB116" s="144">
        <f t="shared" si="40"/>
        <v>8.2965448418762161E-2</v>
      </c>
      <c r="AC116" s="140"/>
      <c r="AD116" s="143">
        <v>231400.99660799999</v>
      </c>
      <c r="AE116" s="144">
        <f t="shared" si="41"/>
        <v>0.12696484123743221</v>
      </c>
      <c r="AF116" s="145">
        <f t="shared" si="42"/>
        <v>-213434.93660799999</v>
      </c>
      <c r="AG116" s="143">
        <v>11799.12</v>
      </c>
      <c r="AH116" s="144">
        <f t="shared" si="43"/>
        <v>7.7312024724919035E-2</v>
      </c>
      <c r="AI116" s="145">
        <f t="shared" si="44"/>
        <v>6166.9400000000005</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v>1033</v>
      </c>
      <c r="P117" s="143">
        <v>343</v>
      </c>
      <c r="Q117" s="143">
        <v>361</v>
      </c>
      <c r="R117" s="143"/>
      <c r="S117" s="143"/>
      <c r="T117" s="143"/>
      <c r="U117" s="143"/>
      <c r="V117" s="143"/>
      <c r="W117" s="143"/>
      <c r="X117" s="143"/>
      <c r="Y117" s="143"/>
      <c r="Z117" s="143"/>
      <c r="AA117" s="143">
        <f t="shared" si="39"/>
        <v>1737</v>
      </c>
      <c r="AB117" s="144">
        <f t="shared" si="40"/>
        <v>8.0212903610134799E-3</v>
      </c>
      <c r="AC117" s="140"/>
      <c r="AD117" s="143">
        <v>4258.315278</v>
      </c>
      <c r="AE117" s="144">
        <f t="shared" si="41"/>
        <v>2.3364476866367585E-3</v>
      </c>
      <c r="AF117" s="145">
        <f t="shared" si="42"/>
        <v>-2521.315278</v>
      </c>
      <c r="AG117" s="143">
        <v>2039</v>
      </c>
      <c r="AH117" s="144">
        <f t="shared" si="43"/>
        <v>1.3360252155593798E-2</v>
      </c>
      <c r="AI117" s="145">
        <f t="shared" si="44"/>
        <v>-302</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v>7545.0024000000003</v>
      </c>
      <c r="AE118" s="144">
        <f t="shared" si="41"/>
        <v>4.1397835181965102E-3</v>
      </c>
      <c r="AF118" s="145">
        <f t="shared" si="42"/>
        <v>-7545.0024000000003</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v>7510.34</v>
      </c>
      <c r="P119" s="166">
        <v>12255.07</v>
      </c>
      <c r="Q119" s="166">
        <v>5494.15</v>
      </c>
      <c r="R119" s="166"/>
      <c r="S119" s="166"/>
      <c r="T119" s="166"/>
      <c r="U119" s="166"/>
      <c r="V119" s="166"/>
      <c r="W119" s="166"/>
      <c r="X119" s="166"/>
      <c r="Y119" s="166">
        <v>733.2</v>
      </c>
      <c r="Z119" s="166">
        <v>2223.8000000000002</v>
      </c>
      <c r="AA119" s="166">
        <f t="shared" si="39"/>
        <v>28216.559999999998</v>
      </c>
      <c r="AB119" s="167">
        <f t="shared" si="40"/>
        <v>0.13030122092628585</v>
      </c>
      <c r="AC119" s="140"/>
      <c r="AD119" s="166">
        <v>345356.77083599998</v>
      </c>
      <c r="AE119" s="167">
        <f t="shared" si="41"/>
        <v>0.18948996859224881</v>
      </c>
      <c r="AF119" s="168">
        <f t="shared" si="42"/>
        <v>-317140.21083599998</v>
      </c>
      <c r="AG119" s="166">
        <v>16457.72</v>
      </c>
      <c r="AH119" s="167">
        <f t="shared" si="43"/>
        <v>0.10783682643754741</v>
      </c>
      <c r="AI119" s="168">
        <f t="shared" si="44"/>
        <v>11758.839999999997</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319</v>
      </c>
      <c r="P121" s="143">
        <f t="shared" si="45"/>
        <v>1038</v>
      </c>
      <c r="Q121" s="143">
        <f t="shared" si="45"/>
        <v>789</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429</v>
      </c>
      <c r="AA121" s="143">
        <f t="shared" ref="AA121:AA126" si="46">SUM(O121:Z121)</f>
        <v>2575</v>
      </c>
      <c r="AB121" s="144">
        <f t="shared" ref="AB121:AB126" si="47">IF(AA121=0,"",IFERROR(AA121/AA$19,""))</f>
        <v>1.1891089625566904E-2</v>
      </c>
      <c r="AC121" s="140"/>
      <c r="AD121" s="143">
        <f>AD98+AD106+AD114</f>
        <v>17968.945500000002</v>
      </c>
      <c r="AE121" s="144">
        <f t="shared" ref="AE121:AE126" si="48">IF(AD121=0,"",IFERROR(AD121/AD$19,""))</f>
        <v>9.8591810150082063E-3</v>
      </c>
      <c r="AF121" s="145">
        <f t="shared" ref="AF121:AF126" si="49">IF(AND($AA121="",AD121=""),"",$AA121-AD121)</f>
        <v>-15393.945500000002</v>
      </c>
      <c r="AG121" s="143">
        <f>AG98+AG106+AG114</f>
        <v>684.80000000000007</v>
      </c>
      <c r="AH121" s="144">
        <f t="shared" ref="AH121:AH126" si="50">IF(AG121=0,"",IFERROR(AG121/AG$19,""))</f>
        <v>4.487052808313209E-3</v>
      </c>
      <c r="AI121" s="145">
        <f t="shared" ref="AI121:AI126" si="51">IF(AND($AA121="",AG121=""),"",$AA121-AG121)</f>
        <v>1890.1999999999998</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2544.61</v>
      </c>
      <c r="P122" s="143">
        <f t="shared" si="52"/>
        <v>4450.5</v>
      </c>
      <c r="Q122" s="143">
        <f t="shared" si="52"/>
        <v>2637.7</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9632.8100000000013</v>
      </c>
      <c r="AB122" s="144">
        <f t="shared" si="47"/>
        <v>4.448334254604161E-2</v>
      </c>
      <c r="AC122" s="140"/>
      <c r="AD122" s="143">
        <f>AD99+AD107+AD115</f>
        <v>132795.44448000001</v>
      </c>
      <c r="AE122" s="144">
        <f t="shared" si="48"/>
        <v>7.2862056657514621E-2</v>
      </c>
      <c r="AF122" s="145">
        <f t="shared" si="49"/>
        <v>-123162.63448000001</v>
      </c>
      <c r="AG122" s="143">
        <f>AG99+AG107+AG115</f>
        <v>2560</v>
      </c>
      <c r="AH122" s="144">
        <f t="shared" si="50"/>
        <v>1.6774029189955922E-2</v>
      </c>
      <c r="AI122" s="145">
        <f t="shared" si="51"/>
        <v>7072.8100000000013</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9240.27</v>
      </c>
      <c r="P123" s="143">
        <f t="shared" si="53"/>
        <v>15616.98</v>
      </c>
      <c r="Q123" s="143">
        <f t="shared" si="53"/>
        <v>6148.4400000000005</v>
      </c>
      <c r="R123" s="143">
        <f t="shared" si="53"/>
        <v>0</v>
      </c>
      <c r="S123" s="143">
        <f t="shared" si="53"/>
        <v>0</v>
      </c>
      <c r="T123" s="143">
        <f t="shared" si="53"/>
        <v>0</v>
      </c>
      <c r="U123" s="143">
        <f t="shared" si="53"/>
        <v>0</v>
      </c>
      <c r="V123" s="143">
        <f t="shared" si="53"/>
        <v>0</v>
      </c>
      <c r="W123" s="143">
        <f t="shared" si="53"/>
        <v>0</v>
      </c>
      <c r="X123" s="143">
        <f t="shared" si="53"/>
        <v>0</v>
      </c>
      <c r="Y123" s="143">
        <f t="shared" si="53"/>
        <v>2313.9</v>
      </c>
      <c r="Z123" s="143">
        <f t="shared" si="53"/>
        <v>4625.8</v>
      </c>
      <c r="AA123" s="143">
        <f t="shared" si="46"/>
        <v>37945.390000000007</v>
      </c>
      <c r="AB123" s="144">
        <f t="shared" si="47"/>
        <v>0.17522797412314184</v>
      </c>
      <c r="AC123" s="140"/>
      <c r="AD123" s="143">
        <f>AD100+AD108+AD116</f>
        <v>405543.25990399998</v>
      </c>
      <c r="AE123" s="144">
        <f t="shared" si="48"/>
        <v>0.22251302441815826</v>
      </c>
      <c r="AF123" s="145">
        <f t="shared" si="49"/>
        <v>-367597.86990399996</v>
      </c>
      <c r="AG123" s="143">
        <f>AG100+AG108+AG116</f>
        <v>21158.5</v>
      </c>
      <c r="AH123" s="144">
        <f t="shared" si="50"/>
        <v>0.13863800649050093</v>
      </c>
      <c r="AI123" s="145">
        <f t="shared" si="51"/>
        <v>16786.890000000007</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2400.1999999999998</v>
      </c>
      <c r="P124" s="143">
        <f t="shared" si="54"/>
        <v>1727</v>
      </c>
      <c r="Q124" s="143">
        <f t="shared" si="54"/>
        <v>830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4957.2</v>
      </c>
      <c r="AB124" s="144">
        <f t="shared" si="47"/>
        <v>2.2891848346353497E-2</v>
      </c>
      <c r="AC124" s="140"/>
      <c r="AD124" s="143">
        <f>AD101+AD109+AD117</f>
        <v>22665.644637999998</v>
      </c>
      <c r="AE124" s="144">
        <f t="shared" si="48"/>
        <v>1.2436160669967646E-2</v>
      </c>
      <c r="AF124" s="145">
        <f t="shared" si="49"/>
        <v>-17708.444637999997</v>
      </c>
      <c r="AG124" s="143">
        <f>AG101+AG109+AG117</f>
        <v>5810.2</v>
      </c>
      <c r="AH124" s="144">
        <f t="shared" si="50"/>
        <v>3.8070493906047609E-2</v>
      </c>
      <c r="AI124" s="145">
        <f t="shared" si="51"/>
        <v>-853</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13223.10036</v>
      </c>
      <c r="AE125" s="144">
        <f t="shared" si="48"/>
        <v>7.25523598637773E-3</v>
      </c>
      <c r="AF125" s="145">
        <f t="shared" si="49"/>
        <v>-13223.10036</v>
      </c>
      <c r="AG125" s="143">
        <f>AG102+AG110+AG118</f>
        <v>140</v>
      </c>
      <c r="AH125" s="144">
        <f t="shared" si="50"/>
        <v>9.1732972132571437E-4</v>
      </c>
      <c r="AI125" s="145">
        <f t="shared" si="51"/>
        <v>-140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14504.080000000002</v>
      </c>
      <c r="P126" s="166">
        <f t="shared" si="56"/>
        <v>22832.48</v>
      </c>
      <c r="Q126" s="166">
        <f t="shared" si="56"/>
        <v>10405.14</v>
      </c>
      <c r="R126" s="166">
        <f t="shared" si="56"/>
        <v>0</v>
      </c>
      <c r="S126" s="166">
        <f t="shared" si="56"/>
        <v>0</v>
      </c>
      <c r="T126" s="166">
        <f t="shared" si="56"/>
        <v>0</v>
      </c>
      <c r="U126" s="166">
        <f t="shared" si="56"/>
        <v>0</v>
      </c>
      <c r="V126" s="166">
        <f t="shared" si="56"/>
        <v>0</v>
      </c>
      <c r="W126" s="166">
        <f t="shared" si="56"/>
        <v>0</v>
      </c>
      <c r="X126" s="166">
        <f t="shared" si="56"/>
        <v>0</v>
      </c>
      <c r="Y126" s="166">
        <f t="shared" si="56"/>
        <v>2313.9</v>
      </c>
      <c r="Z126" s="166">
        <f t="shared" si="56"/>
        <v>5054.8</v>
      </c>
      <c r="AA126" s="166">
        <f t="shared" si="46"/>
        <v>55110.400000000001</v>
      </c>
      <c r="AB126" s="167">
        <f t="shared" si="47"/>
        <v>0.25449425464110381</v>
      </c>
      <c r="AC126" s="140"/>
      <c r="AD126" s="166">
        <f>SUM(AD121:AD125)</f>
        <v>592196.39488200005</v>
      </c>
      <c r="AE126" s="167">
        <f t="shared" si="48"/>
        <v>0.3249256587470265</v>
      </c>
      <c r="AF126" s="168">
        <f t="shared" si="49"/>
        <v>-537085.99488200003</v>
      </c>
      <c r="AG126" s="166">
        <f>SUM(AG121:AG125)</f>
        <v>30353.5</v>
      </c>
      <c r="AH126" s="167">
        <f t="shared" si="50"/>
        <v>0.19888691211614337</v>
      </c>
      <c r="AI126" s="168">
        <f t="shared" si="51"/>
        <v>24756.9</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v>28332.93</v>
      </c>
      <c r="P130" s="143">
        <v>32585.919999999998</v>
      </c>
      <c r="Q130" s="143">
        <v>16932.23</v>
      </c>
      <c r="R130" s="143">
        <v>-145</v>
      </c>
      <c r="S130" s="143">
        <v>-3040.95</v>
      </c>
      <c r="T130" s="143">
        <v>-315.74</v>
      </c>
      <c r="U130" s="143">
        <v>8258.16</v>
      </c>
      <c r="V130" s="143">
        <v>332.72</v>
      </c>
      <c r="W130" s="143">
        <v>-822.14</v>
      </c>
      <c r="X130" s="143"/>
      <c r="Y130" s="143">
        <v>2096.17</v>
      </c>
      <c r="Z130" s="143">
        <v>8080.49</v>
      </c>
      <c r="AA130" s="143">
        <f>SUM(O130:Z130)</f>
        <v>92294.790000000008</v>
      </c>
      <c r="AB130" s="436">
        <f>IF(_epmOfflineCondition_,0.570274197503838,IF(AA130=0,"",IFERROR(AA130/_xll.EVGTS($B$1,1,_xll.EVPRO($B$1,$H130,"COSBASIS"),$B$3,$B$5,$B$6,$B$7,$B$9,AA$16,AA$17,AA$11),"")))</f>
        <v>0.57027419750383801</v>
      </c>
      <c r="AC130" s="140"/>
      <c r="AD130" s="143">
        <v>347529.88</v>
      </c>
      <c r="AE130" s="436">
        <f>IF(_epmOfflineCondition_,0.282461198799918,IF(AD130=0,"",IFERROR(AD130/_xll.EVGTS($B$1,1,_xll.EVPRO($B$1,$H130,"COSBASIS"),$B$3,$B$5,$B$6,$B$7,$B$9,AD$16,AD$17,AD$18),"")))</f>
        <v>0.28246119879991799</v>
      </c>
      <c r="AF130" s="145">
        <f t="shared" ref="AF130:AF141" si="58">IF(AND($AA130="",AD130=""),"",$AA130-AD130)</f>
        <v>-255235.09</v>
      </c>
      <c r="AG130" s="143">
        <v>97546.48</v>
      </c>
      <c r="AH130" s="436">
        <f>IF(_epmOfflineCondition_,0.797838895015008,IF(AG130=0,"",IFERROR(AG130/_xll.EVGTS($B$1,1,_xll.EVPRO($B$1,$H130,"COSBASIS"),$B$3,$B$5,$B$6,$B$7,$B$9,AG$16,AG$17,AG$18),"")))</f>
        <v>0.79783889501500804</v>
      </c>
      <c r="AI130" s="145">
        <f t="shared" ref="AI130:AI141" si="59">IF(AND($AA130="",AG130=""),"",$AA130-AG130)</f>
        <v>-5251.6899999999878</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0.55198033882983699</v>
      </c>
      <c r="P131" s="508">
        <v>0.51612846001024104</v>
      </c>
      <c r="Q131" s="508">
        <v>0.62793734359261899</v>
      </c>
      <c r="R131" s="508"/>
      <c r="S131" s="508"/>
      <c r="T131" s="508"/>
      <c r="U131" s="508"/>
      <c r="V131" s="508"/>
      <c r="W131" s="508"/>
      <c r="X131" s="508"/>
      <c r="Y131" s="508">
        <v>0.40829178028827401</v>
      </c>
      <c r="Z131" s="508">
        <v>0.52885902965488796</v>
      </c>
      <c r="AA131" s="508">
        <v>0.57027419750383801</v>
      </c>
      <c r="AB131" s="436"/>
      <c r="AC131" s="140"/>
      <c r="AD131" s="508">
        <v>0.28246119879991799</v>
      </c>
      <c r="AE131" s="436"/>
      <c r="AF131" s="521">
        <f t="shared" si="58"/>
        <v>0.28781299870392002</v>
      </c>
      <c r="AG131" s="508">
        <v>0.79783889501500804</v>
      </c>
      <c r="AH131" s="436"/>
      <c r="AI131" s="521">
        <f t="shared" si="59"/>
        <v>-0.22756469751117003</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v>5069.09</v>
      </c>
      <c r="P132" s="143">
        <v>5489.47</v>
      </c>
      <c r="Q132" s="143">
        <v>4524.3900000000003</v>
      </c>
      <c r="R132" s="143"/>
      <c r="S132" s="143"/>
      <c r="T132" s="143"/>
      <c r="U132" s="143"/>
      <c r="V132" s="143"/>
      <c r="W132" s="143"/>
      <c r="X132" s="143"/>
      <c r="Y132" s="143">
        <v>-41.53</v>
      </c>
      <c r="Z132" s="143">
        <v>2584.4299999999998</v>
      </c>
      <c r="AA132" s="143">
        <f>SUM(O132:Z132)</f>
        <v>17625.849999999999</v>
      </c>
      <c r="AB132" s="436">
        <f>IF(_epmOfflineCondition_,0.319828017942167,IF(AA132=0,"",IFERROR(AA132/_xll.EVGTS($B$1,1,_xll.EVPRO($B$1,$H132,"COSBASIS"),$B$3,$B$5,$B$6,$B$7,$B$9,AA$16,AA$17,AA$11),"")))</f>
        <v>0.31982801794216698</v>
      </c>
      <c r="AC132" s="140"/>
      <c r="AD132" s="143">
        <v>142493.03</v>
      </c>
      <c r="AE132" s="436">
        <f>IF(_epmOfflineCondition_,0.240617861289738,IF(AD132=0,"",IFERROR(AD132/_xll.EVGTS($B$1,1,_xll.EVPRO($B$1,$H132,"COSBASIS"),$B$3,$B$5,$B$6,$B$7,$B$9,AD$16,AD$17,AD$18),"")))</f>
        <v>0.240617861289738</v>
      </c>
      <c r="AF132" s="145">
        <f t="shared" si="58"/>
        <v>-124867.18</v>
      </c>
      <c r="AG132" s="143">
        <v>10310.709999999999</v>
      </c>
      <c r="AH132" s="436">
        <f>IF(_epmOfflineCondition_,0.339687680168679,IF(AG132=0,"",IFERROR(AG132/_xll.EVGTS($B$1,1,_xll.EVPRO($B$1,$H132,"COSBASIS"),$B$3,$B$5,$B$6,$B$7,$B$9,AG$16,AG$17,AG$18),"")))</f>
        <v>0.33968768016867901</v>
      </c>
      <c r="AI132" s="145">
        <f t="shared" si="59"/>
        <v>7315.1399999999994</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0.34949407339176303</v>
      </c>
      <c r="P133" s="508">
        <v>0.240423729704351</v>
      </c>
      <c r="Q133" s="508">
        <v>0.434822597293261</v>
      </c>
      <c r="R133" s="508"/>
      <c r="S133" s="508"/>
      <c r="T133" s="508"/>
      <c r="U133" s="508"/>
      <c r="V133" s="508"/>
      <c r="W133" s="508"/>
      <c r="X133" s="508"/>
      <c r="Y133" s="508">
        <v>-1.79480530705735E-2</v>
      </c>
      <c r="Z133" s="508">
        <v>0.51128234549339202</v>
      </c>
      <c r="AA133" s="508">
        <v>0.31982801794216698</v>
      </c>
      <c r="AB133" s="436"/>
      <c r="AC133" s="140"/>
      <c r="AD133" s="508">
        <v>0.240617861289738</v>
      </c>
      <c r="AE133" s="436"/>
      <c r="AF133" s="521">
        <f t="shared" si="58"/>
        <v>7.9210156652428976E-2</v>
      </c>
      <c r="AG133" s="508">
        <v>0.33968768016867901</v>
      </c>
      <c r="AH133" s="436"/>
      <c r="AI133" s="521">
        <f t="shared" si="59"/>
        <v>-1.9859662226512032E-2</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v>2531.48</v>
      </c>
      <c r="P134" s="143">
        <v>3262.76</v>
      </c>
      <c r="Q134" s="143">
        <v>1968.98</v>
      </c>
      <c r="R134" s="143"/>
      <c r="S134" s="143"/>
      <c r="T134" s="143"/>
      <c r="U134" s="143"/>
      <c r="V134" s="143"/>
      <c r="W134" s="143"/>
      <c r="X134" s="143"/>
      <c r="Y134" s="143"/>
      <c r="Z134" s="143">
        <v>1848.17</v>
      </c>
      <c r="AA134" s="143">
        <f>SUM(O134:Z134)</f>
        <v>9611.39</v>
      </c>
      <c r="AB134" s="436">
        <f>IF(_epmOfflineCondition_,0.412614386267981,IF(AA134=0,"",IFERROR(AA134/_xll.EVGTS($B$1,1,_xll.EVPRO($B$1,$H134,"COSBASIS"),$B$3,$B$5,$B$6,$B$7,$B$9,AA$16,AA$17,AA$11),"")))</f>
        <v>0.41261438626798103</v>
      </c>
      <c r="AC134" s="140"/>
      <c r="AD134" s="143">
        <v>32191.65</v>
      </c>
      <c r="AE134" s="436">
        <f>IF(_epmOfflineCondition_,0.190000073390746,IF(AD134=0,"",IFERROR(AD134/_xll.EVGTS($B$1,1,_xll.EVPRO($B$1,$H134,"COSBASIS"),$B$3,$B$5,$B$6,$B$7,$B$9,AD$16,AD$17,AD$18),"")))</f>
        <v>0.19000007339074601</v>
      </c>
      <c r="AF134" s="145">
        <f t="shared" si="58"/>
        <v>-22580.260000000002</v>
      </c>
      <c r="AG134" s="143">
        <v>4273.1499999999996</v>
      </c>
      <c r="AH134" s="436">
        <f>IF(_epmOfflineCondition_,0.358420188254162,IF(AG134=0,"",IFERROR(AG134/_xll.EVGTS($B$1,1,_xll.EVPRO($B$1,$H134,"COSBASIS"),$B$3,$B$5,$B$6,$B$7,$B$9,AG$16,AG$17,AG$18),"")))</f>
        <v>0.358420188254162</v>
      </c>
      <c r="AI134" s="145">
        <f t="shared" si="59"/>
        <v>5338.24</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0.441937522476755</v>
      </c>
      <c r="P135" s="508">
        <v>0.349315823789697</v>
      </c>
      <c r="Q135" s="508">
        <v>0.45311719722649901</v>
      </c>
      <c r="R135" s="508"/>
      <c r="S135" s="508"/>
      <c r="T135" s="508"/>
      <c r="U135" s="508"/>
      <c r="V135" s="508"/>
      <c r="W135" s="508"/>
      <c r="X135" s="508"/>
      <c r="Y135" s="508"/>
      <c r="Z135" s="508">
        <v>0.74836815678652402</v>
      </c>
      <c r="AA135" s="508">
        <v>0.41261438626798103</v>
      </c>
      <c r="AB135" s="436"/>
      <c r="AC135" s="140"/>
      <c r="AD135" s="508">
        <v>0.19000007339074601</v>
      </c>
      <c r="AE135" s="436"/>
      <c r="AF135" s="521">
        <f t="shared" si="58"/>
        <v>0.22261431287723502</v>
      </c>
      <c r="AG135" s="508">
        <v>0.358420188254162</v>
      </c>
      <c r="AH135" s="436"/>
      <c r="AI135" s="521">
        <f t="shared" si="59"/>
        <v>5.4194198013819028E-2</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v>488.47</v>
      </c>
      <c r="P136" s="143">
        <v>47.62</v>
      </c>
      <c r="Q136" s="143">
        <v>228.83</v>
      </c>
      <c r="R136" s="143"/>
      <c r="S136" s="143"/>
      <c r="T136" s="143"/>
      <c r="U136" s="143"/>
      <c r="V136" s="143"/>
      <c r="W136" s="143"/>
      <c r="X136" s="143"/>
      <c r="Y136" s="143"/>
      <c r="Z136" s="143">
        <v>245.14</v>
      </c>
      <c r="AA136" s="143">
        <f>SUM(O136:Z136)</f>
        <v>1010.0600000000001</v>
      </c>
      <c r="AB136" s="436">
        <f>IF(_epmOfflineCondition_,0.280575339725997,IF(AA136=0,"",IFERROR(AA136/_xll.EVGTS($B$1,1,_xll.EVPRO($B$1,$H136,"COSBASIS"),$B$3,$B$5,$B$6,$B$7,$B$9,AA$16,AA$17,AA$11),"")))</f>
        <v>0.28057533972599702</v>
      </c>
      <c r="AC136" s="140"/>
      <c r="AD136" s="143">
        <v>16256.1</v>
      </c>
      <c r="AE136" s="436">
        <f>IF(_epmOfflineCondition_,0.210000128455188,IF(AD136=0,"",IFERROR(AD136/_xll.EVGTS($B$1,1,_xll.EVPRO($B$1,$H136,"COSBASIS"),$B$3,$B$5,$B$6,$B$7,$B$9,AD$16,AD$17,AD$18),"")))</f>
        <v>0.21000012845518801</v>
      </c>
      <c r="AF136" s="145">
        <f t="shared" si="58"/>
        <v>-15246.04</v>
      </c>
      <c r="AG136" s="143">
        <v>757.81</v>
      </c>
      <c r="AH136" s="436">
        <f>IF(_epmOfflineCondition_,0.383973449533847,IF(AG136=0,"",IFERROR(AG136/_xll.EVGTS($B$1,1,_xll.EVPRO($B$1,$H136,"COSBASIS"),$B$3,$B$5,$B$6,$B$7,$B$9,AG$16,AG$17,AG$18),"")))</f>
        <v>0.38397344953384699</v>
      </c>
      <c r="AI136" s="145">
        <f t="shared" si="59"/>
        <v>252.25000000000011</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0.38595922882427303</v>
      </c>
      <c r="P137" s="508">
        <v>3.84969845915051E-2</v>
      </c>
      <c r="Q137" s="508">
        <v>0.40459351462215798</v>
      </c>
      <c r="R137" s="508"/>
      <c r="S137" s="508"/>
      <c r="T137" s="508"/>
      <c r="U137" s="508"/>
      <c r="V137" s="508"/>
      <c r="W137" s="508"/>
      <c r="X137" s="508"/>
      <c r="Y137" s="508"/>
      <c r="Z137" s="508">
        <v>0.67830658550083001</v>
      </c>
      <c r="AA137" s="508">
        <v>0.28057533972599702</v>
      </c>
      <c r="AB137" s="436"/>
      <c r="AC137" s="140"/>
      <c r="AD137" s="508">
        <v>0.21000012845518801</v>
      </c>
      <c r="AE137" s="436"/>
      <c r="AF137" s="521">
        <f t="shared" si="58"/>
        <v>7.0575211270809013E-2</v>
      </c>
      <c r="AG137" s="508">
        <v>0.38397344953384699</v>
      </c>
      <c r="AH137" s="436"/>
      <c r="AI137" s="521">
        <f t="shared" si="59"/>
        <v>-0.10339810980784997</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v>2049.14</v>
      </c>
      <c r="P138" s="143">
        <v>2179.09</v>
      </c>
      <c r="Q138" s="143">
        <v>2326.58</v>
      </c>
      <c r="R138" s="143"/>
      <c r="S138" s="143"/>
      <c r="T138" s="143"/>
      <c r="U138" s="143"/>
      <c r="V138" s="143"/>
      <c r="W138" s="143"/>
      <c r="X138" s="143"/>
      <c r="Y138" s="143">
        <v>-41.53</v>
      </c>
      <c r="Z138" s="143">
        <v>491.12</v>
      </c>
      <c r="AA138" s="143">
        <f>SUM(O138:Z138)</f>
        <v>7004.4</v>
      </c>
      <c r="AB138" s="436">
        <f>IF(_epmOfflineCondition_,0.248237205385773,IF(AA138=0,"",IFERROR(AA138/_xll.EVGTS($B$1,1,_xll.EVPRO($B$1,$H138,"COSBASIS"),$B$3,$B$5,$B$6,$B$7,$B$9,AA$16,AA$17,AA$11),"")))</f>
        <v>0.24823720538577301</v>
      </c>
      <c r="AC138" s="140"/>
      <c r="AD138" s="143">
        <v>94045.28</v>
      </c>
      <c r="AE138" s="436">
        <f>IF(_epmOfflineCondition_,0.272313410194177,IF(AD138=0,"",IFERROR(AD138/_xll.EVGTS($B$1,1,_xll.EVPRO($B$1,$H138,"COSBASIS"),$B$3,$B$5,$B$6,$B$7,$B$9,AD$16,AD$17,AD$18),"")))</f>
        <v>0.27231341019417699</v>
      </c>
      <c r="AF138" s="145">
        <f t="shared" si="58"/>
        <v>-87040.88</v>
      </c>
      <c r="AG138" s="143">
        <v>5279.75</v>
      </c>
      <c r="AH138" s="436">
        <f>IF(_epmOfflineCondition_,0.32080689184164,IF(AG138=0,"",IFERROR(AG138/_xll.EVGTS($B$1,1,_xll.EVPRO($B$1,$H138,"COSBASIS"),$B$3,$B$5,$B$6,$B$7,$B$9,AG$16,AG$17,AG$18),"")))</f>
        <v>0.32080689184164002</v>
      </c>
      <c r="AI138" s="145">
        <f t="shared" si="59"/>
        <v>1724.6499999999996</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0.27284250779591901</v>
      </c>
      <c r="P139" s="508">
        <v>0.177811305851374</v>
      </c>
      <c r="Q139" s="508">
        <v>0.423464958182794</v>
      </c>
      <c r="R139" s="508"/>
      <c r="S139" s="508"/>
      <c r="T139" s="508"/>
      <c r="U139" s="508"/>
      <c r="V139" s="508"/>
      <c r="W139" s="508"/>
      <c r="X139" s="508"/>
      <c r="Y139" s="508">
        <v>-5.6642116748499699E-2</v>
      </c>
      <c r="Z139" s="508">
        <v>0.220847198489073</v>
      </c>
      <c r="AA139" s="508">
        <v>0.24823720538577301</v>
      </c>
      <c r="AB139" s="436"/>
      <c r="AC139" s="140"/>
      <c r="AD139" s="508">
        <v>0.27231341019417699</v>
      </c>
      <c r="AE139" s="436"/>
      <c r="AF139" s="521">
        <f t="shared" si="58"/>
        <v>-2.4076204808403973E-2</v>
      </c>
      <c r="AG139" s="508">
        <v>0.32080689184164002</v>
      </c>
      <c r="AH139" s="436"/>
      <c r="AI139" s="521">
        <f t="shared" si="59"/>
        <v>-7.2569686455867005E-2</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v>33402.019999999997</v>
      </c>
      <c r="P140" s="143">
        <v>38075.39</v>
      </c>
      <c r="Q140" s="143">
        <v>21456.62</v>
      </c>
      <c r="R140" s="143">
        <v>-145</v>
      </c>
      <c r="S140" s="143">
        <v>-3040.95</v>
      </c>
      <c r="T140" s="143">
        <v>-315.74</v>
      </c>
      <c r="U140" s="143">
        <v>8258.16</v>
      </c>
      <c r="V140" s="143">
        <v>332.72</v>
      </c>
      <c r="W140" s="143">
        <v>-822.14</v>
      </c>
      <c r="X140" s="143"/>
      <c r="Y140" s="143">
        <v>2054.64</v>
      </c>
      <c r="Z140" s="143">
        <v>10664.92</v>
      </c>
      <c r="AA140" s="143">
        <f>SUM(O140:Z140)</f>
        <v>109920.64</v>
      </c>
      <c r="AB140" s="436">
        <f>IF(_epmOfflineCondition_,0.507602400753272,IF(AA140=0,"",IFERROR(AA140/_xll.EVGTS($B$1,1,_xll.EVPRO($B$1,$H140,"COSBASIS"),$B$3,$B$5,$B$6,$B$7,$B$9,AA$16,AA$17,AA$11),"")))</f>
        <v>0.50760240075327201</v>
      </c>
      <c r="AC140" s="140"/>
      <c r="AD140" s="143">
        <v>490022.91</v>
      </c>
      <c r="AE140" s="436">
        <f>IF(_epmOfflineCondition_,0.268865224795249,IF(AD140=0,"",IFERROR(AD140/_xll.EVGTS($B$1,1,_xll.EVPRO($B$1,$H140,"COSBASIS"),$B$3,$B$5,$B$6,$B$7,$B$9,AD$16,AD$17,AD$18),"")))</f>
        <v>0.26886522479524899</v>
      </c>
      <c r="AF140" s="145">
        <f t="shared" si="58"/>
        <v>-380102.26999999996</v>
      </c>
      <c r="AG140" s="143">
        <v>107857.19</v>
      </c>
      <c r="AH140" s="436">
        <f>IF(_epmOfflineCondition_,0.706718614611962,IF(AG140=0,"",IFERROR(AG140/_xll.EVGTS($B$1,1,_xll.EVPRO($B$1,$H140,"COSBASIS"),$B$3,$B$5,$B$6,$B$7,$B$9,AG$16,AG$17,AG$18),"")))</f>
        <v>0.70671861461196195</v>
      </c>
      <c r="AI140" s="145">
        <f t="shared" si="59"/>
        <v>2063.4499999999971</v>
      </c>
    </row>
    <row r="141" spans="1:35" x14ac:dyDescent="0.35">
      <c r="A141" s="11"/>
      <c r="B141" s="11"/>
      <c r="C141" s="208"/>
      <c r="D141" s="11"/>
      <c r="E141" s="11"/>
      <c r="F141" s="11"/>
      <c r="G141" s="11"/>
      <c r="H141" s="185"/>
      <c r="I141" s="122"/>
      <c r="J141" s="122"/>
      <c r="K141" s="11"/>
      <c r="L141" s="90"/>
      <c r="M141" s="90"/>
      <c r="N141" s="493" t="s">
        <v>762</v>
      </c>
      <c r="O141" s="508">
        <f t="shared" ref="O141:AA141" si="60">IFERROR(O140/O85,"")</f>
        <v>0.50736978397683374</v>
      </c>
      <c r="P141" s="508">
        <f t="shared" si="60"/>
        <v>0.44405915005558405</v>
      </c>
      <c r="Q141" s="508">
        <f t="shared" si="60"/>
        <v>0.57695743340953809</v>
      </c>
      <c r="R141" s="508" t="str">
        <f t="shared" si="60"/>
        <v/>
      </c>
      <c r="S141" s="508" t="str">
        <f t="shared" si="60"/>
        <v/>
      </c>
      <c r="T141" s="508" t="str">
        <f t="shared" si="60"/>
        <v/>
      </c>
      <c r="U141" s="508" t="str">
        <f t="shared" si="60"/>
        <v/>
      </c>
      <c r="V141" s="508" t="str">
        <f t="shared" si="60"/>
        <v/>
      </c>
      <c r="W141" s="508" t="str">
        <f t="shared" si="60"/>
        <v/>
      </c>
      <c r="X141" s="508" t="str">
        <f t="shared" si="60"/>
        <v/>
      </c>
      <c r="Y141" s="508">
        <f t="shared" si="60"/>
        <v>0.27586836557955935</v>
      </c>
      <c r="Z141" s="508">
        <f t="shared" si="60"/>
        <v>0.52448964537053877</v>
      </c>
      <c r="AA141" s="508">
        <f t="shared" si="60"/>
        <v>0.50760240075327168</v>
      </c>
      <c r="AB141" s="436"/>
      <c r="AC141" s="140"/>
      <c r="AD141" s="508">
        <f>IFERROR(AD140/AD85,"")</f>
        <v>0.26886522479524883</v>
      </c>
      <c r="AE141" s="436"/>
      <c r="AF141" s="521">
        <f t="shared" si="58"/>
        <v>0.23873717595802285</v>
      </c>
      <c r="AG141" s="508">
        <f>IFERROR(AG140/AG85,"")</f>
        <v>0.70671861461196162</v>
      </c>
      <c r="AH141" s="436"/>
      <c r="AI141" s="521">
        <f t="shared" si="59"/>
        <v>-0.19911621385868994</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-3.1974423109204508E-14</v>
      </c>
      <c r="P145" s="510">
        <f t="shared" si="63"/>
        <v>0</v>
      </c>
      <c r="Q145" s="510">
        <f t="shared" si="63"/>
        <v>0</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f t="shared" si="63"/>
        <v>0</v>
      </c>
      <c r="Z145" s="510">
        <f t="shared" si="63"/>
        <v>0</v>
      </c>
      <c r="AA145" s="510">
        <f t="shared" si="63"/>
        <v>0</v>
      </c>
      <c r="AB145" s="144"/>
      <c r="AC145" s="140"/>
      <c r="AD145" s="510">
        <f>IFERROR(AD$85/AD87,"")-AD88</f>
        <v>0</v>
      </c>
      <c r="AE145" s="144"/>
      <c r="AF145" s="143"/>
      <c r="AG145" s="510">
        <f>IFERROR(AG$85/AG87,"")-AG88</f>
        <v>0</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Az+UqEtzY0K01Km1Ri62d1qm36RyJ2Ll2s090c5UxFO/cnNP2xpxpiQ46mF0iSawVB2fIVK4b4NJTIK7vck2fg==" saltValue="GCgY2WW+OQzg2TNTk3DoNg==" spinCount="100000" sheet="1" scenarios="1"/>
  <mergeCells count="2">
    <mergeCell ref="AD31:AE31"/>
    <mergeCell ref="AG31:AH31"/>
  </mergeCells>
  <conditionalFormatting sqref="AD43 AF43:AG43 O43:AA43">
    <cfRule type="expression" dxfId="155" priority="15">
      <formula>ROUND(O42,2)&lt;&gt;ROUND(O43,2)</formula>
    </cfRule>
  </conditionalFormatting>
  <conditionalFormatting sqref="N43">
    <cfRule type="expression" dxfId="154" priority="14">
      <formula>$G43&lt;&gt;0</formula>
    </cfRule>
  </conditionalFormatting>
  <conditionalFormatting sqref="O53:AA53 AD53 AF53:AG53">
    <cfRule type="expression" dxfId="153" priority="13">
      <formula>ROUND(O52,2)&lt;&gt;ROUND(O53,2)</formula>
    </cfRule>
  </conditionalFormatting>
  <conditionalFormatting sqref="N53">
    <cfRule type="expression" dxfId="152" priority="12">
      <formula>$G53&lt;&gt;0</formula>
    </cfRule>
  </conditionalFormatting>
  <conditionalFormatting sqref="O63:AA63 AD63 AF63:AG63">
    <cfRule type="expression" dxfId="151" priority="11">
      <formula>ROUND(O62,2)&lt;&gt;ROUND(O63,2)</formula>
    </cfRule>
  </conditionalFormatting>
  <conditionalFormatting sqref="N63">
    <cfRule type="expression" dxfId="150" priority="10">
      <formula>$G63&lt;&gt;0</formula>
    </cfRule>
  </conditionalFormatting>
  <conditionalFormatting sqref="O73:AA73 AD73 AF73:AG73">
    <cfRule type="expression" dxfId="149" priority="9">
      <formula>ROUND(O72,2)&lt;&gt;ROUND(O73,2)</formula>
    </cfRule>
  </conditionalFormatting>
  <conditionalFormatting sqref="N73">
    <cfRule type="expression" dxfId="148" priority="8">
      <formula>$G73&lt;&gt;0</formula>
    </cfRule>
  </conditionalFormatting>
  <conditionalFormatting sqref="N82">
    <cfRule type="expression" dxfId="147" priority="7">
      <formula>$G82&lt;&gt;0</formula>
    </cfRule>
  </conditionalFormatting>
  <conditionalFormatting sqref="AD82 AF82:AG82 O82:AA82">
    <cfRule type="expression" dxfId="146" priority="6">
      <formula>ROUND(O81,2)&lt;&gt;ROUND(O82,2)</formula>
    </cfRule>
  </conditionalFormatting>
  <conditionalFormatting sqref="AI43">
    <cfRule type="expression" dxfId="145" priority="5">
      <formula>ROUND(AI42,2)&lt;&gt;ROUND(AI43,2)</formula>
    </cfRule>
  </conditionalFormatting>
  <conditionalFormatting sqref="AI53">
    <cfRule type="expression" dxfId="144" priority="4">
      <formula>ROUND(AI52,2)&lt;&gt;ROUND(AI53,2)</formula>
    </cfRule>
  </conditionalFormatting>
  <conditionalFormatting sqref="AI63">
    <cfRule type="expression" dxfId="143" priority="3">
      <formula>ROUND(AI62,2)&lt;&gt;ROUND(AI63,2)</formula>
    </cfRule>
  </conditionalFormatting>
  <conditionalFormatting sqref="AI73">
    <cfRule type="expression" dxfId="142" priority="2">
      <formula>ROUND(AI72,2)&lt;&gt;ROUND(AI73,2)</formula>
    </cfRule>
  </conditionalFormatting>
  <conditionalFormatting sqref="AI82">
    <cfRule type="expression" dxfId="141" priority="1">
      <formula>ROUND(AI81,2)&lt;&gt;ROUND(AI82,2)</formula>
    </cfRule>
  </conditionalFormatting>
  <dataValidations disablePrompts="1" count="2">
    <dataValidation type="list" allowBlank="1" sqref="B29" xr:uid="{00000000-0002-0000-0800-000000000000}">
      <formula1>"SELF,ALL,BAS,DEP,BASMEMBERS,MEMBERS,NOEXPAND,GDEP"</formula1>
    </dataValidation>
    <dataValidation type="list" allowBlank="1" sqref="B28" xr:uid="{00000000-0002-0000-0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IF(_epmOfflineCondition_,"Pool Bar",IF(OR(_xll.EVCGT($B$1,$B$6,$H$1,$H$2,$H$3,$H$4,$H$5,$H$6,$H$7,$H$8)="#RFR",_xll.EVCGT($B$1,$B$6,$H$1,$H$2,$H$3,$H$4,$H$5,$H$6,$H$7,$H$8)="#NODATA"),"",_xll.EVCGT($B$1,$B$6,$H$1,$H$2,$H$3,$H$4,$H$5,$H$6,$H$7,$H$8)))</f>
        <v>Pool Bar</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726</v>
      </c>
      <c r="C6" s="11" t="str">
        <f>IF(_epmOfflineCondition_,"Venue 2",_xll.EVDES(B6,$B$1))</f>
        <v>Venue 2</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IF(_epmOfflineCondition_,"'Venue2'!$B$2:$B$10",_xll.EVRNG($B$2:$B$10))</f>
        <v>'Venue2'!$B$2:$B$10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IF(_epmOfflineCondition_,"'Venue2'!$O$16:$AN$18",_xll.EVRNG($O$16:$AN$18))</f>
        <v>'Venue2'!$O$16:$AN$18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IF(_epmOfflineCondition_,"'Venue2'!$H$35:$H$58",_xll.EVRNG(H35:H58))</f>
        <v>'Venue2'!$H$35:$H$58</v>
      </c>
      <c r="C19" s="11"/>
      <c r="D19" s="11"/>
      <c r="E19" s="11"/>
      <c r="F19" s="11"/>
      <c r="G19" s="67" t="str">
        <f>$B$6</f>
        <v>D2141</v>
      </c>
      <c r="H19" s="67">
        <v>400000</v>
      </c>
      <c r="I19" s="68"/>
      <c r="J19" s="68"/>
      <c r="K19" s="67"/>
      <c r="L19" s="67"/>
      <c r="M19" s="67"/>
      <c r="N19" s="67" t="str">
        <f>IF(_epmOfflineCondition_,"Total Revenue",_xll.EVDES(H19))</f>
        <v>Total Revenue</v>
      </c>
      <c r="O19" s="69">
        <f>IF(_epmOfflineCondition_,8935.13,_xll.EVGTS($B$1,1,$B$3,$B$5,$B$7,$B$9,O$16,O$17,O$18,$G$19,$H$19))</f>
        <v>8935.1299999999992</v>
      </c>
      <c r="P19" s="69">
        <f>IF(_epmOfflineCondition_,6597.54,_xll.EVGTS($B$1,1,$B$3,$B$5,$B$7,$B$9,P$16,P$17,P$18,$G$19,$H$19))</f>
        <v>6597.54</v>
      </c>
      <c r="Q19" s="69">
        <f>IF(_epmOfflineCondition_,4297.56,_xll.EVGTS($B$1,1,$B$3,$B$5,$B$7,$B$9,Q$16,Q$17,Q$18,$G$19,$H$19))</f>
        <v>4297.5600000000004</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IF(_epmOfflineCondition_,94.67,_xll.EVGTS($B$1,1,$B$3,$B$5,$B$7,$B$9,W$16,W$17,W$18,$G$19,$H$19))</f>
        <v>94.67</v>
      </c>
      <c r="X19" s="69">
        <f>IF(_epmOfflineCondition_,0,_xll.EVGTS($B$1,1,$B$3,$B$5,$B$7,$B$9,X$16,X$17,X$18,$G$19,$H$19))</f>
        <v>0</v>
      </c>
      <c r="Y19" s="69">
        <f>IF(_epmOfflineCondition_,0,_xll.EVGTS($B$1,1,$B$3,$B$5,$B$7,$B$9,Y$16,Y$17,Y$18,$G$19,$H$19))</f>
        <v>0</v>
      </c>
      <c r="Z19" s="69">
        <f>IF(_epmOfflineCondition_,0,_xll.EVGTS($B$1,1,$B$3,$B$5,$B$7,$B$9,Z$16,Z$17,Z$18,$G$19,$H$19))</f>
        <v>0</v>
      </c>
      <c r="AA19" s="69">
        <f>SUM(O19:Z19)</f>
        <v>19924.899999999998</v>
      </c>
      <c r="AB19" s="67"/>
      <c r="AC19" s="67"/>
      <c r="AD19" s="69">
        <f>IF(_epmOfflineCondition_,113803.1412,_xll.EVGTS($B$1,1,$B$3,$B$5,$B$7,$B$9,AD$16,AD$17,AD$18,$G$19,$H$19))</f>
        <v>113803.1412</v>
      </c>
      <c r="AE19" s="67"/>
      <c r="AF19" s="67"/>
      <c r="AG19" s="69">
        <f>IF(_epmOfflineCondition_,41076.54,_xll.EVGTS($B$1,1,$B$3,$B$5,$B$7,$B$9,AG$16,AG$17,AG$18,$G$19,$H$19))</f>
        <v>41076.54</v>
      </c>
      <c r="AH19" s="67"/>
      <c r="AI19" s="67"/>
      <c r="AJ19" s="11"/>
      <c r="AK19" s="11"/>
      <c r="AL19" s="11"/>
      <c r="AM19" s="11"/>
      <c r="AN19" s="11"/>
      <c r="AO19" s="11"/>
    </row>
    <row r="20" spans="1:41" hidden="1" outlineLevel="1" x14ac:dyDescent="0.35">
      <c r="A20" s="65" t="s">
        <v>5</v>
      </c>
      <c r="B20" s="66"/>
      <c r="C20" s="11"/>
      <c r="D20" s="11"/>
      <c r="E20" s="11"/>
      <c r="F20" s="11"/>
      <c r="G20" s="67" t="str">
        <f>$B$6</f>
        <v>D2141</v>
      </c>
      <c r="H20" s="67">
        <v>946000</v>
      </c>
      <c r="I20" s="68"/>
      <c r="J20" s="68"/>
      <c r="K20" s="67"/>
      <c r="L20" s="68"/>
      <c r="M20" s="68"/>
      <c r="N20" s="67" t="str">
        <f>IF(_epmOfflineCondition_,"Total Customers",_xll.EVDES(H20))</f>
        <v>Total Customers</v>
      </c>
      <c r="O20" s="69">
        <f>IF(_epmOfflineCondition_,393,_xll.EVGTS($B$1,1,$B$3,$B$5,$B$7,$B$9,O$16,O$17,O$18,$G$20,$H$20))</f>
        <v>393</v>
      </c>
      <c r="P20" s="69">
        <f>IF(_epmOfflineCondition_,309,_xll.EVGTS($B$1,1,$B$3,$B$5,$B$7,$B$9,P$16,P$17,P$18,$G$20,$H$20))</f>
        <v>309</v>
      </c>
      <c r="Q20" s="69">
        <f>IF(_epmOfflineCondition_,204,_xll.EVGTS($B$1,1,$B$3,$B$5,$B$7,$B$9,Q$16,Q$17,Q$18,$G$20,$H$20))</f>
        <v>204</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906</v>
      </c>
      <c r="AB20" s="67"/>
      <c r="AC20" s="67"/>
      <c r="AD20" s="69">
        <f>IF(_epmOfflineCondition_,5631,_xll.EVGTS($B$1,1,$B$3,$B$5,$B$7,$B$9,AD$16,AD$17,AD$18,$G$20,$H$20))</f>
        <v>5631</v>
      </c>
      <c r="AE20" s="67"/>
      <c r="AF20" s="67"/>
      <c r="AG20" s="69">
        <f>IF(_epmOfflineCondition_,2234,_xll.EVGTS($B$1,1,$B$3,$B$5,$B$7,$B$9,AG$16,AG$17,AG$18,$G$20,$H$20))</f>
        <v>2234</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IF(_epmOfflineCondition_,"'Venue2'!$A$36:$F$44",_xll.EVRNG(A36:F44))</f>
        <v>'Venue2'!$A$36:$F$44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IF(_epmOfflineCondition_,"'Venue2'!$A$125:$B$146",_xll.EVRNG($A$125:$B$146))</f>
        <v>'Venue2'!$A$125:$B$146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IF(_epmOfflineCondition_,"Pool Bar",IF($N$1="",IF(_xll.EVDES(B6,$B$1)="#NODATA","",_xll.EVDES(B6,$B$1)&amp;" Department"),$N$1))</f>
        <v>Pool Bar</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33"/>
      <c r="AD35" s="250"/>
      <c r="AE35" s="436" t="str">
        <f t="shared" ref="AE35:AE58" si="3">IF(AD35=0,"",IFERROR(AD35/AD$19,""))</f>
        <v/>
      </c>
      <c r="AF35" s="438">
        <f t="shared" ref="AF35:AF58" si="4">IF(AND($AA35="",AD35=""),"",$AA35-AD35)</f>
        <v>0</v>
      </c>
      <c r="AG35" s="250">
        <v>0.42</v>
      </c>
      <c r="AH35" s="436">
        <f t="shared" ref="AH35:AH58" si="5">IF(AG35=0,"",IFERROR(AG35/AG$19,""))</f>
        <v>1.0224814456134815E-5</v>
      </c>
      <c r="AI35" s="439">
        <f t="shared" ref="AI35:AI58" si="6">IF(AND($AA35="",AG35=""),"",$AA35-AG35)</f>
        <v>-0.42</v>
      </c>
      <c r="AJ35" s="440">
        <f t="shared" ref="AJ35:AJ58" si="7">IFERROR(AA35/AA$20,0)</f>
        <v>0</v>
      </c>
      <c r="AK35" s="441">
        <f t="shared" ref="AK35:AK58" si="8">IFERROR(AD35/AD$20,0)</f>
        <v>0</v>
      </c>
      <c r="AL35" s="442">
        <f t="shared" ref="AL35:AL58" si="9">IFERROR(AG35/AG$20,0)</f>
        <v>1.8800358102059086E-4</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185"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v>3131.2</v>
      </c>
      <c r="P36" s="250">
        <v>1799</v>
      </c>
      <c r="Q36" s="250">
        <v>1348.5</v>
      </c>
      <c r="R36" s="250"/>
      <c r="S36" s="250"/>
      <c r="T36" s="250"/>
      <c r="U36" s="250"/>
      <c r="V36" s="250"/>
      <c r="W36" s="250">
        <v>93</v>
      </c>
      <c r="X36" s="250"/>
      <c r="Y36" s="250"/>
      <c r="Z36" s="250"/>
      <c r="AA36" s="250">
        <f t="shared" si="1"/>
        <v>6371.7</v>
      </c>
      <c r="AB36" s="436">
        <f t="shared" si="2"/>
        <v>0.31978579566271353</v>
      </c>
      <c r="AC36" s="533"/>
      <c r="AD36" s="250">
        <v>9277.8493080000007</v>
      </c>
      <c r="AE36" s="436">
        <f t="shared" si="3"/>
        <v>8.1525423728813565E-2</v>
      </c>
      <c r="AF36" s="438">
        <f t="shared" si="4"/>
        <v>-2906.1493080000009</v>
      </c>
      <c r="AG36" s="250">
        <v>6845</v>
      </c>
      <c r="AH36" s="436">
        <f t="shared" si="5"/>
        <v>0.16664013083867335</v>
      </c>
      <c r="AI36" s="439">
        <f t="shared" si="6"/>
        <v>-473.30000000000018</v>
      </c>
      <c r="AJ36" s="440">
        <f t="shared" si="7"/>
        <v>7.032781456953642</v>
      </c>
      <c r="AK36" s="441">
        <f t="shared" si="8"/>
        <v>1.6476379520511455</v>
      </c>
      <c r="AL36" s="442">
        <f t="shared" si="9"/>
        <v>3.0640107430617727</v>
      </c>
      <c r="AM36" s="443" t="str">
        <f t="shared" si="10"/>
        <v>23.83 pts.</v>
      </c>
      <c r="AN36" s="444" t="str">
        <f t="shared" si="11"/>
        <v>15.31 pts.</v>
      </c>
      <c r="AO36" s="11"/>
    </row>
    <row r="37" spans="1:41" x14ac:dyDescent="0.35">
      <c r="A37" s="11" t="s">
        <v>209</v>
      </c>
      <c r="B37" s="11" t="s">
        <v>21</v>
      </c>
      <c r="C37" s="395"/>
      <c r="D37" s="11" t="s">
        <v>590</v>
      </c>
      <c r="E37" s="11"/>
      <c r="F37" s="11" t="s">
        <v>99</v>
      </c>
      <c r="G37" s="11"/>
      <c r="H37" s="185"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33"/>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33"/>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3131.2</v>
      </c>
      <c r="P40" s="225">
        <v>1799</v>
      </c>
      <c r="Q40" s="225">
        <v>1348.5</v>
      </c>
      <c r="R40" s="225"/>
      <c r="S40" s="225"/>
      <c r="T40" s="225"/>
      <c r="U40" s="225"/>
      <c r="V40" s="225"/>
      <c r="W40" s="225">
        <v>93</v>
      </c>
      <c r="X40" s="225"/>
      <c r="Y40" s="225"/>
      <c r="Z40" s="225"/>
      <c r="AA40" s="225">
        <f t="shared" si="1"/>
        <v>6371.7</v>
      </c>
      <c r="AB40" s="226">
        <f t="shared" si="2"/>
        <v>0.31978579566271353</v>
      </c>
      <c r="AC40" s="227"/>
      <c r="AD40" s="225">
        <v>9277.8493080000007</v>
      </c>
      <c r="AE40" s="226">
        <f t="shared" si="3"/>
        <v>8.1525423728813565E-2</v>
      </c>
      <c r="AF40" s="228">
        <f t="shared" si="4"/>
        <v>-2906.1493080000009</v>
      </c>
      <c r="AG40" s="225">
        <v>6845.42</v>
      </c>
      <c r="AH40" s="226">
        <f t="shared" si="5"/>
        <v>0.16665035565312949</v>
      </c>
      <c r="AI40" s="455">
        <f t="shared" si="6"/>
        <v>-473.72000000000025</v>
      </c>
      <c r="AJ40" s="229">
        <f t="shared" si="7"/>
        <v>7.032781456953642</v>
      </c>
      <c r="AK40" s="230">
        <f t="shared" si="8"/>
        <v>1.6476379520511455</v>
      </c>
      <c r="AL40" s="232">
        <f t="shared" si="9"/>
        <v>3.0641987466427931</v>
      </c>
      <c r="AM40" s="427" t="str">
        <f t="shared" si="10"/>
        <v>23.83 pts.</v>
      </c>
      <c r="AN40" s="456" t="str">
        <f t="shared" si="11"/>
        <v>15.31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34"/>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33"/>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v>4457.3999999999996</v>
      </c>
      <c r="P43" s="250">
        <v>3790</v>
      </c>
      <c r="Q43" s="250">
        <v>2308</v>
      </c>
      <c r="R43" s="250"/>
      <c r="S43" s="250"/>
      <c r="T43" s="250"/>
      <c r="U43" s="250"/>
      <c r="V43" s="250"/>
      <c r="W43" s="250">
        <v>46</v>
      </c>
      <c r="X43" s="250"/>
      <c r="Y43" s="250"/>
      <c r="Z43" s="250"/>
      <c r="AA43" s="250">
        <f t="shared" si="1"/>
        <v>10601.4</v>
      </c>
      <c r="AB43" s="436">
        <f t="shared" si="2"/>
        <v>0.53206791502090356</v>
      </c>
      <c r="AC43" s="533"/>
      <c r="AD43" s="250">
        <v>87165.490692000007</v>
      </c>
      <c r="AE43" s="436">
        <f t="shared" si="3"/>
        <v>0.76593220338983059</v>
      </c>
      <c r="AF43" s="438">
        <f t="shared" si="4"/>
        <v>-76564.090692000012</v>
      </c>
      <c r="AG43" s="250">
        <v>28592.2</v>
      </c>
      <c r="AH43" s="436">
        <f t="shared" si="5"/>
        <v>0.69607128545880448</v>
      </c>
      <c r="AI43" s="439">
        <f t="shared" si="6"/>
        <v>-17990.800000000003</v>
      </c>
      <c r="AJ43" s="440">
        <f t="shared" si="7"/>
        <v>11.701324503311257</v>
      </c>
      <c r="AK43" s="441">
        <f t="shared" si="8"/>
        <v>15.479575686734151</v>
      </c>
      <c r="AL43" s="442">
        <f t="shared" si="9"/>
        <v>12.798657117278424</v>
      </c>
      <c r="AM43" s="443" t="str">
        <f t="shared" si="10"/>
        <v>-23.39 pts.</v>
      </c>
      <c r="AN43" s="444" t="str">
        <f t="shared" si="11"/>
        <v>-16.4 pts.</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33"/>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33"/>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v>4457.3999999999996</v>
      </c>
      <c r="P47" s="225">
        <v>3790</v>
      </c>
      <c r="Q47" s="225">
        <v>2308</v>
      </c>
      <c r="R47" s="225"/>
      <c r="S47" s="225"/>
      <c r="T47" s="225"/>
      <c r="U47" s="225"/>
      <c r="V47" s="225"/>
      <c r="W47" s="225">
        <v>46</v>
      </c>
      <c r="X47" s="225"/>
      <c r="Y47" s="225"/>
      <c r="Z47" s="225"/>
      <c r="AA47" s="225">
        <f t="shared" si="1"/>
        <v>10601.4</v>
      </c>
      <c r="AB47" s="226">
        <f t="shared" si="2"/>
        <v>0.53206791502090356</v>
      </c>
      <c r="AC47" s="227"/>
      <c r="AD47" s="225">
        <v>87165.490692000007</v>
      </c>
      <c r="AE47" s="226">
        <f t="shared" si="3"/>
        <v>0.76593220338983059</v>
      </c>
      <c r="AF47" s="228">
        <f t="shared" si="4"/>
        <v>-76564.090692000012</v>
      </c>
      <c r="AG47" s="225">
        <v>28592.2</v>
      </c>
      <c r="AH47" s="226">
        <f t="shared" si="5"/>
        <v>0.69607128545880448</v>
      </c>
      <c r="AI47" s="455">
        <f t="shared" si="6"/>
        <v>-17990.800000000003</v>
      </c>
      <c r="AJ47" s="229">
        <f t="shared" si="7"/>
        <v>11.701324503311257</v>
      </c>
      <c r="AK47" s="230">
        <f t="shared" si="8"/>
        <v>15.479575686734151</v>
      </c>
      <c r="AL47" s="232">
        <f t="shared" si="9"/>
        <v>12.798657117278424</v>
      </c>
      <c r="AM47" s="427" t="str">
        <f t="shared" si="10"/>
        <v>-23.39 pts.</v>
      </c>
      <c r="AN47" s="456" t="str">
        <f t="shared" si="11"/>
        <v>-16.4 pts.</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5">
        <v>-24.89</v>
      </c>
      <c r="P48" s="216"/>
      <c r="Q48" s="216">
        <v>-17.11</v>
      </c>
      <c r="R48" s="216"/>
      <c r="S48" s="216"/>
      <c r="T48" s="216"/>
      <c r="U48" s="216"/>
      <c r="V48" s="216"/>
      <c r="W48" s="216">
        <v>-69.349999999999994</v>
      </c>
      <c r="X48" s="216"/>
      <c r="Y48" s="216"/>
      <c r="Z48" s="216"/>
      <c r="AA48" s="216">
        <f t="shared" si="1"/>
        <v>-111.35</v>
      </c>
      <c r="AB48" s="218">
        <f t="shared" si="2"/>
        <v>-5.5884847602748321E-3</v>
      </c>
      <c r="AC48" s="459"/>
      <c r="AD48" s="216"/>
      <c r="AE48" s="218" t="str">
        <f t="shared" si="3"/>
        <v/>
      </c>
      <c r="AF48" s="233">
        <f t="shared" si="4"/>
        <v>-111.35</v>
      </c>
      <c r="AG48" s="216">
        <v>-805.44</v>
      </c>
      <c r="AH48" s="218">
        <f t="shared" si="5"/>
        <v>-1.9608272751307682E-2</v>
      </c>
      <c r="AI48" s="536">
        <f t="shared" si="6"/>
        <v>694.09</v>
      </c>
      <c r="AJ48" s="537">
        <f t="shared" si="7"/>
        <v>-0.12290286975717439</v>
      </c>
      <c r="AK48" s="538">
        <f t="shared" si="8"/>
        <v>0</v>
      </c>
      <c r="AL48" s="539">
        <f t="shared" si="9"/>
        <v>-0.36053715308863027</v>
      </c>
      <c r="AM48" s="540">
        <f t="shared" si="10"/>
        <v>0</v>
      </c>
      <c r="AN48" s="541" t="str">
        <f t="shared" si="11"/>
        <v>1.4 pts.</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v>7563.71</v>
      </c>
      <c r="P49" s="225">
        <v>5589</v>
      </c>
      <c r="Q49" s="225">
        <v>3639.39</v>
      </c>
      <c r="R49" s="225"/>
      <c r="S49" s="225"/>
      <c r="T49" s="225"/>
      <c r="U49" s="225"/>
      <c r="V49" s="225"/>
      <c r="W49" s="225">
        <v>69.650000000000006</v>
      </c>
      <c r="X49" s="225"/>
      <c r="Y49" s="225"/>
      <c r="Z49" s="225"/>
      <c r="AA49" s="225">
        <f t="shared" si="1"/>
        <v>16861.75</v>
      </c>
      <c r="AB49" s="226">
        <f t="shared" si="2"/>
        <v>0.84626522592334219</v>
      </c>
      <c r="AC49" s="227"/>
      <c r="AD49" s="225">
        <v>96443.34</v>
      </c>
      <c r="AE49" s="226">
        <f t="shared" si="3"/>
        <v>0.84745762711864403</v>
      </c>
      <c r="AF49" s="228">
        <f t="shared" si="4"/>
        <v>-79581.59</v>
      </c>
      <c r="AG49" s="225">
        <v>34632.18</v>
      </c>
      <c r="AH49" s="226">
        <f t="shared" si="5"/>
        <v>0.84311336836062623</v>
      </c>
      <c r="AI49" s="455">
        <f t="shared" si="6"/>
        <v>-17770.43</v>
      </c>
      <c r="AJ49" s="229">
        <f t="shared" si="7"/>
        <v>18.611203090507725</v>
      </c>
      <c r="AK49" s="230">
        <f t="shared" si="8"/>
        <v>17.127213638785296</v>
      </c>
      <c r="AL49" s="232">
        <f t="shared" si="9"/>
        <v>15.502318710832588</v>
      </c>
      <c r="AM49" s="427" t="str">
        <f t="shared" si="10"/>
        <v>-0.12 pts.</v>
      </c>
      <c r="AN49" s="456" t="str">
        <f t="shared" si="11"/>
        <v>0.32 pts.</v>
      </c>
      <c r="AO49" s="11"/>
    </row>
    <row r="50" spans="1:41" x14ac:dyDescent="0.35">
      <c r="A50" s="65" t="s">
        <v>2</v>
      </c>
      <c r="B50" s="66" t="str">
        <f>IF(_epmOfflineCondition_,"'Venue2'!$B$2:$B$10",_xll.EVRNG($B$2:$B$10))</f>
        <v>'Venue2'!$B$2:$B$10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34"/>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IF(_epmOfflineCondition_,"'Venue2'!$O$16:$AN$18",_xll.EVRNG($O$16:$AN$18))</f>
        <v>'Venue2'!$O$16:$AN$18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33"/>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IF(_epmOfflineCondition_,"'Venue2'!$H$62:$H$70",_xll.EVRNG(H62:H70))</f>
        <v>'Venue2'!$H$62:$H$70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33"/>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33"/>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v>1371.42</v>
      </c>
      <c r="P54" s="250">
        <v>1008.54</v>
      </c>
      <c r="Q54" s="250">
        <v>658.17</v>
      </c>
      <c r="R54" s="250"/>
      <c r="S54" s="250"/>
      <c r="T54" s="250"/>
      <c r="U54" s="250"/>
      <c r="V54" s="250"/>
      <c r="W54" s="250">
        <v>25.02</v>
      </c>
      <c r="X54" s="250"/>
      <c r="Y54" s="250"/>
      <c r="Z54" s="250"/>
      <c r="AA54" s="250">
        <f t="shared" si="1"/>
        <v>3063.15</v>
      </c>
      <c r="AB54" s="436">
        <f t="shared" si="2"/>
        <v>0.15373477407665787</v>
      </c>
      <c r="AC54" s="533"/>
      <c r="AD54" s="250">
        <v>17359.801200000002</v>
      </c>
      <c r="AE54" s="436">
        <f t="shared" si="3"/>
        <v>0.15254237288135594</v>
      </c>
      <c r="AF54" s="438">
        <f t="shared" si="4"/>
        <v>-14296.651200000002</v>
      </c>
      <c r="AG54" s="250">
        <v>6444.36</v>
      </c>
      <c r="AH54" s="436">
        <f t="shared" si="5"/>
        <v>0.15688663163937369</v>
      </c>
      <c r="AI54" s="439">
        <f t="shared" si="6"/>
        <v>-3381.2099999999996</v>
      </c>
      <c r="AJ54" s="440">
        <f t="shared" si="7"/>
        <v>3.3809602649006623</v>
      </c>
      <c r="AK54" s="441">
        <f t="shared" si="8"/>
        <v>3.0828984549813536</v>
      </c>
      <c r="AL54" s="442">
        <f t="shared" si="9"/>
        <v>2.884673231871083</v>
      </c>
      <c r="AM54" s="443" t="str">
        <f t="shared" si="10"/>
        <v>0.12 pts.</v>
      </c>
      <c r="AN54" s="444" t="str">
        <f t="shared" si="11"/>
        <v>-0.32 pts.</v>
      </c>
      <c r="AO54" s="11"/>
    </row>
    <row r="55" spans="1:41" x14ac:dyDescent="0.35">
      <c r="A55" s="65" t="s">
        <v>7</v>
      </c>
      <c r="B55" s="66" t="str">
        <f>IF(_epmOfflineCondition_,"'Venue2'!$A$69:$F$77",_xll.EVRNG(A69:F77))</f>
        <v>'Venue2'!$A$69:$F$77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33"/>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IF(_epmOfflineCondition_,"'Venue2'!$A$125:$B$146",_xll.EVRNG($A$125:$B$146))</f>
        <v>'Venue2'!$A$125:$B$146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v>1371.42</v>
      </c>
      <c r="P57" s="238">
        <v>1008.54</v>
      </c>
      <c r="Q57" s="238">
        <v>658.17</v>
      </c>
      <c r="R57" s="238"/>
      <c r="S57" s="238"/>
      <c r="T57" s="238"/>
      <c r="U57" s="238"/>
      <c r="V57" s="238"/>
      <c r="W57" s="238">
        <v>25.02</v>
      </c>
      <c r="X57" s="238"/>
      <c r="Y57" s="238"/>
      <c r="Z57" s="238"/>
      <c r="AA57" s="238">
        <f t="shared" si="1"/>
        <v>3063.15</v>
      </c>
      <c r="AB57" s="239">
        <f t="shared" si="2"/>
        <v>0.15373477407665787</v>
      </c>
      <c r="AC57" s="240"/>
      <c r="AD57" s="238">
        <v>17359.801200000002</v>
      </c>
      <c r="AE57" s="239">
        <f t="shared" si="3"/>
        <v>0.15254237288135594</v>
      </c>
      <c r="AF57" s="241">
        <f t="shared" si="4"/>
        <v>-14296.651200000002</v>
      </c>
      <c r="AG57" s="238">
        <v>6444.36</v>
      </c>
      <c r="AH57" s="239">
        <f t="shared" si="5"/>
        <v>0.15688663163937369</v>
      </c>
      <c r="AI57" s="464">
        <f t="shared" si="6"/>
        <v>-3381.2099999999996</v>
      </c>
      <c r="AJ57" s="242">
        <f t="shared" si="7"/>
        <v>3.3809602649006623</v>
      </c>
      <c r="AK57" s="243">
        <f t="shared" si="8"/>
        <v>3.0828984549813536</v>
      </c>
      <c r="AL57" s="245">
        <f t="shared" si="9"/>
        <v>2.884673231871083</v>
      </c>
      <c r="AM57" s="431" t="str">
        <f t="shared" si="10"/>
        <v>0.12 pts.</v>
      </c>
      <c r="AN57" s="465" t="str">
        <f t="shared" si="11"/>
        <v>-0.32 pts.</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v>8935.1299999999992</v>
      </c>
      <c r="P58" s="225">
        <v>6597.54</v>
      </c>
      <c r="Q58" s="225">
        <v>4297.5600000000004</v>
      </c>
      <c r="R58" s="225"/>
      <c r="S58" s="225"/>
      <c r="T58" s="225"/>
      <c r="U58" s="225"/>
      <c r="V58" s="225"/>
      <c r="W58" s="225">
        <v>94.67</v>
      </c>
      <c r="X58" s="225"/>
      <c r="Y58" s="225"/>
      <c r="Z58" s="225"/>
      <c r="AA58" s="225">
        <f t="shared" si="1"/>
        <v>19924.899999999998</v>
      </c>
      <c r="AB58" s="226">
        <f t="shared" si="2"/>
        <v>1</v>
      </c>
      <c r="AC58" s="227"/>
      <c r="AD58" s="225">
        <v>113803.1412</v>
      </c>
      <c r="AE58" s="226">
        <f t="shared" si="3"/>
        <v>1</v>
      </c>
      <c r="AF58" s="228">
        <f t="shared" si="4"/>
        <v>-93878.241200000004</v>
      </c>
      <c r="AG58" s="225">
        <v>41076.54</v>
      </c>
      <c r="AH58" s="226">
        <f t="shared" si="5"/>
        <v>1</v>
      </c>
      <c r="AI58" s="455">
        <f t="shared" si="6"/>
        <v>-21151.640000000003</v>
      </c>
      <c r="AJ58" s="229">
        <f t="shared" si="7"/>
        <v>21.992163355408387</v>
      </c>
      <c r="AK58" s="230">
        <f t="shared" si="8"/>
        <v>20.21011209376665</v>
      </c>
      <c r="AL58" s="232">
        <f t="shared" si="9"/>
        <v>18.38699194270367</v>
      </c>
      <c r="AM58" s="427" t="str">
        <f t="shared" si="10"/>
        <v>0 pts.</v>
      </c>
      <c r="AN58" s="456" t="str">
        <f t="shared" si="11"/>
        <v>0 pts.</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v>870.42</v>
      </c>
      <c r="P62" s="250">
        <v>500.12</v>
      </c>
      <c r="Q62" s="250">
        <v>375.02</v>
      </c>
      <c r="R62" s="250"/>
      <c r="S62" s="250"/>
      <c r="T62" s="250"/>
      <c r="U62" s="250"/>
      <c r="V62" s="250"/>
      <c r="W62" s="250"/>
      <c r="X62" s="250"/>
      <c r="Y62" s="250"/>
      <c r="Z62" s="250"/>
      <c r="AA62" s="250">
        <f t="shared" ref="AA62:AA70" si="13">IF($I62="B1","",SUM(O62:Z62))</f>
        <v>1745.56</v>
      </c>
      <c r="AB62" s="436">
        <f>IF(_epmOfflineCondition_,0.273955145408604,IF(AA62=0,"",IFERROR(AA62/_xll.EVGTS($B$1,1,_xll.EVPRO($B$1,$H62,"COSBASIS"),$B$3,$B$5,$B$6,$B$7,$B$9,AA$16,AA$17,AA$11),"")))</f>
        <v>0.27395514540860399</v>
      </c>
      <c r="AC62" s="533"/>
      <c r="AD62" s="250">
        <v>2579.2399999999998</v>
      </c>
      <c r="AE62" s="436">
        <f>IF(_epmOfflineCondition_,0.277999772832698,IF(AD62=0,"",IFERROR(AD62/_xll.EVGTS($B$1,1,_xll.EVPRO($B$1,$H62,"COSBASIS"),$B$3,$B$5,$B$6,$B$7,$B$9,AD$16,AD$17,AD$18),"")))</f>
        <v>0.277999772832698</v>
      </c>
      <c r="AF62" s="438">
        <f t="shared" ref="AF62:AF72" si="14">IF(AND($AA62="",AD62=""),"",$AA62-AD62)</f>
        <v>-833.67999999999984</v>
      </c>
      <c r="AG62" s="250">
        <v>1657.59</v>
      </c>
      <c r="AH62" s="436">
        <f>IF(_epmOfflineCondition_,0.242145843498281,IF(AG62=0,"",IFERROR(AG62/_xll.EVGTS($B$1,1,_xll.EVPRO($B$1,$H62,"COSBASIS"),$B$3,$B$5,$B$6,$B$7,$B$9,AG$16,AG$17,AG$18),"")))</f>
        <v>0.242145843498281</v>
      </c>
      <c r="AI62" s="439">
        <f t="shared" ref="AI62:AI72" si="15">IF(AND($AA62="",AG62=""),"",$AA62-AG62)</f>
        <v>87.970000000000027</v>
      </c>
      <c r="AJ62" s="440">
        <f t="shared" ref="AJ62:AJ70" si="16">IFERROR(AA62/AA$20,0)</f>
        <v>1.9266666666666665</v>
      </c>
      <c r="AK62" s="441">
        <f t="shared" ref="AK62:AK70" si="17">IFERROR(AD62/AD$20,0)</f>
        <v>0.45804297638074937</v>
      </c>
      <c r="AL62" s="442">
        <f t="shared" ref="AL62:AL70" si="18">IFERROR(AG62/AG$20,0)</f>
        <v>0.74198299015219338</v>
      </c>
      <c r="AM62" s="443" t="str">
        <f t="shared" ref="AM62:AM70" si="19">+IFERROR(ROUND(($AB62-AE62)*100,2)&amp;" pts.",0)</f>
        <v>-0.4 pts.</v>
      </c>
      <c r="AN62" s="444" t="str">
        <f t="shared" ref="AN62:AN70" si="20">+IFERROR(ROUND(($AB62-AH62)*100,2)&amp;" pts.",0)</f>
        <v>3.18 pts.</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v>881.57</v>
      </c>
      <c r="P63" s="251">
        <v>748.12</v>
      </c>
      <c r="Q63" s="251">
        <v>460.25</v>
      </c>
      <c r="R63" s="251"/>
      <c r="S63" s="251"/>
      <c r="T63" s="251"/>
      <c r="U63" s="251"/>
      <c r="V63" s="251"/>
      <c r="W63" s="251"/>
      <c r="X63" s="251"/>
      <c r="Y63" s="251"/>
      <c r="Z63" s="251"/>
      <c r="AA63" s="251">
        <f t="shared" si="13"/>
        <v>2089.94</v>
      </c>
      <c r="AB63" s="446">
        <f>IF(_epmOfflineCondition_,0.197138113834022,IF(AA63=0,"",IFERROR(AA63/_xll.EVGTS($B$1,1,_xll.EVPRO($B$1,$H63,"COSBASIS"),$B$3,$B$5,$B$6,$B$7,$B$9,AA$16,AA$17,AA$11),"")))</f>
        <v>0.19713811383402199</v>
      </c>
      <c r="AC63" s="437"/>
      <c r="AD63" s="251">
        <v>17243.8</v>
      </c>
      <c r="AE63" s="446">
        <f>IF(_epmOfflineCondition_,0.197828290337183,IF(AD63=0,"",IFERROR(AD63/_xll.EVGTS($B$1,1,_xll.EVPRO($B$1,$H63,"COSBASIS"),$B$3,$B$5,$B$6,$B$7,$B$9,AD$16,AD$17,AD$18),"")))</f>
        <v>0.19782829033718299</v>
      </c>
      <c r="AF63" s="447">
        <f t="shared" si="14"/>
        <v>-15153.859999999999</v>
      </c>
      <c r="AG63" s="251">
        <v>5659.33</v>
      </c>
      <c r="AH63" s="446">
        <f>IF(_epmOfflineCondition_,0.197932652961297,IF(AG63=0,"",IFERROR(AG63/_xll.EVGTS($B$1,1,_xll.EVPRO($B$1,$H63,"COSBASIS"),$B$3,$B$5,$B$6,$B$7,$B$9,AG$16,AG$17,AG$18),"")))</f>
        <v>0.197932652961297</v>
      </c>
      <c r="AI63" s="448">
        <f t="shared" si="15"/>
        <v>-3569.39</v>
      </c>
      <c r="AJ63" s="449">
        <f t="shared" si="16"/>
        <v>2.3067770419426048</v>
      </c>
      <c r="AK63" s="450">
        <f t="shared" si="17"/>
        <v>3.0622979932516428</v>
      </c>
      <c r="AL63" s="451">
        <f t="shared" si="18"/>
        <v>2.5332721575649058</v>
      </c>
      <c r="AM63" s="452" t="str">
        <f t="shared" si="19"/>
        <v>-0.07 pts.</v>
      </c>
      <c r="AN63" s="453" t="str">
        <f t="shared" si="20"/>
        <v>-0.08 pts.</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v>1751.99</v>
      </c>
      <c r="P64" s="225">
        <v>1248.24</v>
      </c>
      <c r="Q64" s="225">
        <v>835.27</v>
      </c>
      <c r="R64" s="225"/>
      <c r="S64" s="225"/>
      <c r="T64" s="225"/>
      <c r="U64" s="225"/>
      <c r="V64" s="225"/>
      <c r="W64" s="225"/>
      <c r="X64" s="225"/>
      <c r="Y64" s="225"/>
      <c r="Z64" s="225"/>
      <c r="AA64" s="225">
        <f t="shared" si="13"/>
        <v>3835.5</v>
      </c>
      <c r="AB64" s="226">
        <f>IF(_epmOfflineCondition_,0.227467492994499,IF(AA64=0,"",IFERROR(AA64/_xll.EVGTS($B$1,1,_xll.EVPRO($B$1,$H64,"COSBASIS"),$B$3,$B$5,$B$6,$B$7,$B$9,AA$16,AA$17,AA$11),"")))</f>
        <v>0.227467492994499</v>
      </c>
      <c r="AC64" s="227"/>
      <c r="AD64" s="225">
        <v>19823.04</v>
      </c>
      <c r="AE64" s="226">
        <f>IF(_epmOfflineCondition_,0.205540786953252,IF(AD64=0,"",IFERROR(AD64/_xll.EVGTS($B$1,1,_xll.EVPRO($B$1,$H64,"COSBASIS"),$B$3,$B$5,$B$6,$B$7,$B$9,AD$16,AD$17,AD$18),"")))</f>
        <v>0.20554078695325201</v>
      </c>
      <c r="AF64" s="228">
        <f t="shared" si="14"/>
        <v>-15987.54</v>
      </c>
      <c r="AG64" s="225">
        <v>7316.92</v>
      </c>
      <c r="AH64" s="226">
        <f>IF(_epmOfflineCondition_,0.21127517817244,IF(AG64=0,"",IFERROR(AG64/_xll.EVGTS($B$1,1,_xll.EVPRO($B$1,$H64,"COSBASIS"),$B$3,$B$5,$B$6,$B$7,$B$9,AG$16,AG$17,AG$18),"")))</f>
        <v>0.21127517817243999</v>
      </c>
      <c r="AI64" s="455">
        <f t="shared" si="15"/>
        <v>-3481.42</v>
      </c>
      <c r="AJ64" s="229">
        <f t="shared" si="16"/>
        <v>4.2334437086092711</v>
      </c>
      <c r="AK64" s="230">
        <f t="shared" si="17"/>
        <v>3.5203409696323922</v>
      </c>
      <c r="AL64" s="232">
        <f t="shared" si="18"/>
        <v>3.2752551477170995</v>
      </c>
      <c r="AM64" s="427" t="str">
        <f t="shared" si="19"/>
        <v>2.19 pts.</v>
      </c>
      <c r="AN64" s="456" t="str">
        <f t="shared" si="20"/>
        <v>1.62 pts.</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34"/>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33"/>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33"/>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v>1751.99</v>
      </c>
      <c r="P70" s="225">
        <v>1248.24</v>
      </c>
      <c r="Q70" s="225">
        <v>835.27</v>
      </c>
      <c r="R70" s="225"/>
      <c r="S70" s="225"/>
      <c r="T70" s="225"/>
      <c r="U70" s="225"/>
      <c r="V70" s="225"/>
      <c r="W70" s="225"/>
      <c r="X70" s="225"/>
      <c r="Y70" s="225"/>
      <c r="Z70" s="225"/>
      <c r="AA70" s="225">
        <f t="shared" si="13"/>
        <v>3835.5</v>
      </c>
      <c r="AB70" s="226">
        <f>IF(_epmOfflineCondition_,0.192497829349206,IF(AA70=0,"",IFERROR(AA70/_xll.EVGTS($B$1,1,_xll.EVPRO($B$1,$H70,"COSBASIS"),$B$3,$B$5,$B$6,$B$7,$B$9,AA$16,AA$17,AA$11),"")))</f>
        <v>0.19249782934920601</v>
      </c>
      <c r="AC70" s="227"/>
      <c r="AD70" s="225">
        <v>19823.04</v>
      </c>
      <c r="AE70" s="226">
        <f>IF(_epmOfflineCondition_,0.174187107587501,IF(AD70=0,"",IFERROR(AD70/_xll.EVGTS($B$1,1,_xll.EVPRO($B$1,$H70,"COSBASIS"),$B$3,$B$5,$B$6,$B$7,$B$9,AD$16,AD$17,AD$18),"")))</f>
        <v>0.174187107587501</v>
      </c>
      <c r="AF70" s="228">
        <f t="shared" si="14"/>
        <v>-15987.54</v>
      </c>
      <c r="AG70" s="225">
        <v>7316.92</v>
      </c>
      <c r="AH70" s="226">
        <f>IF(_epmOfflineCondition_,0.178128927119957,IF(AG70=0,"",IFERROR(AG70/_xll.EVGTS($B$1,1,_xll.EVPRO($B$1,$H70,"COSBASIS"),$B$3,$B$5,$B$6,$B$7,$B$9,AG$16,AG$17,AG$18),"")))</f>
        <v>0.17812892711995701</v>
      </c>
      <c r="AI70" s="455">
        <f t="shared" si="15"/>
        <v>-3481.42</v>
      </c>
      <c r="AJ70" s="229">
        <f t="shared" si="16"/>
        <v>4.2334437086092711</v>
      </c>
      <c r="AK70" s="230">
        <f t="shared" si="17"/>
        <v>3.5203409696323922</v>
      </c>
      <c r="AL70" s="232">
        <f t="shared" si="18"/>
        <v>3.2752551477170995</v>
      </c>
      <c r="AM70" s="427" t="str">
        <f t="shared" si="19"/>
        <v>1.83 pts.</v>
      </c>
      <c r="AN70" s="456" t="str">
        <f t="shared" si="20"/>
        <v>1.44 pts.</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7183.1399999999994</v>
      </c>
      <c r="P72" s="123">
        <f t="shared" si="21"/>
        <v>5349.3</v>
      </c>
      <c r="Q72" s="123">
        <f t="shared" si="21"/>
        <v>3462.2900000000004</v>
      </c>
      <c r="R72" s="123">
        <f t="shared" si="21"/>
        <v>0</v>
      </c>
      <c r="S72" s="123">
        <f t="shared" si="21"/>
        <v>0</v>
      </c>
      <c r="T72" s="123">
        <f t="shared" si="21"/>
        <v>0</v>
      </c>
      <c r="U72" s="123">
        <f t="shared" si="21"/>
        <v>0</v>
      </c>
      <c r="V72" s="123">
        <f t="shared" si="21"/>
        <v>0</v>
      </c>
      <c r="W72" s="123">
        <f t="shared" si="21"/>
        <v>94.67</v>
      </c>
      <c r="X72" s="123">
        <f t="shared" si="21"/>
        <v>0</v>
      </c>
      <c r="Y72" s="123">
        <f t="shared" si="21"/>
        <v>0</v>
      </c>
      <c r="Z72" s="123">
        <f t="shared" si="21"/>
        <v>0</v>
      </c>
      <c r="AA72" s="191">
        <f>IF($I72="B1","",SUM(O72:Z72))</f>
        <v>16089.4</v>
      </c>
      <c r="AB72" s="192">
        <f>IF(AA72=0,"",IFERROR(AA72/AA$19,""))</f>
        <v>0.80750217065079377</v>
      </c>
      <c r="AC72" s="11"/>
      <c r="AD72" s="123">
        <f>SUMIF($H$35:$H$70,"400000",AD35:AD70)-SUMIF($H$35:$H$70,"500001",AD35:AD70)</f>
        <v>93980.101200000005</v>
      </c>
      <c r="AE72" s="192">
        <f>IF(AD72=0,"",IFERROR(AD72/AD$19,""))</f>
        <v>0.82581289241249878</v>
      </c>
      <c r="AF72" s="125">
        <f t="shared" si="14"/>
        <v>-77890.70120000001</v>
      </c>
      <c r="AG72" s="123">
        <f>SUMIF($H$35:$H$70,"400000",AG35:AG70)-SUMIF($H$35:$H$70,"500001",AG35:AG70)</f>
        <v>33759.620000000003</v>
      </c>
      <c r="AH72" s="192">
        <f>IF(AG72=0,"",IFERROR(AG72/AG$19,""))</f>
        <v>0.82187107288004302</v>
      </c>
      <c r="AI72" s="125">
        <f t="shared" si="15"/>
        <v>-17670.22</v>
      </c>
      <c r="AJ72" s="193">
        <f>IFERROR(AA72/AA$20,0)</f>
        <v>17.758719646799115</v>
      </c>
      <c r="AK72" s="194">
        <f>IFERROR(AD72/AD$20,0)</f>
        <v>16.689771124134257</v>
      </c>
      <c r="AL72" s="195">
        <f>IFERROR(AG72/AG$20,0)</f>
        <v>15.111736794986573</v>
      </c>
      <c r="AM72" s="407" t="str">
        <f>+IFERROR(ROUND(($AB72-AE72)*100,2)&amp;" pts.",0)</f>
        <v>-1.83 pts.</v>
      </c>
      <c r="AN72" s="408" t="str">
        <f>+IFERROR(ROUND(($AB72-AH72)*100,2)&amp;" pts.",0)</f>
        <v>-1.44 pts.</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90"/>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90"/>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 t="shared" ref="K76:K88" si="22">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 t="shared" ref="AA76:AA88" si="23">IF($I76="B1","",SUM(O76:Z76))</f>
        <v>0</v>
      </c>
      <c r="AB76" s="211" t="str">
        <f t="shared" ref="AB76:AB88" si="24">IF(AA76=0,"",IFERROR(AA76/AA$19,""))</f>
        <v/>
      </c>
      <c r="AC76" s="140"/>
      <c r="AD76" s="210"/>
      <c r="AE76" s="211" t="str">
        <f t="shared" ref="AE76:AE88" si="25">IF(AD76=0,"",IFERROR(AD76/AD$19,""))</f>
        <v/>
      </c>
      <c r="AF76" s="253">
        <f t="shared" ref="AF76:AF88" si="26">IF(AND($AA76="",AD76=""),"",$AA76-AD76)</f>
        <v>0</v>
      </c>
      <c r="AG76" s="210"/>
      <c r="AH76" s="211" t="str">
        <f t="shared" ref="AH76:AH88" si="27">IF(AG76=0,"",IFERROR(AG76/AG$19,""))</f>
        <v/>
      </c>
      <c r="AI76" s="253">
        <f t="shared" ref="AI76:AI88" si="28">IF(AND($AA76="",AG76=""),"",$AA76-AG76)</f>
        <v>0</v>
      </c>
      <c r="AJ76" s="440">
        <f t="shared" ref="AJ76:AJ88" si="29">IFERROR(AA76/AA$20,0)</f>
        <v>0</v>
      </c>
      <c r="AK76" s="441">
        <f t="shared" ref="AK76:AK88" si="30">IFERROR(AD76/AD$20,0)</f>
        <v>0</v>
      </c>
      <c r="AL76" s="442">
        <f t="shared" ref="AL76:AL88" si="31">IFERROR(AG76/AG$20,0)</f>
        <v>0</v>
      </c>
      <c r="AM76" s="443">
        <f t="shared" ref="AM76:AM88" si="32">+IFERROR(ROUND(($AB76-AE76)*100,2)&amp;" pts.",0)</f>
        <v>0</v>
      </c>
      <c r="AN76" s="444">
        <f t="shared" ref="AN76:AN88" si="33">+IFERROR(ROUND(($AB76-AH76)*100,2)&amp;"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 t="shared" si="22"/>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 t="shared" si="23"/>
        <v>0</v>
      </c>
      <c r="AB77" s="211" t="str">
        <f t="shared" si="24"/>
        <v/>
      </c>
      <c r="AC77" s="140"/>
      <c r="AD77" s="210"/>
      <c r="AE77" s="211" t="str">
        <f t="shared" si="25"/>
        <v/>
      </c>
      <c r="AF77" s="253">
        <f t="shared" si="26"/>
        <v>0</v>
      </c>
      <c r="AG77" s="210"/>
      <c r="AH77" s="211" t="str">
        <f t="shared" si="27"/>
        <v/>
      </c>
      <c r="AI77" s="253">
        <f t="shared" si="28"/>
        <v>0</v>
      </c>
      <c r="AJ77" s="440">
        <f t="shared" si="29"/>
        <v>0</v>
      </c>
      <c r="AK77" s="441">
        <f t="shared" si="30"/>
        <v>0</v>
      </c>
      <c r="AL77" s="442">
        <f t="shared" si="31"/>
        <v>0</v>
      </c>
      <c r="AM77" s="443">
        <f t="shared" si="32"/>
        <v>0</v>
      </c>
      <c r="AN77" s="444">
        <f t="shared" si="33"/>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205"/>
      <c r="P78" s="205"/>
      <c r="Q78" s="205"/>
      <c r="R78" s="205"/>
      <c r="S78" s="205"/>
      <c r="T78" s="205"/>
      <c r="U78" s="205"/>
      <c r="V78" s="205"/>
      <c r="W78" s="205"/>
      <c r="X78" s="205"/>
      <c r="Y78" s="205"/>
      <c r="Z78" s="205"/>
      <c r="AA78" s="186" t="str">
        <f t="shared" si="23"/>
        <v/>
      </c>
      <c r="AB78" s="206" t="str">
        <f t="shared" si="24"/>
        <v/>
      </c>
      <c r="AC78" s="11"/>
      <c r="AD78" s="205"/>
      <c r="AE78" s="206" t="str">
        <f t="shared" si="25"/>
        <v/>
      </c>
      <c r="AF78" s="207" t="str">
        <f t="shared" si="26"/>
        <v/>
      </c>
      <c r="AG78" s="205"/>
      <c r="AH78" s="206" t="str">
        <f t="shared" si="27"/>
        <v/>
      </c>
      <c r="AI78" s="207" t="str">
        <f t="shared" si="28"/>
        <v/>
      </c>
      <c r="AJ78" s="402">
        <f t="shared" si="29"/>
        <v>0</v>
      </c>
      <c r="AK78" s="403">
        <f t="shared" si="30"/>
        <v>0</v>
      </c>
      <c r="AL78" s="404">
        <f t="shared" si="31"/>
        <v>0</v>
      </c>
      <c r="AM78" s="405">
        <f t="shared" si="32"/>
        <v>0</v>
      </c>
      <c r="AN78" s="406">
        <f t="shared" si="33"/>
        <v>0</v>
      </c>
      <c r="AO78" s="11"/>
    </row>
    <row r="79" spans="1:41" x14ac:dyDescent="0.35">
      <c r="A79" s="11"/>
      <c r="B79" s="11"/>
      <c r="C79" s="208"/>
      <c r="D79" s="11"/>
      <c r="E79" s="11"/>
      <c r="F79" s="11"/>
      <c r="G79" s="11"/>
      <c r="H79" s="88" t="s">
        <v>871</v>
      </c>
      <c r="I79" s="542" t="str">
        <f>IF(_epmOfflineCondition_,"T3",_xll.EVPRO($B$1,$H79,"STYLE"))</f>
        <v>T3</v>
      </c>
      <c r="J79" s="542" t="str">
        <f>IF(_epmOfflineCondition_,"Y",_xll.EVPRO($B$1,$H79,"CALC"))</f>
        <v>Y</v>
      </c>
      <c r="K79" s="117" t="str">
        <f t="shared" si="22"/>
        <v>&gt;</v>
      </c>
      <c r="L79" s="369" t="str">
        <f>IF(_epmOfflineCondition_,"",_xll.EVPRO($B$1,H79,"JDEID"))</f>
        <v/>
      </c>
      <c r="M79" s="90" t="str">
        <f>IF(_epmOfflineCondition_,"",IF(AND(I79="N",J79="N"),_xll.EVPRO($B$1,H79,"PSFTID"),""))</f>
        <v/>
      </c>
      <c r="N79" s="369" t="str">
        <f>IF(_epmOfflineCondition_,"F&amp;B Kitchen",IF(_xll.EVDES(H79,$B$1)="#NODATA","",_xll.EVDES(H79,$B$1)))</f>
        <v>F&amp;B Kitchen</v>
      </c>
      <c r="O79" s="238">
        <v>364</v>
      </c>
      <c r="P79" s="238">
        <v>280</v>
      </c>
      <c r="Q79" s="238">
        <v>178</v>
      </c>
      <c r="R79" s="238"/>
      <c r="S79" s="238"/>
      <c r="T79" s="238"/>
      <c r="U79" s="238"/>
      <c r="V79" s="238"/>
      <c r="W79" s="238"/>
      <c r="X79" s="238"/>
      <c r="Y79" s="238"/>
      <c r="Z79" s="238"/>
      <c r="AA79" s="238">
        <f t="shared" si="23"/>
        <v>822</v>
      </c>
      <c r="AB79" s="239">
        <f t="shared" si="24"/>
        <v>4.1254912195293328E-2</v>
      </c>
      <c r="AC79" s="240"/>
      <c r="AD79" s="238">
        <v>5010.4750000000004</v>
      </c>
      <c r="AE79" s="239">
        <f t="shared" si="25"/>
        <v>4.4027563274325512E-2</v>
      </c>
      <c r="AF79" s="241">
        <f t="shared" si="26"/>
        <v>-4188.4750000000004</v>
      </c>
      <c r="AG79" s="238">
        <v>24.75</v>
      </c>
      <c r="AH79" s="239">
        <f t="shared" si="27"/>
        <v>6.0253370902223018E-4</v>
      </c>
      <c r="AI79" s="241">
        <f t="shared" si="28"/>
        <v>797.25</v>
      </c>
      <c r="AJ79" s="242">
        <f t="shared" si="29"/>
        <v>0.9072847682119205</v>
      </c>
      <c r="AK79" s="243">
        <f t="shared" si="30"/>
        <v>0.88980198898952234</v>
      </c>
      <c r="AL79" s="245">
        <f t="shared" si="31"/>
        <v>1.1078782452999104E-2</v>
      </c>
      <c r="AM79" s="431" t="str">
        <f t="shared" si="32"/>
        <v>-0.28 pts.</v>
      </c>
      <c r="AN79" s="465" t="str">
        <f t="shared" si="33"/>
        <v>4.07 pts.</v>
      </c>
      <c r="AO79" s="11"/>
    </row>
    <row r="80" spans="1:41" x14ac:dyDescent="0.35">
      <c r="A80" s="61" t="str">
        <f>IF(_epmOfflineCondition_,"Evdre:Ok",_xll.EVDRE($B$1,A83:B90,A93:B99))</f>
        <v>Evdre:Ok</v>
      </c>
      <c r="B80" s="11"/>
      <c r="C80" s="11"/>
      <c r="D80" s="11"/>
      <c r="E80" s="11"/>
      <c r="F80" s="11"/>
      <c r="G80" s="11"/>
      <c r="H80" s="88" t="s">
        <v>872</v>
      </c>
      <c r="I80" s="542" t="str">
        <f>IF(_epmOfflineCondition_,"T3",_xll.EVPRO($B$1,$H80,"STYLE"))</f>
        <v>T3</v>
      </c>
      <c r="J80" s="542" t="str">
        <f>IF(_epmOfflineCondition_,"Y",_xll.EVPRO($B$1,$H80,"CALC"))</f>
        <v>Y</v>
      </c>
      <c r="K80" s="117" t="str">
        <f t="shared" si="22"/>
        <v>&gt;</v>
      </c>
      <c r="L80" s="369" t="str">
        <f>IF(_epmOfflineCondition_,"",_xll.EVPRO($B$1,H80,"JDEID"))</f>
        <v/>
      </c>
      <c r="M80" s="90" t="str">
        <f>IF(_epmOfflineCondition_,"",IF(AND(I80="N",J80="N"),_xll.EVPRO($B$1,H80,"PSFTID"),""))</f>
        <v/>
      </c>
      <c r="N80" s="369" t="str">
        <f>IF(_epmOfflineCondition_,"F&amp;B Venues",IF(_xll.EVDES(H80,$B$1)="#NODATA","",_xll.EVDES(H80,$B$1)))</f>
        <v>F&amp;B Venues</v>
      </c>
      <c r="O80" s="238">
        <v>1680.9</v>
      </c>
      <c r="P80" s="238">
        <v>1375.82</v>
      </c>
      <c r="Q80" s="238">
        <v>757</v>
      </c>
      <c r="R80" s="238"/>
      <c r="S80" s="238"/>
      <c r="T80" s="238"/>
      <c r="U80" s="238"/>
      <c r="V80" s="238"/>
      <c r="W80" s="238"/>
      <c r="X80" s="238"/>
      <c r="Y80" s="238">
        <v>175.77</v>
      </c>
      <c r="Z80" s="238"/>
      <c r="AA80" s="238">
        <f t="shared" si="23"/>
        <v>3989.4900000000002</v>
      </c>
      <c r="AB80" s="239">
        <f t="shared" si="24"/>
        <v>0.2002263499440399</v>
      </c>
      <c r="AC80" s="240"/>
      <c r="AD80" s="238">
        <v>25515.428571429002</v>
      </c>
      <c r="AE80" s="239">
        <f t="shared" si="25"/>
        <v>0.22420671610977469</v>
      </c>
      <c r="AF80" s="241">
        <f t="shared" si="26"/>
        <v>-21525.938571429</v>
      </c>
      <c r="AG80" s="238">
        <v>12007.6</v>
      </c>
      <c r="AH80" s="239">
        <f t="shared" si="27"/>
        <v>0.29232257634162956</v>
      </c>
      <c r="AI80" s="241">
        <f t="shared" si="28"/>
        <v>-8018.1100000000006</v>
      </c>
      <c r="AJ80" s="242">
        <f t="shared" si="29"/>
        <v>4.4034105960264904</v>
      </c>
      <c r="AK80" s="243">
        <f t="shared" si="30"/>
        <v>4.531242864753863</v>
      </c>
      <c r="AL80" s="245">
        <f t="shared" si="31"/>
        <v>5.3749328558639213</v>
      </c>
      <c r="AM80" s="431" t="str">
        <f t="shared" si="32"/>
        <v>-2.4 pts.</v>
      </c>
      <c r="AN80" s="465" t="str">
        <f t="shared" si="33"/>
        <v>-9.21 pts.</v>
      </c>
      <c r="AO80" s="11"/>
    </row>
    <row r="81" spans="1:41" x14ac:dyDescent="0.35">
      <c r="A81" s="11"/>
      <c r="B81" s="11"/>
      <c r="C81" s="11"/>
      <c r="D81" s="11"/>
      <c r="E81" s="11"/>
      <c r="F81" s="11"/>
      <c r="G81" s="11"/>
      <c r="H81" s="88" t="s">
        <v>852</v>
      </c>
      <c r="I81" s="89" t="str">
        <f>IF(_epmOfflineCondition_,"T2",_xll.EVPRO($B$1,$H81,"STYLE"))</f>
        <v>T2</v>
      </c>
      <c r="J81" s="89" t="str">
        <f>IF(_epmOfflineCondition_,"Y",_xll.EVPRO($B$1,$H81,"CALC"))</f>
        <v>Y</v>
      </c>
      <c r="K81" s="265" t="str">
        <f t="shared" si="22"/>
        <v/>
      </c>
      <c r="L81" s="106" t="str">
        <f>IF(_epmOfflineCondition_,"",_xll.EVPRO($B$1,H81,"JDEID"))</f>
        <v/>
      </c>
      <c r="M81" s="190" t="str">
        <f>IF(_epmOfflineCondition_,"",IF(AND(I81="N",J81="N"),_xll.EVPRO($B$1,H81,"PSFTID"),""))</f>
        <v/>
      </c>
      <c r="N81" s="106" t="str">
        <f>IF(_epmOfflineCondition_,"Total Salaries and Wages",IF(_xll.EVDES(H81,$B$1)="#NODATA","",_xll.EVDES(H81,$B$1)))</f>
        <v>Total Salaries and Wages</v>
      </c>
      <c r="O81" s="225">
        <v>2044.9</v>
      </c>
      <c r="P81" s="225">
        <v>1655.82</v>
      </c>
      <c r="Q81" s="225">
        <v>935</v>
      </c>
      <c r="R81" s="225"/>
      <c r="S81" s="225"/>
      <c r="T81" s="225"/>
      <c r="U81" s="225"/>
      <c r="V81" s="225"/>
      <c r="W81" s="225"/>
      <c r="X81" s="225"/>
      <c r="Y81" s="225">
        <v>175.77</v>
      </c>
      <c r="Z81" s="225"/>
      <c r="AA81" s="225">
        <f t="shared" si="23"/>
        <v>4811.4900000000007</v>
      </c>
      <c r="AB81" s="226">
        <f t="shared" si="24"/>
        <v>0.24148126213933327</v>
      </c>
      <c r="AC81" s="227"/>
      <c r="AD81" s="225">
        <v>30525.903571429</v>
      </c>
      <c r="AE81" s="226">
        <f t="shared" si="25"/>
        <v>0.26823427938410016</v>
      </c>
      <c r="AF81" s="228">
        <f t="shared" si="26"/>
        <v>-25714.413571428999</v>
      </c>
      <c r="AG81" s="225">
        <v>12032.35</v>
      </c>
      <c r="AH81" s="226">
        <f t="shared" si="27"/>
        <v>0.2929251100506518</v>
      </c>
      <c r="AI81" s="228">
        <f t="shared" si="28"/>
        <v>-7220.86</v>
      </c>
      <c r="AJ81" s="229">
        <f t="shared" si="29"/>
        <v>5.3106953642384109</v>
      </c>
      <c r="AK81" s="230">
        <f t="shared" si="30"/>
        <v>5.4210448537433846</v>
      </c>
      <c r="AL81" s="232">
        <f t="shared" si="31"/>
        <v>5.3860116383169201</v>
      </c>
      <c r="AM81" s="427" t="str">
        <f t="shared" si="32"/>
        <v>-2.68 pts.</v>
      </c>
      <c r="AN81" s="456" t="str">
        <f t="shared" si="33"/>
        <v>-5.14 pts.</v>
      </c>
      <c r="AO81" s="11"/>
    </row>
    <row r="82" spans="1:41" x14ac:dyDescent="0.35">
      <c r="A82" s="62" t="s">
        <v>0</v>
      </c>
      <c r="B82" s="63" t="s">
        <v>1</v>
      </c>
      <c r="C82" s="11"/>
      <c r="D82" s="11"/>
      <c r="E82" s="11"/>
      <c r="F82" s="11"/>
      <c r="G82" s="11"/>
      <c r="H82" s="88" t="s">
        <v>873</v>
      </c>
      <c r="I82" s="542" t="str">
        <f>IF(_epmOfflineCondition_,"T3",_xll.EVPRO($B$1,$H82,"STYLE"))</f>
        <v>T3</v>
      </c>
      <c r="J82" s="542" t="str">
        <f>IF(_epmOfflineCondition_,"Y",_xll.EVPRO($B$1,$H82,"CALC"))</f>
        <v>Y</v>
      </c>
      <c r="K82" s="117" t="str">
        <f t="shared" si="22"/>
        <v>&gt;</v>
      </c>
      <c r="L82" s="369" t="str">
        <f>IF(_epmOfflineCondition_,"",_xll.EVPRO($B$1,H82,"JDEID"))</f>
        <v/>
      </c>
      <c r="M82" s="90" t="str">
        <f>IF(_epmOfflineCondition_,"",IF(AND(I82="N",J82="N"),_xll.EVPRO($B$1,H82,"PSFTID"),""))</f>
        <v/>
      </c>
      <c r="N82" s="369" t="str">
        <f>IF(_epmOfflineCondition_,"Service Charge Distribution",IF(_xll.EVDES(H82,$B$1)="#NODATA","",_xll.EVDES(H82,$B$1)))</f>
        <v>Service Charge Distribution</v>
      </c>
      <c r="O82" s="546">
        <v>1371.42</v>
      </c>
      <c r="P82" s="546">
        <v>1008.54</v>
      </c>
      <c r="Q82" s="546"/>
      <c r="R82" s="546"/>
      <c r="S82" s="546"/>
      <c r="T82" s="546"/>
      <c r="U82" s="546"/>
      <c r="V82" s="546"/>
      <c r="W82" s="546"/>
      <c r="X82" s="546"/>
      <c r="Y82" s="546"/>
      <c r="Z82" s="546"/>
      <c r="AA82" s="546">
        <f t="shared" si="23"/>
        <v>2379.96</v>
      </c>
      <c r="AB82" s="547">
        <f t="shared" si="24"/>
        <v>0.11944652168894199</v>
      </c>
      <c r="AC82" s="548"/>
      <c r="AD82" s="546">
        <v>17359.801200000002</v>
      </c>
      <c r="AE82" s="547">
        <f t="shared" si="25"/>
        <v>0.15254237288135594</v>
      </c>
      <c r="AF82" s="549">
        <f t="shared" si="26"/>
        <v>-14979.841200000003</v>
      </c>
      <c r="AG82" s="546">
        <v>6453.16</v>
      </c>
      <c r="AH82" s="547">
        <f t="shared" si="27"/>
        <v>0.15710086584702607</v>
      </c>
      <c r="AI82" s="549">
        <f t="shared" si="28"/>
        <v>-4073.2</v>
      </c>
      <c r="AJ82" s="550">
        <f t="shared" si="29"/>
        <v>2.6268874172185432</v>
      </c>
      <c r="AK82" s="551">
        <f t="shared" si="30"/>
        <v>3.0828984549813536</v>
      </c>
      <c r="AL82" s="552">
        <f t="shared" si="31"/>
        <v>2.8886123545210385</v>
      </c>
      <c r="AM82" s="553" t="str">
        <f t="shared" si="32"/>
        <v>-3.31 pts.</v>
      </c>
      <c r="AN82" s="554" t="str">
        <f t="shared" si="33"/>
        <v>-3.77 pts.</v>
      </c>
      <c r="AO82" s="11"/>
    </row>
    <row r="83" spans="1:41" x14ac:dyDescent="0.35">
      <c r="A83" s="65" t="s">
        <v>2</v>
      </c>
      <c r="B83" s="66" t="str">
        <f>IF(_epmOfflineCondition_,"'Venue2'!$B$2:$B$10",_xll.EVRNG($B$2:$B$10))</f>
        <v>'Venue2'!$B$2:$B$10</v>
      </c>
      <c r="C83" s="11"/>
      <c r="D83" s="11"/>
      <c r="E83" s="11"/>
      <c r="F83" s="11"/>
      <c r="G83" s="11"/>
      <c r="H83" s="88" t="s">
        <v>854</v>
      </c>
      <c r="I83" s="89" t="str">
        <f>IF(_epmOfflineCondition_,"T2",_xll.EVPRO($B$1,$H83,"STYLE"))</f>
        <v>T2</v>
      </c>
      <c r="J83" s="89" t="str">
        <f>IF(_epmOfflineCondition_,"Y",_xll.EVPRO($B$1,$H83,"CALC"))</f>
        <v>Y</v>
      </c>
      <c r="K83" s="265" t="str">
        <f t="shared" si="22"/>
        <v/>
      </c>
      <c r="L83" s="106" t="str">
        <f>IF(_epmOfflineCondition_,"",_xll.EVPRO($B$1,H83,"JDEID"))</f>
        <v/>
      </c>
      <c r="M83" s="190" t="str">
        <f>IF(_epmOfflineCondition_,"",IF(AND(I83="N",J83="N"),_xll.EVPRO($B$1,H83,"PSFTID"),""))</f>
        <v/>
      </c>
      <c r="N83" s="106" t="str">
        <f>IF(_epmOfflineCondition_,"Total Labor Expense",IF(_xll.EVDES(H83,$B$1)="#NODATA","",_xll.EVDES(H83,$B$1)))</f>
        <v>Total Labor Expense</v>
      </c>
      <c r="O83" s="225">
        <v>3416.32</v>
      </c>
      <c r="P83" s="225">
        <v>2664.36</v>
      </c>
      <c r="Q83" s="225">
        <v>935</v>
      </c>
      <c r="R83" s="225"/>
      <c r="S83" s="225"/>
      <c r="T83" s="225"/>
      <c r="U83" s="225"/>
      <c r="V83" s="225"/>
      <c r="W83" s="225"/>
      <c r="X83" s="225"/>
      <c r="Y83" s="225">
        <v>175.77</v>
      </c>
      <c r="Z83" s="225"/>
      <c r="AA83" s="225">
        <f t="shared" si="23"/>
        <v>7191.4500000000007</v>
      </c>
      <c r="AB83" s="226">
        <f t="shared" si="24"/>
        <v>0.36092778382827523</v>
      </c>
      <c r="AC83" s="227"/>
      <c r="AD83" s="225">
        <v>47885.704771429002</v>
      </c>
      <c r="AE83" s="226">
        <f t="shared" si="25"/>
        <v>0.42077665226545613</v>
      </c>
      <c r="AF83" s="228">
        <f t="shared" si="26"/>
        <v>-40694.254771428998</v>
      </c>
      <c r="AG83" s="225">
        <v>18485.509999999998</v>
      </c>
      <c r="AH83" s="226">
        <f t="shared" si="27"/>
        <v>0.45002597589767779</v>
      </c>
      <c r="AI83" s="228">
        <f t="shared" si="28"/>
        <v>-11294.059999999998</v>
      </c>
      <c r="AJ83" s="229">
        <f t="shared" si="29"/>
        <v>7.9375827814569542</v>
      </c>
      <c r="AK83" s="230">
        <f t="shared" si="30"/>
        <v>8.5039433087247378</v>
      </c>
      <c r="AL83" s="232">
        <f t="shared" si="31"/>
        <v>8.2746239928379577</v>
      </c>
      <c r="AM83" s="427" t="str">
        <f t="shared" si="32"/>
        <v>-5.98 pts.</v>
      </c>
      <c r="AN83" s="456" t="str">
        <f t="shared" si="33"/>
        <v>-8.91 pts.</v>
      </c>
      <c r="AO83" s="11"/>
    </row>
    <row r="84" spans="1:41" x14ac:dyDescent="0.35">
      <c r="A84" s="65" t="s">
        <v>3</v>
      </c>
      <c r="B84" s="66" t="str">
        <f>IF(_epmOfflineCondition_,"'Venue2'!$O$16:$AN$18",_xll.EVRNG($O$16:$AN$18))</f>
        <v>'Venue2'!$O$16:$AN$18</v>
      </c>
      <c r="C84" s="11"/>
      <c r="D84" s="11"/>
      <c r="E84" s="11"/>
      <c r="F84" s="11"/>
      <c r="G84" s="11"/>
      <c r="H84" s="88" t="s">
        <v>855</v>
      </c>
      <c r="I84" s="542" t="str">
        <f>IF(_epmOfflineCondition_,"T3",_xll.EVPRO($B$1,$H84,"STYLE"))</f>
        <v>T3</v>
      </c>
      <c r="J84" s="542" t="str">
        <f>IF(_epmOfflineCondition_,"Y",_xll.EVPRO($B$1,$H84,"CALC"))</f>
        <v>Y</v>
      </c>
      <c r="K84" s="117" t="str">
        <f t="shared" si="22"/>
        <v>&gt;</v>
      </c>
      <c r="L84" s="369" t="str">
        <f>IF(_epmOfflineCondition_,"",_xll.EVPRO($B$1,H84,"JDEID"))</f>
        <v/>
      </c>
      <c r="M84" s="90" t="str">
        <f>IF(_epmOfflineCondition_,"",IF(AND(I84="N",J84="N"),_xll.EVPRO($B$1,H84,"PSFTID"),""))</f>
        <v/>
      </c>
      <c r="N84" s="369" t="str">
        <f>IF(_epmOfflineCondition_,"Payroll Taxes",IF(_xll.EVDES(H84,$B$1)="#NODATA","",_xll.EVDES(H84,$B$1)))</f>
        <v>Payroll Taxes</v>
      </c>
      <c r="O84" s="546">
        <v>252.6</v>
      </c>
      <c r="P84" s="546">
        <v>73.83</v>
      </c>
      <c r="Q84" s="546">
        <v>74.8</v>
      </c>
      <c r="R84" s="546"/>
      <c r="S84" s="546"/>
      <c r="T84" s="546"/>
      <c r="U84" s="546"/>
      <c r="V84" s="546"/>
      <c r="W84" s="546"/>
      <c r="X84" s="546"/>
      <c r="Y84" s="546"/>
      <c r="Z84" s="546"/>
      <c r="AA84" s="546">
        <f t="shared" si="23"/>
        <v>401.23</v>
      </c>
      <c r="AB84" s="547">
        <f t="shared" si="24"/>
        <v>2.0137114866323046E-2</v>
      </c>
      <c r="AC84" s="548"/>
      <c r="AD84" s="546">
        <v>8725.7224542798995</v>
      </c>
      <c r="AE84" s="547">
        <f t="shared" si="25"/>
        <v>7.6673827824709467E-2</v>
      </c>
      <c r="AF84" s="549">
        <f t="shared" si="26"/>
        <v>-8324.4924542798999</v>
      </c>
      <c r="AG84" s="546">
        <v>6777.25</v>
      </c>
      <c r="AH84" s="547">
        <f t="shared" si="27"/>
        <v>0.16499077088771352</v>
      </c>
      <c r="AI84" s="549">
        <f t="shared" si="28"/>
        <v>-6376.02</v>
      </c>
      <c r="AJ84" s="550">
        <f t="shared" si="29"/>
        <v>0.44285871964679913</v>
      </c>
      <c r="AK84" s="551">
        <f t="shared" si="30"/>
        <v>1.5495866549955424</v>
      </c>
      <c r="AL84" s="552">
        <f t="shared" si="31"/>
        <v>3.0336839749328557</v>
      </c>
      <c r="AM84" s="553" t="str">
        <f t="shared" si="32"/>
        <v>-5.65 pts.</v>
      </c>
      <c r="AN84" s="554" t="str">
        <f t="shared" si="33"/>
        <v>-14.49 pts.</v>
      </c>
      <c r="AO84" s="11"/>
    </row>
    <row r="85" spans="1:41" x14ac:dyDescent="0.35">
      <c r="A85" s="65" t="s">
        <v>4</v>
      </c>
      <c r="B85" s="66" t="str">
        <f>IF(_epmOfflineCondition_,"'Venue2'!$H$76:$H$77,'Venue2'!$H$79:$H$88,'Venue2'!$H$91:$H$102",_xll.EVRNG(H76:H77,H79:H88,H91:H102))</f>
        <v>'Venue2'!$H$76:$H$77,'Venue2'!$H$79:$H$88,'Venue2'!$H$91:$H$102</v>
      </c>
      <c r="C85" s="11"/>
      <c r="D85" s="11"/>
      <c r="E85" s="11"/>
      <c r="F85" s="11"/>
      <c r="G85" s="11"/>
      <c r="H85" s="88" t="s">
        <v>856</v>
      </c>
      <c r="I85" s="542" t="str">
        <f>IF(_epmOfflineCondition_,"T3",_xll.EVPRO($B$1,$H85,"STYLE"))</f>
        <v>T3</v>
      </c>
      <c r="J85" s="542" t="str">
        <f>IF(_epmOfflineCondition_,"Y",_xll.EVPRO($B$1,$H85,"CALC"))</f>
        <v>Y</v>
      </c>
      <c r="K85" s="117" t="str">
        <f t="shared" si="22"/>
        <v>&gt;</v>
      </c>
      <c r="L85" s="369" t="str">
        <f>IF(_epmOfflineCondition_,"",_xll.EVPRO($B$1,H85,"JDEID"))</f>
        <v/>
      </c>
      <c r="M85" s="90" t="str">
        <f>IF(_epmOfflineCondition_,"",IF(AND(I85="N",J85="N"),_xll.EVPRO($B$1,H85,"PSFTID"),""))</f>
        <v/>
      </c>
      <c r="N85" s="369" t="str">
        <f>IF(_epmOfflineCondition_,"Supplemental Pay",IF(_xll.EVDES(H85,$B$1)="#NODATA","",_xll.EVDES(H85,$B$1)))</f>
        <v>Supplemental Pay</v>
      </c>
      <c r="O85" s="238">
        <v>-973.41</v>
      </c>
      <c r="P85" s="238"/>
      <c r="Q85" s="238"/>
      <c r="R85" s="238"/>
      <c r="S85" s="238"/>
      <c r="T85" s="238"/>
      <c r="U85" s="238"/>
      <c r="V85" s="238"/>
      <c r="W85" s="238"/>
      <c r="X85" s="238"/>
      <c r="Y85" s="238"/>
      <c r="Z85" s="238"/>
      <c r="AA85" s="238">
        <f t="shared" si="23"/>
        <v>-973.41</v>
      </c>
      <c r="AB85" s="239">
        <f t="shared" si="24"/>
        <v>-4.8853946569367979E-2</v>
      </c>
      <c r="AC85" s="240"/>
      <c r="AD85" s="238">
        <v>1616.6801877882999</v>
      </c>
      <c r="AE85" s="239">
        <f t="shared" si="25"/>
        <v>1.420593641564878E-2</v>
      </c>
      <c r="AF85" s="241">
        <f t="shared" si="26"/>
        <v>-2590.0901877882998</v>
      </c>
      <c r="AG85" s="238">
        <v>1005.99</v>
      </c>
      <c r="AH85" s="239">
        <f t="shared" si="27"/>
        <v>2.4490621654112053E-2</v>
      </c>
      <c r="AI85" s="241">
        <f t="shared" si="28"/>
        <v>-1979.4</v>
      </c>
      <c r="AJ85" s="242">
        <f t="shared" si="29"/>
        <v>-1.0744039735099338</v>
      </c>
      <c r="AK85" s="243">
        <f t="shared" si="30"/>
        <v>0.28710356735718345</v>
      </c>
      <c r="AL85" s="245">
        <f t="shared" si="31"/>
        <v>0.4503088630259624</v>
      </c>
      <c r="AM85" s="431" t="str">
        <f t="shared" si="32"/>
        <v>-6.31 pts.</v>
      </c>
      <c r="AN85" s="465" t="str">
        <f t="shared" si="33"/>
        <v>-7.33 pts.</v>
      </c>
      <c r="AO85" s="11"/>
    </row>
    <row r="86" spans="1:41" x14ac:dyDescent="0.35">
      <c r="A86" s="65" t="s">
        <v>5</v>
      </c>
      <c r="B86" s="66"/>
      <c r="C86" s="11"/>
      <c r="D86" s="11"/>
      <c r="E86" s="11"/>
      <c r="F86" s="11"/>
      <c r="G86" s="11"/>
      <c r="H86" s="88" t="s">
        <v>857</v>
      </c>
      <c r="I86" s="542" t="str">
        <f>IF(_epmOfflineCondition_,"T3",_xll.EVPRO($B$1,$H86,"STYLE"))</f>
        <v>T3</v>
      </c>
      <c r="J86" s="542" t="str">
        <f>IF(_epmOfflineCondition_,"Y",_xll.EVPRO($B$1,$H86,"CALC"))</f>
        <v>Y</v>
      </c>
      <c r="K86" s="117" t="str">
        <f t="shared" si="22"/>
        <v>&gt;</v>
      </c>
      <c r="L86" s="369" t="str">
        <f>IF(_epmOfflineCondition_,"",_xll.EVPRO($B$1,H86,"JDEID"))</f>
        <v/>
      </c>
      <c r="M86" s="90" t="str">
        <f>IF(_epmOfflineCondition_,"",IF(AND(I86="N",J86="N"),_xll.EVPRO($B$1,H86,"PSFTID"),""))</f>
        <v/>
      </c>
      <c r="N86" s="369" t="str">
        <f>IF(_epmOfflineCondition_,"Employee Benefits",IF(_xll.EVDES(H86,$B$1)="#NODATA","",_xll.EVDES(H86,$B$1)))</f>
        <v>Employee Benefits</v>
      </c>
      <c r="O86" s="238">
        <v>94.06</v>
      </c>
      <c r="P86" s="238">
        <v>95.98</v>
      </c>
      <c r="Q86" s="238">
        <v>95.98</v>
      </c>
      <c r="R86" s="238">
        <v>95.98</v>
      </c>
      <c r="S86" s="238">
        <v>95.98</v>
      </c>
      <c r="T86" s="238">
        <v>95.98</v>
      </c>
      <c r="U86" s="238">
        <v>46.62</v>
      </c>
      <c r="V86" s="238">
        <v>71.3</v>
      </c>
      <c r="W86" s="238">
        <v>-29.55</v>
      </c>
      <c r="X86" s="238">
        <v>-83.91</v>
      </c>
      <c r="Y86" s="238"/>
      <c r="Z86" s="238"/>
      <c r="AA86" s="238">
        <f t="shared" si="23"/>
        <v>578.42000000000007</v>
      </c>
      <c r="AB86" s="239">
        <f t="shared" si="24"/>
        <v>2.9030007678834027E-2</v>
      </c>
      <c r="AC86" s="240"/>
      <c r="AD86" s="238">
        <v>3717.0107108980001</v>
      </c>
      <c r="AE86" s="239">
        <f t="shared" si="25"/>
        <v>3.2661758469088725E-2</v>
      </c>
      <c r="AF86" s="241">
        <f t="shared" si="26"/>
        <v>-3138.590710898</v>
      </c>
      <c r="AG86" s="238">
        <v>3389.4</v>
      </c>
      <c r="AH86" s="239">
        <f t="shared" si="27"/>
        <v>8.2514252661007967E-2</v>
      </c>
      <c r="AI86" s="241">
        <f t="shared" si="28"/>
        <v>-2810.98</v>
      </c>
      <c r="AJ86" s="242">
        <f t="shared" si="29"/>
        <v>0.63843267108167778</v>
      </c>
      <c r="AK86" s="243">
        <f t="shared" si="30"/>
        <v>0.66009779983981531</v>
      </c>
      <c r="AL86" s="245">
        <f t="shared" si="31"/>
        <v>1.5171888988361684</v>
      </c>
      <c r="AM86" s="431" t="str">
        <f t="shared" si="32"/>
        <v>-0.36 pts.</v>
      </c>
      <c r="AN86" s="465" t="str">
        <f t="shared" si="33"/>
        <v>-5.35 pts.</v>
      </c>
      <c r="AO86" s="11"/>
    </row>
    <row r="87" spans="1:41" x14ac:dyDescent="0.35">
      <c r="A87" s="65" t="s">
        <v>6</v>
      </c>
      <c r="B87" s="66"/>
      <c r="C87" s="11"/>
      <c r="D87" s="11"/>
      <c r="E87" s="11"/>
      <c r="F87" s="11"/>
      <c r="G87" s="11"/>
      <c r="H87" s="88" t="s">
        <v>858</v>
      </c>
      <c r="I87" s="89" t="str">
        <f>IF(_epmOfflineCondition_,"T2",_xll.EVPRO($B$1,$H87,"STYLE"))</f>
        <v>T2</v>
      </c>
      <c r="J87" s="89" t="str">
        <f>IF(_epmOfflineCondition_,"Y",_xll.EVPRO($B$1,$H87,"CALC"))</f>
        <v>Y</v>
      </c>
      <c r="K87" s="265" t="str">
        <f t="shared" si="22"/>
        <v/>
      </c>
      <c r="L87" s="106" t="str">
        <f>IF(_epmOfflineCondition_,"",_xll.EVPRO($B$1,H87,"JDEID"))</f>
        <v/>
      </c>
      <c r="M87" s="190" t="str">
        <f>IF(_epmOfflineCondition_,"",IF(AND(I87="N",J87="N"),_xll.EVPRO($B$1,H87,"PSFTID"),""))</f>
        <v/>
      </c>
      <c r="N87" s="106" t="str">
        <f>IF(_epmOfflineCondition_,"Total Payroll Related",IF(_xll.EVDES(H87,$B$1)="#NODATA","",_xll.EVDES(H87,$B$1)))</f>
        <v>Total Payroll Related</v>
      </c>
      <c r="O87" s="238">
        <v>-626.75</v>
      </c>
      <c r="P87" s="238">
        <v>169.81</v>
      </c>
      <c r="Q87" s="238">
        <v>170.78</v>
      </c>
      <c r="R87" s="238">
        <v>95.98</v>
      </c>
      <c r="S87" s="238">
        <v>95.98</v>
      </c>
      <c r="T87" s="238">
        <v>95.98</v>
      </c>
      <c r="U87" s="238">
        <v>46.62</v>
      </c>
      <c r="V87" s="238">
        <v>71.3</v>
      </c>
      <c r="W87" s="238">
        <v>-29.55</v>
      </c>
      <c r="X87" s="238">
        <v>-83.91</v>
      </c>
      <c r="Y87" s="238"/>
      <c r="Z87" s="238"/>
      <c r="AA87" s="238">
        <f t="shared" si="23"/>
        <v>6.2400000000000517</v>
      </c>
      <c r="AB87" s="239">
        <f t="shared" si="24"/>
        <v>3.1317597578909065E-4</v>
      </c>
      <c r="AC87" s="240"/>
      <c r="AD87" s="238">
        <v>14059.413352966199</v>
      </c>
      <c r="AE87" s="239">
        <f t="shared" si="25"/>
        <v>0.12354152270944696</v>
      </c>
      <c r="AF87" s="241">
        <f t="shared" si="26"/>
        <v>-14053.1733529662</v>
      </c>
      <c r="AG87" s="238">
        <v>11172.64</v>
      </c>
      <c r="AH87" s="239">
        <f t="shared" si="27"/>
        <v>0.27199564520283354</v>
      </c>
      <c r="AI87" s="241">
        <f t="shared" si="28"/>
        <v>-11166.4</v>
      </c>
      <c r="AJ87" s="242">
        <f t="shared" si="29"/>
        <v>6.8874172185431036E-3</v>
      </c>
      <c r="AK87" s="243">
        <f t="shared" si="30"/>
        <v>2.4967880221925411</v>
      </c>
      <c r="AL87" s="245">
        <f t="shared" si="31"/>
        <v>5.0011817367949867</v>
      </c>
      <c r="AM87" s="431" t="str">
        <f t="shared" si="32"/>
        <v>-12.32 pts.</v>
      </c>
      <c r="AN87" s="465" t="str">
        <f t="shared" si="33"/>
        <v>-27.17 pts.</v>
      </c>
      <c r="AO87" s="11"/>
    </row>
    <row r="88" spans="1:41" x14ac:dyDescent="0.35">
      <c r="A88" s="65" t="s">
        <v>7</v>
      </c>
      <c r="B88" s="66" t="str">
        <f>IF(_epmOfflineCondition_,"'Venue2'!$A$102:$F$108",_xll.EVRNG(A102:F108))</f>
        <v>'Venue2'!$A$102:$F$108</v>
      </c>
      <c r="C88" s="11"/>
      <c r="D88" s="11"/>
      <c r="E88" s="11"/>
      <c r="F88" s="11"/>
      <c r="G88" s="11"/>
      <c r="H88" s="88" t="s">
        <v>76</v>
      </c>
      <c r="I88" s="89" t="str">
        <f>IF(_epmOfflineCondition_,"T1",_xll.EVPRO($B$1,$H88,"STYLE"))</f>
        <v>T1</v>
      </c>
      <c r="J88" s="89" t="str">
        <f>IF(_epmOfflineCondition_,"Y",_xll.EVPRO($B$1,$H88,"CALC"))</f>
        <v>Y</v>
      </c>
      <c r="K88" s="265" t="str">
        <f t="shared" si="22"/>
        <v/>
      </c>
      <c r="L88" s="106" t="str">
        <f>IF(_epmOfflineCondition_,"600000",_xll.EVPRO($B$1,H88,"JDEID"))</f>
        <v>600000</v>
      </c>
      <c r="M88" s="190" t="str">
        <f>IF(_epmOfflineCondition_,"",IF(AND(I88="N",J88="N"),_xll.EVPRO($B$1,H88,"PSFTID"),""))</f>
        <v/>
      </c>
      <c r="N88" s="106" t="str">
        <f>IF(_epmOfflineCondition_,"Total Labor &amp; Related Exp",IF(_xll.EVDES(H88,$B$1)="#NODATA","",_xll.EVDES(H88,$B$1)))</f>
        <v>Total Labor &amp; Related Exp</v>
      </c>
      <c r="O88" s="238">
        <v>2789.57</v>
      </c>
      <c r="P88" s="238">
        <v>2834.17</v>
      </c>
      <c r="Q88" s="238">
        <v>1105.78</v>
      </c>
      <c r="R88" s="238">
        <v>95.98</v>
      </c>
      <c r="S88" s="238">
        <v>95.98</v>
      </c>
      <c r="T88" s="238">
        <v>95.98</v>
      </c>
      <c r="U88" s="238">
        <v>46.62</v>
      </c>
      <c r="V88" s="238">
        <v>71.3</v>
      </c>
      <c r="W88" s="238">
        <v>-29.55</v>
      </c>
      <c r="X88" s="238">
        <v>-83.91</v>
      </c>
      <c r="Y88" s="238">
        <v>175.77</v>
      </c>
      <c r="Z88" s="238"/>
      <c r="AA88" s="238">
        <f t="shared" si="23"/>
        <v>7197.6899999999987</v>
      </c>
      <c r="AB88" s="239">
        <f t="shared" si="24"/>
        <v>0.36124095980406423</v>
      </c>
      <c r="AC88" s="240"/>
      <c r="AD88" s="238">
        <v>61945.118124395201</v>
      </c>
      <c r="AE88" s="239">
        <f t="shared" si="25"/>
        <v>0.54431817497490309</v>
      </c>
      <c r="AF88" s="241">
        <f t="shared" si="26"/>
        <v>-54747.428124395199</v>
      </c>
      <c r="AG88" s="238">
        <v>29658.15</v>
      </c>
      <c r="AH88" s="239">
        <f t="shared" si="27"/>
        <v>0.72202162110051138</v>
      </c>
      <c r="AI88" s="241">
        <f t="shared" si="28"/>
        <v>-22460.460000000003</v>
      </c>
      <c r="AJ88" s="242">
        <f t="shared" si="29"/>
        <v>7.9444701986754955</v>
      </c>
      <c r="AK88" s="243">
        <f t="shared" si="30"/>
        <v>11.000731330917279</v>
      </c>
      <c r="AL88" s="245">
        <f t="shared" si="31"/>
        <v>13.275805729632946</v>
      </c>
      <c r="AM88" s="431" t="str">
        <f t="shared" si="32"/>
        <v>-18.31 pts.</v>
      </c>
      <c r="AN88" s="465" t="str">
        <f t="shared" si="33"/>
        <v>-36.08 pts.</v>
      </c>
      <c r="AO88" s="11"/>
    </row>
    <row r="89" spans="1:41" x14ac:dyDescent="0.35">
      <c r="A89" s="65" t="s">
        <v>47</v>
      </c>
      <c r="B89" s="66" t="str">
        <f>IF(_epmOfflineCondition_,"'Venue2'!$A$125:$B$146",_xll.EVRNG($A$125:$B$146))</f>
        <v>'Venue2'!$A$125:$B$146</v>
      </c>
      <c r="C89" s="11"/>
      <c r="D89" s="11"/>
      <c r="E89" s="11"/>
      <c r="F89" s="11"/>
      <c r="G89" s="11"/>
      <c r="H89" s="11"/>
      <c r="I89" s="59"/>
      <c r="J89" s="59"/>
      <c r="K89" s="11"/>
      <c r="L89" s="11"/>
      <c r="M89" s="11"/>
      <c r="N89" s="11"/>
      <c r="O89" s="129"/>
      <c r="P89" s="130"/>
      <c r="Q89" s="130"/>
      <c r="R89" s="130"/>
      <c r="S89" s="130"/>
      <c r="T89" s="130"/>
      <c r="U89" s="130"/>
      <c r="V89" s="130"/>
      <c r="W89" s="130"/>
      <c r="X89" s="130"/>
      <c r="Y89" s="130"/>
      <c r="Z89" s="130"/>
      <c r="AA89" s="130"/>
      <c r="AB89" s="131"/>
      <c r="AC89" s="11"/>
      <c r="AD89" s="129"/>
      <c r="AE89" s="130"/>
      <c r="AF89" s="131"/>
      <c r="AG89" s="129"/>
      <c r="AH89" s="130"/>
      <c r="AI89" s="131"/>
      <c r="AJ89" s="11"/>
      <c r="AK89" s="11"/>
      <c r="AL89" s="11"/>
      <c r="AM89" s="11"/>
      <c r="AN89" s="11"/>
      <c r="AO89" s="11"/>
    </row>
    <row r="90" spans="1:41" x14ac:dyDescent="0.35">
      <c r="A90" s="65" t="s">
        <v>8</v>
      </c>
      <c r="B90" s="66"/>
      <c r="C90" s="11"/>
      <c r="D90" s="11"/>
      <c r="E90" s="11"/>
      <c r="F90" s="11"/>
      <c r="G90" s="11"/>
      <c r="H90" s="11" t="s">
        <v>82</v>
      </c>
      <c r="I90" s="59" t="str">
        <f>IF(_epmOfflineCondition_,"B1",_xll.EVPRO($B$1,$H90,"STYLE"))</f>
        <v>B1</v>
      </c>
      <c r="J90" s="59" t="str">
        <f>IF(_epmOfflineCondition_,"Y",_xll.EVPRO($B$1,$H90,"CALC"))</f>
        <v>Y</v>
      </c>
      <c r="K90" s="11"/>
      <c r="L90" s="11"/>
      <c r="M90" s="11"/>
      <c r="N90" s="105" t="str">
        <f>IF(_epmOfflineCondition_,"Other Expenses",IF(_xll.EVDES(H90,$B$1)="#NODATA","",_xll.EVDES(H90,$B$1)))</f>
        <v>Other Expenses</v>
      </c>
      <c r="O90" s="119"/>
      <c r="P90" s="120"/>
      <c r="Q90" s="120"/>
      <c r="R90" s="120"/>
      <c r="S90" s="120"/>
      <c r="T90" s="120"/>
      <c r="U90" s="120"/>
      <c r="V90" s="120"/>
      <c r="W90" s="120"/>
      <c r="X90" s="120"/>
      <c r="Y90" s="120"/>
      <c r="Z90" s="120"/>
      <c r="AA90" s="120"/>
      <c r="AB90" s="121"/>
      <c r="AC90" s="11"/>
      <c r="AD90" s="119"/>
      <c r="AE90" s="120"/>
      <c r="AF90" s="121"/>
      <c r="AG90" s="119"/>
      <c r="AH90" s="120"/>
      <c r="AI90" s="121"/>
      <c r="AJ90" s="11"/>
      <c r="AK90" s="11"/>
      <c r="AL90" s="11"/>
      <c r="AM90" s="11"/>
      <c r="AN90" s="11"/>
      <c r="AO90" s="11"/>
    </row>
    <row r="91" spans="1:41" x14ac:dyDescent="0.35">
      <c r="A91" s="11"/>
      <c r="B91" s="11"/>
      <c r="C91" s="11"/>
      <c r="D91" s="11"/>
      <c r="E91" s="11"/>
      <c r="F91" s="11"/>
      <c r="G91" s="76"/>
      <c r="H91" s="88" t="s">
        <v>860</v>
      </c>
      <c r="I91" s="122" t="str">
        <f>IF(_epmOfflineCondition_,"N",_xll.EVPRO($B$1,$H91,"STYLE"))</f>
        <v>N</v>
      </c>
      <c r="J91" s="122" t="str">
        <f>IF(_epmOfflineCondition_,"N",_xll.EVPRO($B$1,$H91,"CALC"))</f>
        <v>N</v>
      </c>
      <c r="K91" s="179" t="str">
        <f t="shared" ref="K91:K102" si="34">IF(AND(I91&lt;&gt;"B1",J91="Y"),"&gt;","")</f>
        <v/>
      </c>
      <c r="L91" s="90" t="str">
        <f>IF(_epmOfflineCondition_,"701300",_xll.EVPRO($B$1,H91,"JDEID"))</f>
        <v>701300</v>
      </c>
      <c r="M91" s="90" t="str">
        <f>IF(_epmOfflineCondition_,"690205",IF(AND(I91="N",J91="N"),_xll.EVPRO($B$1,H91,"PSFTID"),""))</f>
        <v>690205</v>
      </c>
      <c r="N91" s="90" t="str">
        <f>IF(_epmOfflineCondition_,"Printing &amp; Stationery",IF(_xll.EVDES(H91,$B$1)="#NODATA","",_xll.EVDES(H91,$B$1)))</f>
        <v>Printing &amp; Stationery</v>
      </c>
      <c r="O91" s="143"/>
      <c r="P91" s="143"/>
      <c r="Q91" s="143"/>
      <c r="R91" s="143"/>
      <c r="S91" s="143"/>
      <c r="T91" s="143"/>
      <c r="U91" s="143"/>
      <c r="V91" s="143"/>
      <c r="W91" s="143"/>
      <c r="X91" s="143"/>
      <c r="Y91" s="143"/>
      <c r="Z91" s="143"/>
      <c r="AA91" s="250">
        <f t="shared" ref="AA91:AA103" si="35">IF($I91="B1","",SUM(O91:Z91))</f>
        <v>0</v>
      </c>
      <c r="AB91" s="144" t="str">
        <f t="shared" ref="AB91:AB103" si="36">IF(AA91=0,"",IFERROR(AA91/AA$19,""))</f>
        <v/>
      </c>
      <c r="AC91" s="140"/>
      <c r="AD91" s="143">
        <v>56.31</v>
      </c>
      <c r="AE91" s="144">
        <f t="shared" ref="AE91:AE103" si="37">IF(AD91=0,"",IFERROR(AD91/AD$19,""))</f>
        <v>4.9480180780809592E-4</v>
      </c>
      <c r="AF91" s="145">
        <f t="shared" ref="AF91:AF103" si="38">IF(AND($AA91="",AD91=""),"",$AA91-AD91)</f>
        <v>-56.31</v>
      </c>
      <c r="AG91" s="143"/>
      <c r="AH91" s="144" t="str">
        <f t="shared" ref="AH91:AH103" si="39">IF(AG91=0,"",IFERROR(AG91/AG$19,""))</f>
        <v/>
      </c>
      <c r="AI91" s="145">
        <f t="shared" ref="AI91:AI103" si="40">IF(AND($AA91="",AG91=""),"",$AA91-AG91)</f>
        <v>0</v>
      </c>
      <c r="AJ91" s="440">
        <f t="shared" ref="AJ91:AJ103" si="41">IFERROR(AA91/AA$20,0)</f>
        <v>0</v>
      </c>
      <c r="AK91" s="441">
        <f t="shared" ref="AK91:AK103" si="42">IFERROR(AD91/AD$20,0)</f>
        <v>0.01</v>
      </c>
      <c r="AL91" s="442">
        <f t="shared" ref="AL91:AL103" si="43">IFERROR(AG91/AG$20,0)</f>
        <v>0</v>
      </c>
      <c r="AM91" s="443">
        <f t="shared" ref="AM91:AM103" si="44">+IFERROR(ROUND(($AB91-AE91)*100,2)&amp;" pts.",0)</f>
        <v>0</v>
      </c>
      <c r="AN91" s="444">
        <f t="shared" ref="AN91:AN103" si="45">+IFERROR(ROUND(($AB91-AH91)*100,2)&amp;" pts.",0)</f>
        <v>0</v>
      </c>
      <c r="AO91" s="11"/>
    </row>
    <row r="92" spans="1:41" x14ac:dyDescent="0.35">
      <c r="A92" s="62" t="s">
        <v>9</v>
      </c>
      <c r="B92" s="63" t="s">
        <v>10</v>
      </c>
      <c r="C92" s="11"/>
      <c r="D92" s="11"/>
      <c r="E92" s="11"/>
      <c r="F92" s="11"/>
      <c r="G92" s="11"/>
      <c r="H92" s="88" t="s">
        <v>830</v>
      </c>
      <c r="I92" s="122" t="str">
        <f>IF(_epmOfflineCondition_,"T4",_xll.EVPRO($B$1,$H92,"STYLE"))</f>
        <v>T4</v>
      </c>
      <c r="J92" s="122" t="str">
        <f>IF(_epmOfflineCondition_,"Y",_xll.EVPRO($B$1,$H92,"CALC"))</f>
        <v>Y</v>
      </c>
      <c r="K92" s="179" t="str">
        <f t="shared" si="34"/>
        <v>&gt;</v>
      </c>
      <c r="L92" s="90" t="str">
        <f>IF(_epmOfflineCondition_,"701500",_xll.EVPRO($B$1,H92,"JDEID"))</f>
        <v>701500</v>
      </c>
      <c r="M92" s="90" t="str">
        <f>IF(_epmOfflineCondition_,"",IF(AND(I92="N",J92="N"),_xll.EVPRO($B$1,H92,"PSFTID"),""))</f>
        <v/>
      </c>
      <c r="N92" s="90" t="str">
        <f>IF(_epmOfflineCondition_,"Operating Supplies",IF(_xll.EVDES(H92,$B$1)="#NODATA","",_xll.EVDES(H92,$B$1)))</f>
        <v>Operating Supplies</v>
      </c>
      <c r="O92" s="143">
        <v>32</v>
      </c>
      <c r="P92" s="143">
        <v>1541</v>
      </c>
      <c r="Q92" s="143">
        <v>-1479</v>
      </c>
      <c r="R92" s="143"/>
      <c r="S92" s="143"/>
      <c r="T92" s="143"/>
      <c r="U92" s="143"/>
      <c r="V92" s="143"/>
      <c r="W92" s="143">
        <v>389.43</v>
      </c>
      <c r="X92" s="143"/>
      <c r="Y92" s="143"/>
      <c r="Z92" s="143"/>
      <c r="AA92" s="250">
        <f t="shared" si="35"/>
        <v>483.43</v>
      </c>
      <c r="AB92" s="144">
        <f t="shared" si="36"/>
        <v>2.426260608585238E-2</v>
      </c>
      <c r="AC92" s="140"/>
      <c r="AD92" s="143">
        <v>588.43949999999995</v>
      </c>
      <c r="AE92" s="144">
        <f t="shared" si="37"/>
        <v>5.1706788915946017E-3</v>
      </c>
      <c r="AF92" s="145">
        <f t="shared" si="38"/>
        <v>-105.00949999999995</v>
      </c>
      <c r="AG92" s="143">
        <v>274.05</v>
      </c>
      <c r="AH92" s="144">
        <f t="shared" si="39"/>
        <v>6.6716914326279677E-3</v>
      </c>
      <c r="AI92" s="145">
        <f t="shared" si="40"/>
        <v>209.38</v>
      </c>
      <c r="AJ92" s="440">
        <f t="shared" si="41"/>
        <v>0.53358719646799113</v>
      </c>
      <c r="AK92" s="441">
        <f t="shared" si="42"/>
        <v>0.1045</v>
      </c>
      <c r="AL92" s="442">
        <f t="shared" si="43"/>
        <v>0.12267233661593555</v>
      </c>
      <c r="AM92" s="443" t="str">
        <f t="shared" si="44"/>
        <v>1.91 pts.</v>
      </c>
      <c r="AN92" s="444" t="str">
        <f t="shared" si="45"/>
        <v>1.76 pts.</v>
      </c>
      <c r="AO92" s="11"/>
    </row>
    <row r="93" spans="1:41" x14ac:dyDescent="0.35">
      <c r="A93" s="65" t="s">
        <v>11</v>
      </c>
      <c r="B93" s="66" t="s">
        <v>21</v>
      </c>
      <c r="C93" s="11"/>
      <c r="D93" s="11"/>
      <c r="E93" s="11"/>
      <c r="F93" s="11"/>
      <c r="G93" s="11"/>
      <c r="H93" s="88" t="s">
        <v>861</v>
      </c>
      <c r="I93" s="122" t="str">
        <f>IF(_epmOfflineCondition_,"N",_xll.EVPRO($B$1,$H93,"STYLE"))</f>
        <v>N</v>
      </c>
      <c r="J93" s="122" t="str">
        <f>IF(_epmOfflineCondition_,"N",_xll.EVPRO($B$1,$H93,"CALC"))</f>
        <v>N</v>
      </c>
      <c r="K93" s="179" t="str">
        <f t="shared" si="34"/>
        <v/>
      </c>
      <c r="L93" s="90" t="str">
        <f>IF(_epmOfflineCondition_,"701600",_xll.EVPRO($B$1,H93,"JDEID"))</f>
        <v>701600</v>
      </c>
      <c r="M93" s="90" t="str">
        <f>IF(_epmOfflineCondition_,"590015",IF(AND(I93="N",J93="N"),_xll.EVPRO($B$1,H93,"PSFTID"),""))</f>
        <v>590015</v>
      </c>
      <c r="N93" s="90" t="str">
        <f>IF(_epmOfflineCondition_,"Cleaning Supplies",IF(_xll.EVDES(H93,$B$1)="#NODATA","",_xll.EVDES(H93,$B$1)))</f>
        <v>Cleaning Supplies</v>
      </c>
      <c r="O93" s="143">
        <v>6</v>
      </c>
      <c r="P93" s="143">
        <v>8</v>
      </c>
      <c r="Q93" s="143"/>
      <c r="R93" s="143"/>
      <c r="S93" s="143"/>
      <c r="T93" s="143"/>
      <c r="U93" s="143"/>
      <c r="V93" s="143"/>
      <c r="W93" s="143"/>
      <c r="X93" s="143"/>
      <c r="Y93" s="143"/>
      <c r="Z93" s="143"/>
      <c r="AA93" s="250">
        <f t="shared" si="35"/>
        <v>14</v>
      </c>
      <c r="AB93" s="144">
        <f t="shared" si="36"/>
        <v>7.0263840721910783E-4</v>
      </c>
      <c r="AC93" s="140"/>
      <c r="AD93" s="143">
        <v>112.62</v>
      </c>
      <c r="AE93" s="144">
        <f t="shared" si="37"/>
        <v>9.8960361561619184E-4</v>
      </c>
      <c r="AF93" s="145">
        <f t="shared" si="38"/>
        <v>-98.62</v>
      </c>
      <c r="AG93" s="143"/>
      <c r="AH93" s="144" t="str">
        <f t="shared" si="39"/>
        <v/>
      </c>
      <c r="AI93" s="145">
        <f t="shared" si="40"/>
        <v>14</v>
      </c>
      <c r="AJ93" s="440">
        <f t="shared" si="41"/>
        <v>1.5452538631346579E-2</v>
      </c>
      <c r="AK93" s="441">
        <f t="shared" si="42"/>
        <v>0.02</v>
      </c>
      <c r="AL93" s="442">
        <f t="shared" si="43"/>
        <v>0</v>
      </c>
      <c r="AM93" s="443" t="str">
        <f t="shared" si="44"/>
        <v>-0.03 pts.</v>
      </c>
      <c r="AN93" s="444">
        <f t="shared" si="45"/>
        <v>0</v>
      </c>
      <c r="AO93" s="11"/>
    </row>
    <row r="94" spans="1:41" x14ac:dyDescent="0.35">
      <c r="A94" s="65" t="s">
        <v>12</v>
      </c>
      <c r="B94" s="66" t="s">
        <v>22</v>
      </c>
      <c r="C94" s="11"/>
      <c r="D94" s="11"/>
      <c r="E94" s="11"/>
      <c r="F94" s="11"/>
      <c r="G94" s="11"/>
      <c r="H94" s="88" t="s">
        <v>862</v>
      </c>
      <c r="I94" s="122" t="str">
        <f>IF(_epmOfflineCondition_,"N",_xll.EVPRO($B$1,$H94,"STYLE"))</f>
        <v>N</v>
      </c>
      <c r="J94" s="122" t="str">
        <f>IF(_epmOfflineCondition_,"N",_xll.EVPRO($B$1,$H94,"CALC"))</f>
        <v>N</v>
      </c>
      <c r="K94" s="179" t="str">
        <f t="shared" si="34"/>
        <v/>
      </c>
      <c r="L94" s="90" t="str">
        <f>IF(_epmOfflineCondition_,"701700",_xll.EVPRO($B$1,H94,"JDEID"))</f>
        <v>701700</v>
      </c>
      <c r="M94" s="90" t="str">
        <f>IF(_epmOfflineCondition_,"590026",IF(AND(I94="N",J94="N"),_xll.EVPRO($B$1,H94,"PSFTID"),""))</f>
        <v>590026</v>
      </c>
      <c r="N94" s="90" t="str">
        <f>IF(_epmOfflineCondition_,"Dishwashing Supplies",IF(_xll.EVDES(H94,$B$1)="#NODATA","",_xll.EVDES(H94,$B$1)))</f>
        <v>Dishwashing Supplies</v>
      </c>
      <c r="O94" s="143"/>
      <c r="P94" s="143">
        <v>8</v>
      </c>
      <c r="Q94" s="143"/>
      <c r="R94" s="143"/>
      <c r="S94" s="143"/>
      <c r="T94" s="143"/>
      <c r="U94" s="143"/>
      <c r="V94" s="143"/>
      <c r="W94" s="143"/>
      <c r="X94" s="143"/>
      <c r="Y94" s="143"/>
      <c r="Z94" s="143"/>
      <c r="AA94" s="250">
        <f t="shared" si="35"/>
        <v>8</v>
      </c>
      <c r="AB94" s="144">
        <f t="shared" si="36"/>
        <v>4.0150766126806163E-4</v>
      </c>
      <c r="AC94" s="140"/>
      <c r="AD94" s="143">
        <v>112.62</v>
      </c>
      <c r="AE94" s="144">
        <f t="shared" si="37"/>
        <v>9.8960361561619184E-4</v>
      </c>
      <c r="AF94" s="145">
        <f t="shared" si="38"/>
        <v>-104.62</v>
      </c>
      <c r="AG94" s="143"/>
      <c r="AH94" s="144" t="str">
        <f t="shared" si="39"/>
        <v/>
      </c>
      <c r="AI94" s="145">
        <f t="shared" si="40"/>
        <v>8</v>
      </c>
      <c r="AJ94" s="440">
        <f t="shared" si="41"/>
        <v>8.8300220750551876E-3</v>
      </c>
      <c r="AK94" s="441">
        <f t="shared" si="42"/>
        <v>0.02</v>
      </c>
      <c r="AL94" s="442">
        <f t="shared" si="43"/>
        <v>0</v>
      </c>
      <c r="AM94" s="443" t="str">
        <f t="shared" si="44"/>
        <v>-0.06 pts.</v>
      </c>
      <c r="AN94" s="444">
        <f t="shared" si="45"/>
        <v>0</v>
      </c>
      <c r="AO94" s="11"/>
    </row>
    <row r="95" spans="1:41" x14ac:dyDescent="0.35">
      <c r="A95" s="65" t="s">
        <v>13</v>
      </c>
      <c r="B95" s="66" t="s">
        <v>737</v>
      </c>
      <c r="C95" s="11"/>
      <c r="D95" s="11"/>
      <c r="E95" s="11"/>
      <c r="F95" s="11"/>
      <c r="G95" s="11"/>
      <c r="H95" s="88" t="s">
        <v>863</v>
      </c>
      <c r="I95" s="122" t="str">
        <f>IF(_epmOfflineCondition_,"N",_xll.EVPRO($B$1,$H95,"STYLE"))</f>
        <v>N</v>
      </c>
      <c r="J95" s="122" t="str">
        <f>IF(_epmOfflineCondition_,"N",_xll.EVPRO($B$1,$H95,"CALC"))</f>
        <v>N</v>
      </c>
      <c r="K95" s="179" t="str">
        <f t="shared" si="34"/>
        <v/>
      </c>
      <c r="L95" s="90" t="str">
        <f>IF(_epmOfflineCondition_,"702000",_xll.EVPRO($B$1,H95,"JDEID"))</f>
        <v>702000</v>
      </c>
      <c r="M95" s="90" t="str">
        <f>IF(_epmOfflineCondition_,"590031",IF(AND(I95="N",J95="N"),_xll.EVPRO($B$1,H95,"PSFTID"),""))</f>
        <v>590031</v>
      </c>
      <c r="N95" s="90" t="str">
        <f>IF(_epmOfflineCondition_,"Paper and Plastics",IF(_xll.EVDES(H95,$B$1)="#NODATA","",_xll.EVDES(H95,$B$1)))</f>
        <v>Paper and Plastics</v>
      </c>
      <c r="O95" s="143">
        <v>6</v>
      </c>
      <c r="P95" s="143">
        <v>8</v>
      </c>
      <c r="Q95" s="143"/>
      <c r="R95" s="143"/>
      <c r="S95" s="143"/>
      <c r="T95" s="143"/>
      <c r="U95" s="143"/>
      <c r="V95" s="143"/>
      <c r="W95" s="143"/>
      <c r="X95" s="143"/>
      <c r="Y95" s="143"/>
      <c r="Z95" s="143"/>
      <c r="AA95" s="250">
        <f t="shared" si="35"/>
        <v>14</v>
      </c>
      <c r="AB95" s="144">
        <f t="shared" si="36"/>
        <v>7.0263840721910783E-4</v>
      </c>
      <c r="AC95" s="140"/>
      <c r="AD95" s="143">
        <v>112.62</v>
      </c>
      <c r="AE95" s="144">
        <f t="shared" si="37"/>
        <v>9.8960361561619184E-4</v>
      </c>
      <c r="AF95" s="145">
        <f t="shared" si="38"/>
        <v>-98.62</v>
      </c>
      <c r="AG95" s="143"/>
      <c r="AH95" s="144" t="str">
        <f t="shared" si="39"/>
        <v/>
      </c>
      <c r="AI95" s="145">
        <f t="shared" si="40"/>
        <v>14</v>
      </c>
      <c r="AJ95" s="440">
        <f t="shared" si="41"/>
        <v>1.5452538631346579E-2</v>
      </c>
      <c r="AK95" s="441">
        <f t="shared" si="42"/>
        <v>0.02</v>
      </c>
      <c r="AL95" s="442">
        <f t="shared" si="43"/>
        <v>0</v>
      </c>
      <c r="AM95" s="443" t="str">
        <f t="shared" si="44"/>
        <v>-0.03 pts.</v>
      </c>
      <c r="AN95" s="444">
        <f t="shared" si="45"/>
        <v>0</v>
      </c>
      <c r="AO95" s="11"/>
    </row>
    <row r="96" spans="1:41" x14ac:dyDescent="0.35">
      <c r="A96" s="65" t="s">
        <v>14</v>
      </c>
      <c r="B96" s="66"/>
      <c r="C96" s="11"/>
      <c r="D96" s="11"/>
      <c r="E96" s="11"/>
      <c r="F96" s="11"/>
      <c r="G96" s="11"/>
      <c r="H96" s="88" t="s">
        <v>832</v>
      </c>
      <c r="I96" s="122" t="str">
        <f>IF(_epmOfflineCondition_,"T4",_xll.EVPRO($B$1,$H96,"STYLE"))</f>
        <v>T4</v>
      </c>
      <c r="J96" s="122" t="str">
        <f>IF(_epmOfflineCondition_,"Y",_xll.EVPRO($B$1,$H96,"CALC"))</f>
        <v>Y</v>
      </c>
      <c r="K96" s="179" t="str">
        <f t="shared" si="34"/>
        <v>&gt;</v>
      </c>
      <c r="L96" s="90" t="str">
        <f>IF(_epmOfflineCondition_,"",_xll.EVPRO($B$1,H96,"JDEID"))</f>
        <v/>
      </c>
      <c r="M96" s="90" t="str">
        <f>IF(_epmOfflineCondition_,"",IF(AND(I96="N",J96="N"),_xll.EVPRO($B$1,H96,"PSFTID"),""))</f>
        <v/>
      </c>
      <c r="N96" s="90" t="str">
        <f>IF(_epmOfflineCondition_,"Contract Services",IF(_xll.EVDES(H96,$B$1)="#NODATA","",_xll.EVDES(H96,$B$1)))</f>
        <v>Contract Services</v>
      </c>
      <c r="O96" s="143">
        <v>75</v>
      </c>
      <c r="P96" s="143">
        <v>75</v>
      </c>
      <c r="Q96" s="143">
        <v>75</v>
      </c>
      <c r="R96" s="143"/>
      <c r="S96" s="143"/>
      <c r="T96" s="143"/>
      <c r="U96" s="143"/>
      <c r="V96" s="143"/>
      <c r="W96" s="143"/>
      <c r="X96" s="143">
        <v>75</v>
      </c>
      <c r="Y96" s="143">
        <v>75</v>
      </c>
      <c r="Z96" s="143">
        <v>75</v>
      </c>
      <c r="AA96" s="250">
        <f t="shared" si="35"/>
        <v>450</v>
      </c>
      <c r="AB96" s="144">
        <f t="shared" si="36"/>
        <v>2.2584805946328466E-2</v>
      </c>
      <c r="AC96" s="140"/>
      <c r="AD96" s="143">
        <v>1800</v>
      </c>
      <c r="AE96" s="144">
        <f t="shared" si="37"/>
        <v>1.5816786610807539E-2</v>
      </c>
      <c r="AF96" s="145">
        <f t="shared" si="38"/>
        <v>-1350</v>
      </c>
      <c r="AG96" s="143">
        <v>1050</v>
      </c>
      <c r="AH96" s="144">
        <f t="shared" si="39"/>
        <v>2.5562036140337037E-2</v>
      </c>
      <c r="AI96" s="145">
        <f t="shared" si="40"/>
        <v>-600</v>
      </c>
      <c r="AJ96" s="440">
        <f t="shared" si="41"/>
        <v>0.49668874172185429</v>
      </c>
      <c r="AK96" s="441">
        <f t="shared" si="42"/>
        <v>0.3196590303676079</v>
      </c>
      <c r="AL96" s="442">
        <f t="shared" si="43"/>
        <v>0.47000895255147718</v>
      </c>
      <c r="AM96" s="443" t="str">
        <f t="shared" si="44"/>
        <v>0.68 pts.</v>
      </c>
      <c r="AN96" s="444" t="str">
        <f t="shared" si="45"/>
        <v>-0.3 pts.</v>
      </c>
      <c r="AO96" s="11"/>
    </row>
    <row r="97" spans="1:41" x14ac:dyDescent="0.35">
      <c r="A97" s="65" t="s">
        <v>15</v>
      </c>
      <c r="B97" s="66"/>
      <c r="C97" s="11"/>
      <c r="D97" s="11"/>
      <c r="E97" s="11"/>
      <c r="F97" s="11"/>
      <c r="G97" s="11"/>
      <c r="H97" s="88" t="s">
        <v>835</v>
      </c>
      <c r="I97" s="122" t="str">
        <f>IF(_epmOfflineCondition_,"T4",_xll.EVPRO($B$1,$H97,"STYLE"))</f>
        <v>T4</v>
      </c>
      <c r="J97" s="122" t="str">
        <f>IF(_epmOfflineCondition_,"Y",_xll.EVPRO($B$1,$H97,"CALC"))</f>
        <v>Y</v>
      </c>
      <c r="K97" s="179" t="str">
        <f t="shared" si="34"/>
        <v>&gt;</v>
      </c>
      <c r="L97" s="90" t="str">
        <f>IF(_epmOfflineCondition_,"703000",_xll.EVPRO($B$1,H97,"JDEID"))</f>
        <v>703000</v>
      </c>
      <c r="M97" s="90" t="str">
        <f>IF(_epmOfflineCondition_,"",IF(AND(I97="N",J97="N"),_xll.EVPRO($B$1,H97,"PSFTID"),""))</f>
        <v/>
      </c>
      <c r="N97" s="90" t="str">
        <f>IF(_epmOfflineCondition_,"Complimentary Services &amp; Gifts",IF(_xll.EVDES(H97,$B$1)="#NODATA","",_xll.EVDES(H97,$B$1)))</f>
        <v>Complimentary Services &amp; Gifts</v>
      </c>
      <c r="O97" s="143"/>
      <c r="P97" s="143"/>
      <c r="Q97" s="143"/>
      <c r="R97" s="143"/>
      <c r="S97" s="143"/>
      <c r="T97" s="143"/>
      <c r="U97" s="143"/>
      <c r="V97" s="143"/>
      <c r="W97" s="143"/>
      <c r="X97" s="143"/>
      <c r="Y97" s="143"/>
      <c r="Z97" s="143"/>
      <c r="AA97" s="250">
        <f t="shared" si="35"/>
        <v>0</v>
      </c>
      <c r="AB97" s="144" t="str">
        <f t="shared" si="36"/>
        <v/>
      </c>
      <c r="AC97" s="140"/>
      <c r="AD97" s="143">
        <v>52.475283369000003</v>
      </c>
      <c r="AE97" s="144">
        <f t="shared" si="37"/>
        <v>4.6110575521618382E-4</v>
      </c>
      <c r="AF97" s="145">
        <f t="shared" si="38"/>
        <v>-52.475283369000003</v>
      </c>
      <c r="AG97" s="143"/>
      <c r="AH97" s="144" t="str">
        <f t="shared" si="39"/>
        <v/>
      </c>
      <c r="AI97" s="145">
        <f t="shared" si="40"/>
        <v>0</v>
      </c>
      <c r="AJ97" s="440">
        <f t="shared" si="41"/>
        <v>0</v>
      </c>
      <c r="AK97" s="441">
        <f t="shared" si="42"/>
        <v>9.3189990000000014E-3</v>
      </c>
      <c r="AL97" s="442">
        <f t="shared" si="43"/>
        <v>0</v>
      </c>
      <c r="AM97" s="443">
        <f t="shared" si="44"/>
        <v>0</v>
      </c>
      <c r="AN97" s="444">
        <f t="shared" si="45"/>
        <v>0</v>
      </c>
      <c r="AO97" s="11"/>
    </row>
    <row r="98" spans="1:41" x14ac:dyDescent="0.35">
      <c r="A98" s="65" t="s">
        <v>16</v>
      </c>
      <c r="B98" s="66" t="s">
        <v>78</v>
      </c>
      <c r="C98" s="11"/>
      <c r="D98" s="11"/>
      <c r="E98" s="11"/>
      <c r="F98" s="11"/>
      <c r="G98" s="11"/>
      <c r="H98" s="88" t="s">
        <v>837</v>
      </c>
      <c r="I98" s="122" t="str">
        <f>IF(_epmOfflineCondition_,"N",_xll.EVPRO($B$1,$H98,"STYLE"))</f>
        <v>N</v>
      </c>
      <c r="J98" s="122" t="str">
        <f>IF(_epmOfflineCondition_,"N",_xll.EVPRO($B$1,$H98,"CALC"))</f>
        <v>N</v>
      </c>
      <c r="K98" s="179" t="str">
        <f t="shared" si="34"/>
        <v/>
      </c>
      <c r="L98" s="90" t="str">
        <f>IF(_epmOfflineCondition_,"703200",_xll.EVPRO($B$1,H98,"JDEID"))</f>
        <v>703200</v>
      </c>
      <c r="M98" s="90" t="str">
        <f>IF(_epmOfflineCondition_,"590035",IF(AND(I98="N",J98="N"),_xll.EVPRO($B$1,H98,"PSFTID"),""))</f>
        <v>590035</v>
      </c>
      <c r="N98" s="90" t="str">
        <f>IF(_epmOfflineCondition_,"Uniform Costs",IF(_xll.EVDES(H98,$B$1)="#NODATA","",_xll.EVDES(H98,$B$1)))</f>
        <v>Uniform Costs</v>
      </c>
      <c r="O98" s="143"/>
      <c r="P98" s="143"/>
      <c r="Q98" s="143"/>
      <c r="R98" s="143"/>
      <c r="S98" s="143"/>
      <c r="T98" s="143"/>
      <c r="U98" s="143"/>
      <c r="V98" s="143"/>
      <c r="W98" s="143"/>
      <c r="X98" s="143"/>
      <c r="Y98" s="143"/>
      <c r="Z98" s="143"/>
      <c r="AA98" s="250">
        <f t="shared" si="35"/>
        <v>0</v>
      </c>
      <c r="AB98" s="144" t="str">
        <f t="shared" si="36"/>
        <v/>
      </c>
      <c r="AC98" s="140"/>
      <c r="AD98" s="143">
        <v>600</v>
      </c>
      <c r="AE98" s="144">
        <f t="shared" si="37"/>
        <v>5.272262203602514E-3</v>
      </c>
      <c r="AF98" s="145">
        <f t="shared" si="38"/>
        <v>-600</v>
      </c>
      <c r="AG98" s="143"/>
      <c r="AH98" s="144" t="str">
        <f t="shared" si="39"/>
        <v/>
      </c>
      <c r="AI98" s="145">
        <f t="shared" si="40"/>
        <v>0</v>
      </c>
      <c r="AJ98" s="440">
        <f t="shared" si="41"/>
        <v>0</v>
      </c>
      <c r="AK98" s="441">
        <f t="shared" si="42"/>
        <v>0.10655301012253596</v>
      </c>
      <c r="AL98" s="442">
        <f t="shared" si="43"/>
        <v>0</v>
      </c>
      <c r="AM98" s="443">
        <f t="shared" si="44"/>
        <v>0</v>
      </c>
      <c r="AN98" s="444">
        <f t="shared" si="45"/>
        <v>0</v>
      </c>
      <c r="AO98" s="11"/>
    </row>
    <row r="99" spans="1:41" x14ac:dyDescent="0.35">
      <c r="A99" s="65" t="s">
        <v>17</v>
      </c>
      <c r="B99" s="66"/>
      <c r="C99" s="11"/>
      <c r="D99" s="11"/>
      <c r="E99" s="11"/>
      <c r="F99" s="11"/>
      <c r="G99" s="11"/>
      <c r="H99" s="88" t="s">
        <v>864</v>
      </c>
      <c r="I99" s="122" t="str">
        <f>IF(_epmOfflineCondition_,"N",_xll.EVPRO($B$1,$H99,"STYLE"))</f>
        <v>N</v>
      </c>
      <c r="J99" s="122" t="str">
        <f>IF(_epmOfflineCondition_,"N",_xll.EVPRO($B$1,$H99,"CALC"))</f>
        <v>N</v>
      </c>
      <c r="K99" s="179" t="str">
        <f t="shared" si="34"/>
        <v/>
      </c>
      <c r="L99" s="90" t="str">
        <f>IF(_epmOfflineCondition_,"703400",_xll.EVPRO($B$1,H99,"JDEID"))</f>
        <v>703400</v>
      </c>
      <c r="M99" s="90" t="str">
        <f>IF(_epmOfflineCondition_,"590010",IF(AND(I99="N",J99="N"),_xll.EVPRO($B$1,H99,"PSFTID"),""))</f>
        <v>590010</v>
      </c>
      <c r="N99" s="90" t="str">
        <f>IF(_epmOfflineCondition_,"Linen",IF(_xll.EVDES(H99,$B$1)="#NODATA","",_xll.EVDES(H99,$B$1)))</f>
        <v>Linen</v>
      </c>
      <c r="O99" s="143"/>
      <c r="P99" s="143"/>
      <c r="Q99" s="143"/>
      <c r="R99" s="143"/>
      <c r="S99" s="143"/>
      <c r="T99" s="143"/>
      <c r="U99" s="143"/>
      <c r="V99" s="143"/>
      <c r="W99" s="143"/>
      <c r="X99" s="143"/>
      <c r="Y99" s="143"/>
      <c r="Z99" s="143"/>
      <c r="AA99" s="250">
        <f t="shared" si="35"/>
        <v>0</v>
      </c>
      <c r="AB99" s="144" t="str">
        <f t="shared" si="36"/>
        <v/>
      </c>
      <c r="AC99" s="140"/>
      <c r="AD99" s="143">
        <v>3349.77</v>
      </c>
      <c r="AE99" s="144">
        <f t="shared" si="37"/>
        <v>2.9434776269602652E-2</v>
      </c>
      <c r="AF99" s="145">
        <f t="shared" si="38"/>
        <v>-3349.77</v>
      </c>
      <c r="AG99" s="143">
        <v>2584.16</v>
      </c>
      <c r="AH99" s="144">
        <f t="shared" si="39"/>
        <v>6.29108488689651E-2</v>
      </c>
      <c r="AI99" s="145">
        <f t="shared" si="40"/>
        <v>-2584.16</v>
      </c>
      <c r="AJ99" s="440">
        <f t="shared" si="41"/>
        <v>0</v>
      </c>
      <c r="AK99" s="441">
        <f t="shared" si="42"/>
        <v>0.59488012786361211</v>
      </c>
      <c r="AL99" s="442">
        <f t="shared" si="43"/>
        <v>1.1567412712623097</v>
      </c>
      <c r="AM99" s="443">
        <f t="shared" si="44"/>
        <v>0</v>
      </c>
      <c r="AN99" s="444">
        <f t="shared" si="45"/>
        <v>0</v>
      </c>
      <c r="AO99" s="11"/>
    </row>
    <row r="100" spans="1:41" x14ac:dyDescent="0.35">
      <c r="A100" s="11"/>
      <c r="B100" s="11"/>
      <c r="C100" s="11"/>
      <c r="D100" s="11"/>
      <c r="E100" s="11"/>
      <c r="F100" s="11"/>
      <c r="G100" s="11"/>
      <c r="H100" s="88" t="s">
        <v>865</v>
      </c>
      <c r="I100" s="122" t="str">
        <f>IF(_epmOfflineCondition_,"N",_xll.EVPRO($B$1,$H100,"STYLE"))</f>
        <v>N</v>
      </c>
      <c r="J100" s="122" t="str">
        <f>IF(_epmOfflineCondition_,"N",_xll.EVPRO($B$1,$H100,"CALC"))</f>
        <v>N</v>
      </c>
      <c r="K100" s="179" t="str">
        <f t="shared" si="34"/>
        <v/>
      </c>
      <c r="L100" s="90" t="str">
        <f>IF(_epmOfflineCondition_,"703500",_xll.EVPRO($B$1,H100,"JDEID"))</f>
        <v>703500</v>
      </c>
      <c r="M100" s="90" t="str">
        <f>IF(_epmOfflineCondition_,"590004",IF(AND(I100="N",J100="N"),_xll.EVPRO($B$1,H100,"PSFTID"),""))</f>
        <v>590004</v>
      </c>
      <c r="N100" s="90" t="str">
        <f>IF(_epmOfflineCondition_,"China",IF(_xll.EVDES(H100,$B$1)="#NODATA","",_xll.EVDES(H100,$B$1)))</f>
        <v>China</v>
      </c>
      <c r="O100" s="143"/>
      <c r="P100" s="143"/>
      <c r="Q100" s="143"/>
      <c r="R100" s="143"/>
      <c r="S100" s="143"/>
      <c r="T100" s="143"/>
      <c r="U100" s="143"/>
      <c r="V100" s="143"/>
      <c r="W100" s="143"/>
      <c r="X100" s="143"/>
      <c r="Y100" s="143"/>
      <c r="Z100" s="143"/>
      <c r="AA100" s="250">
        <f t="shared" si="35"/>
        <v>0</v>
      </c>
      <c r="AB100" s="144" t="str">
        <f t="shared" si="36"/>
        <v/>
      </c>
      <c r="AC100" s="140"/>
      <c r="AD100" s="143">
        <v>800</v>
      </c>
      <c r="AE100" s="144">
        <f t="shared" si="37"/>
        <v>7.0296829381366853E-3</v>
      </c>
      <c r="AF100" s="145">
        <f t="shared" si="38"/>
        <v>-800</v>
      </c>
      <c r="AG100" s="143"/>
      <c r="AH100" s="144" t="str">
        <f t="shared" si="39"/>
        <v/>
      </c>
      <c r="AI100" s="145">
        <f t="shared" si="40"/>
        <v>0</v>
      </c>
      <c r="AJ100" s="440">
        <f t="shared" si="41"/>
        <v>0</v>
      </c>
      <c r="AK100" s="441">
        <f t="shared" si="42"/>
        <v>0.14207068016338129</v>
      </c>
      <c r="AL100" s="442">
        <f t="shared" si="43"/>
        <v>0</v>
      </c>
      <c r="AM100" s="443">
        <f t="shared" si="44"/>
        <v>0</v>
      </c>
      <c r="AN100" s="444">
        <f t="shared" si="45"/>
        <v>0</v>
      </c>
      <c r="AO100" s="11"/>
    </row>
    <row r="101" spans="1:41" x14ac:dyDescent="0.35">
      <c r="A101" s="97" t="s">
        <v>92</v>
      </c>
      <c r="B101" s="98" t="s">
        <v>93</v>
      </c>
      <c r="C101" s="98" t="s">
        <v>94</v>
      </c>
      <c r="D101" s="98" t="s">
        <v>95</v>
      </c>
      <c r="E101" s="98" t="s">
        <v>96</v>
      </c>
      <c r="F101" s="99" t="s">
        <v>97</v>
      </c>
      <c r="G101" s="11"/>
      <c r="H101" s="88" t="s">
        <v>866</v>
      </c>
      <c r="I101" s="122" t="str">
        <f>IF(_epmOfflineCondition_,"N",_xll.EVPRO($B$1,$H101,"STYLE"))</f>
        <v>N</v>
      </c>
      <c r="J101" s="122" t="str">
        <f>IF(_epmOfflineCondition_,"N",_xll.EVPRO($B$1,$H101,"CALC"))</f>
        <v>N</v>
      </c>
      <c r="K101" s="179" t="str">
        <f t="shared" si="34"/>
        <v/>
      </c>
      <c r="L101" s="90" t="str">
        <f>IF(_epmOfflineCondition_,"703510",_xll.EVPRO($B$1,H101,"JDEID"))</f>
        <v>703510</v>
      </c>
      <c r="M101" s="90" t="str">
        <f>IF(_epmOfflineCondition_,"590003",IF(AND(I101="N",J101="N"),_xll.EVPRO($B$1,H101,"PSFTID"),""))</f>
        <v>590003</v>
      </c>
      <c r="N101" s="90" t="str">
        <f>IF(_epmOfflineCondition_,"Glassware",IF(_xll.EVDES(H101,$B$1)="#NODATA","",_xll.EVDES(H101,$B$1)))</f>
        <v>Glassware</v>
      </c>
      <c r="O101" s="143">
        <v>582.09</v>
      </c>
      <c r="P101" s="143"/>
      <c r="Q101" s="143">
        <v>-582.09</v>
      </c>
      <c r="R101" s="143"/>
      <c r="S101" s="143"/>
      <c r="T101" s="143"/>
      <c r="U101" s="143"/>
      <c r="V101" s="143"/>
      <c r="W101" s="143"/>
      <c r="X101" s="143"/>
      <c r="Y101" s="143"/>
      <c r="Z101" s="143"/>
      <c r="AA101" s="250">
        <f t="shared" si="35"/>
        <v>0</v>
      </c>
      <c r="AB101" s="144" t="str">
        <f t="shared" si="36"/>
        <v/>
      </c>
      <c r="AC101" s="140"/>
      <c r="AD101" s="143"/>
      <c r="AE101" s="144" t="str">
        <f t="shared" si="37"/>
        <v/>
      </c>
      <c r="AF101" s="145">
        <f t="shared" si="38"/>
        <v>0</v>
      </c>
      <c r="AG101" s="143"/>
      <c r="AH101" s="144" t="str">
        <f t="shared" si="39"/>
        <v/>
      </c>
      <c r="AI101" s="145">
        <f t="shared" si="40"/>
        <v>0</v>
      </c>
      <c r="AJ101" s="440">
        <f t="shared" si="41"/>
        <v>0</v>
      </c>
      <c r="AK101" s="441">
        <f t="shared" si="42"/>
        <v>0</v>
      </c>
      <c r="AL101" s="442">
        <f t="shared" si="43"/>
        <v>0</v>
      </c>
      <c r="AM101" s="443">
        <f t="shared" si="44"/>
        <v>0</v>
      </c>
      <c r="AN101" s="444">
        <f t="shared" si="45"/>
        <v>0</v>
      </c>
      <c r="AO101" s="11"/>
    </row>
    <row r="102" spans="1:41" x14ac:dyDescent="0.35">
      <c r="A102" s="11"/>
      <c r="B102" s="11"/>
      <c r="C102" s="11"/>
      <c r="D102" s="11"/>
      <c r="E102" s="11"/>
      <c r="F102" s="11"/>
      <c r="G102" s="11"/>
      <c r="H102" s="88" t="s">
        <v>880</v>
      </c>
      <c r="I102" s="122" t="str">
        <f>IF(_epmOfflineCondition_,"N",_xll.EVPRO($B$1,$H102,"STYLE"))</f>
        <v>N</v>
      </c>
      <c r="J102" s="122" t="str">
        <f>IF(_epmOfflineCondition_,"N",_xll.EVPRO($B$1,$H102,"CALC"))</f>
        <v>N</v>
      </c>
      <c r="K102" s="179" t="str">
        <f t="shared" si="34"/>
        <v/>
      </c>
      <c r="L102" s="90" t="str">
        <f>IF(_epmOfflineCondition_,"704100",_xll.EVPRO($B$1,H102,"JDEID"))</f>
        <v>704100</v>
      </c>
      <c r="M102" s="90" t="str">
        <f>IF(_epmOfflineCondition_,"690241",IF(AND(I102="N",J102="N"),_xll.EVPRO($B$1,H102,"PSFTID"),""))</f>
        <v>690241</v>
      </c>
      <c r="N102" s="90" t="str">
        <f>IF(_epmOfflineCondition_,"Music and Entertainment",IF(_xll.EVDES(H102,$B$1)="#NODATA","",_xll.EVDES(H102,$B$1)))</f>
        <v>Music and Entertainment</v>
      </c>
      <c r="O102" s="143"/>
      <c r="P102" s="143"/>
      <c r="Q102" s="143"/>
      <c r="R102" s="143"/>
      <c r="S102" s="143"/>
      <c r="T102" s="143"/>
      <c r="U102" s="143"/>
      <c r="V102" s="143"/>
      <c r="W102" s="143">
        <v>425</v>
      </c>
      <c r="X102" s="143"/>
      <c r="Y102" s="143"/>
      <c r="Z102" s="143"/>
      <c r="AA102" s="250">
        <f t="shared" si="35"/>
        <v>425</v>
      </c>
      <c r="AB102" s="144">
        <f t="shared" si="36"/>
        <v>2.1330094504865775E-2</v>
      </c>
      <c r="AC102" s="140"/>
      <c r="AD102" s="143"/>
      <c r="AE102" s="144" t="str">
        <f t="shared" si="37"/>
        <v/>
      </c>
      <c r="AF102" s="145">
        <f t="shared" si="38"/>
        <v>425</v>
      </c>
      <c r="AG102" s="143"/>
      <c r="AH102" s="144" t="str">
        <f t="shared" si="39"/>
        <v/>
      </c>
      <c r="AI102" s="145">
        <f t="shared" si="40"/>
        <v>425</v>
      </c>
      <c r="AJ102" s="440">
        <f t="shared" si="41"/>
        <v>0.46909492273730685</v>
      </c>
      <c r="AK102" s="441">
        <f t="shared" si="42"/>
        <v>0</v>
      </c>
      <c r="AL102" s="442">
        <f t="shared" si="43"/>
        <v>0</v>
      </c>
      <c r="AM102" s="443">
        <f t="shared" si="44"/>
        <v>0</v>
      </c>
      <c r="AN102" s="444">
        <f t="shared" si="45"/>
        <v>0</v>
      </c>
      <c r="AO102" s="11"/>
    </row>
    <row r="103" spans="1:41" x14ac:dyDescent="0.35">
      <c r="A103" s="11" t="s">
        <v>108</v>
      </c>
      <c r="B103" s="11"/>
      <c r="C103" s="104" t="s">
        <v>101</v>
      </c>
      <c r="D103" s="11" t="s">
        <v>106</v>
      </c>
      <c r="E103" s="11"/>
      <c r="F103" s="11" t="s">
        <v>98</v>
      </c>
      <c r="G103" s="11"/>
      <c r="H103" s="88" t="s">
        <v>79</v>
      </c>
      <c r="I103" s="136" t="str">
        <f>IF(_epmOfflineCondition_,"T3",_xll.EVPRO($B$1,$H103,"STYLE"))</f>
        <v>T3</v>
      </c>
      <c r="J103" s="136" t="str">
        <f>IF(_epmOfflineCondition_,"Y",_xll.EVPRO($B$1,$H103,"CALC"))</f>
        <v>Y</v>
      </c>
      <c r="K103" s="104"/>
      <c r="L103" s="104"/>
      <c r="M103" s="104"/>
      <c r="N103" s="106" t="str">
        <f>IF(_epmOfflineCondition_,"Total Operations Expense",IF(_xll.EVDES(H103,$B$1)="#NODATA","",_xll.EVDES(H103,$B$1)))</f>
        <v>Total Operations Expense</v>
      </c>
      <c r="O103" s="154">
        <v>701.09</v>
      </c>
      <c r="P103" s="154">
        <v>1640</v>
      </c>
      <c r="Q103" s="154">
        <v>-1986.09</v>
      </c>
      <c r="R103" s="154"/>
      <c r="S103" s="154"/>
      <c r="T103" s="154"/>
      <c r="U103" s="154"/>
      <c r="V103" s="154"/>
      <c r="W103" s="154">
        <v>814.43</v>
      </c>
      <c r="X103" s="154">
        <v>75</v>
      </c>
      <c r="Y103" s="154">
        <v>75</v>
      </c>
      <c r="Z103" s="154">
        <v>75</v>
      </c>
      <c r="AA103" s="154">
        <f t="shared" si="35"/>
        <v>1394.4300000000003</v>
      </c>
      <c r="AB103" s="155">
        <f t="shared" si="36"/>
        <v>6.9984291012752914E-2</v>
      </c>
      <c r="AC103" s="140"/>
      <c r="AD103" s="154">
        <v>7584.854783369</v>
      </c>
      <c r="AE103" s="155">
        <f t="shared" si="37"/>
        <v>6.664890532361685E-2</v>
      </c>
      <c r="AF103" s="156">
        <f t="shared" si="38"/>
        <v>-6190.4247833689997</v>
      </c>
      <c r="AG103" s="154">
        <v>3908.21</v>
      </c>
      <c r="AH103" s="155">
        <f t="shared" si="39"/>
        <v>9.5144576441930112E-2</v>
      </c>
      <c r="AI103" s="156">
        <f t="shared" si="40"/>
        <v>-2513.7799999999997</v>
      </c>
      <c r="AJ103" s="466">
        <f t="shared" si="41"/>
        <v>1.5391059602649009</v>
      </c>
      <c r="AK103" s="467">
        <f t="shared" si="42"/>
        <v>1.3469818475171373</v>
      </c>
      <c r="AL103" s="468">
        <f t="shared" si="43"/>
        <v>1.7494225604297224</v>
      </c>
      <c r="AM103" s="469" t="str">
        <f t="shared" si="44"/>
        <v>0.33 pts.</v>
      </c>
      <c r="AN103" s="555" t="str">
        <f t="shared" si="45"/>
        <v>-2.52 pts.</v>
      </c>
      <c r="AO103" s="11"/>
    </row>
    <row r="104" spans="1:41" x14ac:dyDescent="0.35">
      <c r="A104" s="11" t="s">
        <v>100</v>
      </c>
      <c r="B104" s="11"/>
      <c r="C104" s="53" t="s">
        <v>101</v>
      </c>
      <c r="D104" s="11" t="s">
        <v>106</v>
      </c>
      <c r="E104" s="11"/>
      <c r="F104" s="11" t="s">
        <v>98</v>
      </c>
      <c r="G104" s="11"/>
      <c r="H104" s="11"/>
      <c r="I104" s="59"/>
      <c r="J104" s="59"/>
      <c r="K104" s="11"/>
      <c r="L104" s="11"/>
      <c r="M104" s="11"/>
      <c r="N104" s="11"/>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1"/>
    </row>
    <row r="105" spans="1:41" x14ac:dyDescent="0.35">
      <c r="A105" s="11" t="s">
        <v>109</v>
      </c>
      <c r="B105" s="11"/>
      <c r="C105" s="106" t="s">
        <v>101</v>
      </c>
      <c r="D105" s="11" t="s">
        <v>106</v>
      </c>
      <c r="E105" s="11"/>
      <c r="F105" s="11" t="s">
        <v>98</v>
      </c>
      <c r="G105" s="76"/>
      <c r="H105" s="88" t="s">
        <v>80</v>
      </c>
      <c r="I105" s="136" t="str">
        <f>IF(_epmOfflineCondition_,"T3",_xll.EVPRO($B$1,$H105,"STYLE"))</f>
        <v>T3</v>
      </c>
      <c r="J105" s="136" t="str">
        <f>IF(_epmOfflineCondition_,"Y",_xll.EVPRO($B$1,$H105,"CALC"))</f>
        <v>Y</v>
      </c>
      <c r="K105" s="106"/>
      <c r="L105" s="106"/>
      <c r="M105" s="106"/>
      <c r="N105" s="106" t="str">
        <f>IF(_epmOfflineCondition_,"Total Expenses",IF(_xll.EVDES(H105,$B$1)="#NODATA","",_xll.EVDES(H105,$B$1)))</f>
        <v>Total Expenses</v>
      </c>
      <c r="O105" s="238">
        <v>3490.66</v>
      </c>
      <c r="P105" s="238">
        <v>4474.17</v>
      </c>
      <c r="Q105" s="238">
        <v>-880.31</v>
      </c>
      <c r="R105" s="238">
        <v>95.98</v>
      </c>
      <c r="S105" s="238">
        <v>95.98</v>
      </c>
      <c r="T105" s="238">
        <v>95.98</v>
      </c>
      <c r="U105" s="238">
        <v>46.62</v>
      </c>
      <c r="V105" s="238">
        <v>71.3</v>
      </c>
      <c r="W105" s="238">
        <v>784.88</v>
      </c>
      <c r="X105" s="238">
        <v>-8.91</v>
      </c>
      <c r="Y105" s="238">
        <v>250.77</v>
      </c>
      <c r="Z105" s="238">
        <v>75</v>
      </c>
      <c r="AA105" s="238">
        <f>IF($I105="B1","",SUM(O105:Z105))</f>
        <v>8592.119999999999</v>
      </c>
      <c r="AB105" s="239">
        <f>IF(AA105=0,"",IFERROR(AA105/AA$19,""))</f>
        <v>0.43122525081681712</v>
      </c>
      <c r="AC105" s="140"/>
      <c r="AD105" s="238">
        <v>69529.972907764197</v>
      </c>
      <c r="AE105" s="239">
        <f>IF(AD105=0,"",IFERROR(AD105/AD$19,""))</f>
        <v>0.61096708029851987</v>
      </c>
      <c r="AF105" s="254">
        <f>IF(AND($AA105="",AD105=""),"",$AA105-AD105)</f>
        <v>-60937.852907764202</v>
      </c>
      <c r="AG105" s="255">
        <v>33566.36</v>
      </c>
      <c r="AH105" s="256">
        <f>IF(AG105=0,"",IFERROR(AG105/AG$19,""))</f>
        <v>0.81716619754244146</v>
      </c>
      <c r="AI105" s="254">
        <f>IF(AND($AA105="",AG105=""),"",$AA105-AG105)</f>
        <v>-24974.240000000002</v>
      </c>
      <c r="AJ105" s="472">
        <f>IFERROR(AA105/AA$20,0)</f>
        <v>9.4835761589403962</v>
      </c>
      <c r="AK105" s="473">
        <f>IFERROR(AD105/AD$20,0)</f>
        <v>12.347713178434416</v>
      </c>
      <c r="AL105" s="474">
        <f>IFERROR(AG105/AG$20,0)</f>
        <v>15.025228290062667</v>
      </c>
      <c r="AM105" s="475" t="str">
        <f>+IFERROR(ROUND(($AB105-AE105)*100,2)&amp;" pts.",0)</f>
        <v>-17.97 pts.</v>
      </c>
      <c r="AN105" s="556" t="str">
        <f>+IFERROR(ROUND(($AB105-AH105)*100,2)&amp;" pts.",0)</f>
        <v>-38.59 pts.</v>
      </c>
      <c r="AO105" s="11"/>
    </row>
    <row r="106" spans="1:41" ht="15" thickBot="1" x14ac:dyDescent="0.4">
      <c r="A106" s="11" t="s">
        <v>109</v>
      </c>
      <c r="B106" s="11"/>
      <c r="C106" s="196" t="s">
        <v>101</v>
      </c>
      <c r="D106" s="11" t="s">
        <v>107</v>
      </c>
      <c r="E106" s="11"/>
      <c r="F106" s="11" t="s">
        <v>99</v>
      </c>
      <c r="G106" s="11"/>
      <c r="H106" s="88" t="s">
        <v>81</v>
      </c>
      <c r="I106" s="136" t="str">
        <f>IF(_epmOfflineCondition_,"T3",_xll.EVPRO($B$1,$H106,"STYLE"))</f>
        <v>T3</v>
      </c>
      <c r="J106" s="136" t="str">
        <f>IF(_epmOfflineCondition_,"Y",_xll.EVPRO($B$1,$H106,"CALC"))</f>
        <v>Y</v>
      </c>
      <c r="K106" s="106"/>
      <c r="L106" s="106"/>
      <c r="M106" s="106"/>
      <c r="N106" s="106" t="str">
        <f>IF(_epmOfflineCondition_,"Department Profit (Loss)",IF(_xll.EVDES(H106,$B$1)="#NODATA","",_xll.EVDES(H106,$B$1)))</f>
        <v>Department Profit (Loss)</v>
      </c>
      <c r="O106" s="169">
        <v>3692.48</v>
      </c>
      <c r="P106" s="169">
        <v>875.13000000000102</v>
      </c>
      <c r="Q106" s="169">
        <v>4342.6000000000004</v>
      </c>
      <c r="R106" s="169">
        <v>-95.98</v>
      </c>
      <c r="S106" s="169">
        <v>-95.98</v>
      </c>
      <c r="T106" s="169">
        <v>-95.98</v>
      </c>
      <c r="U106" s="169">
        <v>-46.62</v>
      </c>
      <c r="V106" s="169">
        <v>-71.3</v>
      </c>
      <c r="W106" s="169">
        <v>-690.21</v>
      </c>
      <c r="X106" s="169">
        <v>8.91</v>
      </c>
      <c r="Y106" s="169">
        <v>-250.77</v>
      </c>
      <c r="Z106" s="169">
        <v>-75</v>
      </c>
      <c r="AA106" s="169">
        <f>IF($I106="B1","",SUM(O106:Z106))</f>
        <v>7497.2800000000016</v>
      </c>
      <c r="AB106" s="170">
        <f>IF(AA106=0,"",IFERROR(AA106/AA$19,""))</f>
        <v>0.37627691983397671</v>
      </c>
      <c r="AC106" s="140"/>
      <c r="AD106" s="169">
        <v>24450.1282922358</v>
      </c>
      <c r="AE106" s="170">
        <f>IF(AD106=0,"",IFERROR(AD106/AD$19,""))</f>
        <v>0.2148458121139788</v>
      </c>
      <c r="AF106" s="171">
        <f>IF(AND($AA106="",AD106=""),"",$AA106-AD106)</f>
        <v>-16952.848292235798</v>
      </c>
      <c r="AG106" s="169">
        <v>193.26000000000201</v>
      </c>
      <c r="AH106" s="170">
        <f>IF(AG106=0,"",IFERROR(AG106/AG$19,""))</f>
        <v>4.7048753376015117E-3</v>
      </c>
      <c r="AI106" s="171">
        <f>IF(AND($AA106="",AG106=""),"",$AA106-AG106)</f>
        <v>7304.0199999999995</v>
      </c>
      <c r="AJ106" s="477">
        <f>IFERROR(AA106/AA$20,0)</f>
        <v>8.2751434878587222</v>
      </c>
      <c r="AK106" s="478">
        <f>IFERROR(AD106/AD$20,0)</f>
        <v>4.3420579456998398</v>
      </c>
      <c r="AL106" s="479">
        <f>IFERROR(AG106/AG$20,0)</f>
        <v>8.6508504923904217E-2</v>
      </c>
      <c r="AM106" s="480" t="str">
        <f>+IFERROR(ROUND(($AB106-AE106)*100,2)&amp;" pts.",0)</f>
        <v>16.14 pts.</v>
      </c>
      <c r="AN106" s="557" t="str">
        <f>+IFERROR(ROUND(($AB106-AH106)*100,2)&amp;" pts.",0)</f>
        <v>37.16 pts.</v>
      </c>
      <c r="AO106" s="11"/>
    </row>
    <row r="107" spans="1:41" ht="15" thickTop="1" x14ac:dyDescent="0.3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11"/>
      <c r="I108" s="59"/>
      <c r="J108" s="59"/>
      <c r="K108" s="11"/>
      <c r="L108" s="11"/>
      <c r="M108" s="11"/>
      <c r="N108" s="104" t="str">
        <f>N105&amp;" - Check"</f>
        <v>Total Expenses - Check</v>
      </c>
      <c r="O108" s="209">
        <f t="shared" ref="O108:AA108" si="46">SUMIF($H$35:$H$106,"600000",O$35:O$106)+SUMIF($H$35:$H$106,"700000",O$35:O$106)-SUMIF($H$35:$H$106,"TOTDEPTEXP",O$35:O$106)</f>
        <v>0</v>
      </c>
      <c r="P108" s="209">
        <f t="shared" si="46"/>
        <v>0</v>
      </c>
      <c r="Q108" s="209">
        <f t="shared" si="46"/>
        <v>0</v>
      </c>
      <c r="R108" s="209">
        <f t="shared" si="46"/>
        <v>0</v>
      </c>
      <c r="S108" s="209">
        <f t="shared" si="46"/>
        <v>0</v>
      </c>
      <c r="T108" s="209">
        <f t="shared" si="46"/>
        <v>0</v>
      </c>
      <c r="U108" s="209">
        <f t="shared" si="46"/>
        <v>0</v>
      </c>
      <c r="V108" s="209">
        <f t="shared" si="46"/>
        <v>0</v>
      </c>
      <c r="W108" s="209">
        <f t="shared" si="46"/>
        <v>0</v>
      </c>
      <c r="X108" s="209">
        <f t="shared" si="46"/>
        <v>0</v>
      </c>
      <c r="Y108" s="209">
        <f t="shared" si="46"/>
        <v>0</v>
      </c>
      <c r="Z108" s="209">
        <f t="shared" si="46"/>
        <v>0</v>
      </c>
      <c r="AA108" s="209">
        <f t="shared" si="46"/>
        <v>0</v>
      </c>
      <c r="AB108" s="100"/>
      <c r="AC108" s="11"/>
      <c r="AD108" s="209">
        <f>SUMIF($H$35:$H$106,"600000",AD$35:AD$106)+SUMIF($H$35:$H$106,"700000",AD$35:AD$106)-SUMIF($H$35:$H$106,"TOTDEPTEXP",AD$35:AD$106)</f>
        <v>0</v>
      </c>
      <c r="AE108" s="100"/>
      <c r="AF108" s="91"/>
      <c r="AG108" s="209">
        <f>SUMIF($H$35:$H$106,"600000",AG$35:AG$106)+SUMIF($H$35:$H$106,"700000",AG$35:AG$106)-SUMIF($H$35:$H$106,"TOTDEPTEXP",AG$35:AG$106)</f>
        <v>0</v>
      </c>
      <c r="AH108" s="100"/>
      <c r="AI108" s="91"/>
      <c r="AJ108" s="11"/>
      <c r="AK108" s="11"/>
      <c r="AL108" s="11"/>
      <c r="AM108" s="11"/>
      <c r="AN108" s="11"/>
      <c r="AO108" s="11"/>
    </row>
    <row r="109" spans="1:41" x14ac:dyDescent="0.35">
      <c r="A109" s="11"/>
      <c r="B109" s="11"/>
      <c r="C109" s="208"/>
      <c r="D109" s="11"/>
      <c r="E109" s="11"/>
      <c r="F109" s="11"/>
      <c r="G109" s="11"/>
      <c r="H109" s="11"/>
      <c r="I109" s="59"/>
      <c r="J109" s="59"/>
      <c r="K109" s="11"/>
      <c r="L109" s="11"/>
      <c r="M109" s="11"/>
      <c r="N109" s="104" t="str">
        <f>N106&amp;" - Check"</f>
        <v>Department Profit (Loss) - Check</v>
      </c>
      <c r="O109" s="209">
        <f t="shared" ref="O109:AA109" si="47">SUMIF($H$35:$H$106,"KPI_GP",O$35:O$106)-SUMIF($H$35:$H$106,"TOTDEPTEXP",O$35:O$106)-SUMIF($H$35:$H$106,"TOTDEPTPL",O$35:O$106)</f>
        <v>0</v>
      </c>
      <c r="P109" s="209">
        <f t="shared" si="47"/>
        <v>-9.0949470177292824E-13</v>
      </c>
      <c r="Q109" s="209">
        <f t="shared" si="47"/>
        <v>0</v>
      </c>
      <c r="R109" s="209">
        <f t="shared" si="47"/>
        <v>0</v>
      </c>
      <c r="S109" s="209">
        <f t="shared" si="47"/>
        <v>0</v>
      </c>
      <c r="T109" s="209">
        <f t="shared" si="47"/>
        <v>0</v>
      </c>
      <c r="U109" s="209">
        <f t="shared" si="47"/>
        <v>0</v>
      </c>
      <c r="V109" s="209">
        <f t="shared" si="47"/>
        <v>0</v>
      </c>
      <c r="W109" s="209">
        <f t="shared" si="47"/>
        <v>0</v>
      </c>
      <c r="X109" s="209">
        <f t="shared" si="47"/>
        <v>0</v>
      </c>
      <c r="Y109" s="209">
        <f t="shared" si="47"/>
        <v>0</v>
      </c>
      <c r="Z109" s="209">
        <f t="shared" si="47"/>
        <v>0</v>
      </c>
      <c r="AA109" s="209">
        <f t="shared" si="47"/>
        <v>0</v>
      </c>
      <c r="AB109" s="100"/>
      <c r="AC109" s="11"/>
      <c r="AD109" s="209">
        <f>SUMIF($H$35:$H$106,"KPI_GP",AD$35:AD$106)-SUMIF($H$35:$H$106,"TOTDEPTEXP",AD$35:AD$106)-SUMIF($H$35:$H$106,"TOTDEPTPL",AD$35:AD$106)</f>
        <v>0</v>
      </c>
      <c r="AE109" s="100"/>
      <c r="AF109" s="91"/>
      <c r="AG109" s="209">
        <f>SUMIF($H$35:$H$106,"KPI_GP",AG$35:AG$106)-SUMIF($H$35:$H$106,"TOTDEPTEXP",AG$35:AG$106)-SUMIF($H$35:$H$106,"TOTDEPTPL",AG$35:AG$106)</f>
        <v>0</v>
      </c>
      <c r="AH109" s="100"/>
      <c r="AI109" s="9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11"/>
      <c r="I111" s="59"/>
      <c r="J111" s="59"/>
      <c r="K111" s="11"/>
      <c r="L111" s="11"/>
      <c r="M111" s="11"/>
      <c r="N111" s="11"/>
      <c r="O111" s="137"/>
      <c r="P111" s="137"/>
      <c r="Q111" s="137"/>
      <c r="R111" s="137"/>
      <c r="S111" s="137"/>
      <c r="T111" s="137"/>
      <c r="U111" s="137"/>
      <c r="V111" s="137"/>
      <c r="W111" s="137"/>
      <c r="X111" s="137"/>
      <c r="Y111" s="137"/>
      <c r="Z111" s="137"/>
      <c r="AA111" s="137"/>
      <c r="AB111" s="11"/>
      <c r="AC111" s="11"/>
      <c r="AD111" s="137"/>
      <c r="AE111" s="11"/>
      <c r="AF111" s="11"/>
      <c r="AG111" s="137"/>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11"/>
      <c r="I113" s="59"/>
      <c r="J113" s="59"/>
      <c r="K113" s="11"/>
      <c r="L113" s="11"/>
      <c r="M113" s="11"/>
      <c r="N113" s="11"/>
      <c r="O113" s="137"/>
      <c r="P113" s="137"/>
      <c r="Q113" s="137"/>
      <c r="R113" s="137"/>
      <c r="S113" s="137"/>
      <c r="T113" s="137"/>
      <c r="U113" s="137"/>
      <c r="V113" s="137"/>
      <c r="W113" s="137"/>
      <c r="X113" s="137"/>
      <c r="Y113" s="137"/>
      <c r="Z113" s="137"/>
      <c r="AA113" s="137"/>
      <c r="AB113" s="11"/>
      <c r="AC113" s="11"/>
      <c r="AD113" s="137"/>
      <c r="AE113" s="11"/>
      <c r="AF113" s="11"/>
      <c r="AG113" s="137"/>
      <c r="AH113" s="11"/>
      <c r="AI113" s="11"/>
      <c r="AJ113" s="11"/>
      <c r="AK113" s="11"/>
      <c r="AL113" s="11"/>
      <c r="AM113" s="11"/>
      <c r="AN113" s="11"/>
      <c r="AO113" s="11"/>
    </row>
    <row r="114" spans="1:41" x14ac:dyDescent="0.35">
      <c r="A114" s="65" t="s">
        <v>2</v>
      </c>
      <c r="B114" s="66" t="str">
        <f>IF(_epmOfflineCondition_,"'Venue2'!$B$2:$B$10",_xll.EVRNG($B$2:$B$10))</f>
        <v>'Venue2'!$B$2:$B$10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IF(_epmOfflineCondition_,"'Venue2'!$O$16:$AN$18",_xll.EVRNG($O$16:$AN$18))</f>
        <v>'Venue2'!$O$16:$AN$18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IF(_epmOfflineCondition_,"'Venue2'!$H$103:$H$106",_xll.EVRNG(H103:H106))</f>
        <v>'Venue2'!$H$103:$H$106</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IF(_epmOfflineCondition_,"'Venue2'!$A$125:$B$146",_xll.EVRNG($A$125:$B$146))</f>
        <v>'Venue2'!$A$125:$B$146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267"/>
      <c r="J179" s="11"/>
      <c r="K179" s="267"/>
      <c r="L179" s="267"/>
      <c r="M179" s="267"/>
      <c r="N179" s="11"/>
      <c r="O179" s="267"/>
      <c r="P179" s="267"/>
      <c r="Q179" s="267"/>
      <c r="R179" s="267"/>
      <c r="S179" s="267"/>
      <c r="T179" s="267"/>
      <c r="U179" s="267"/>
      <c r="V179" s="267"/>
      <c r="W179" s="267"/>
      <c r="X179" s="267"/>
      <c r="Y179" s="267"/>
      <c r="Z179" s="267"/>
      <c r="AA179" s="267"/>
      <c r="AB179" s="11"/>
      <c r="AC179" s="11"/>
      <c r="AD179" s="267"/>
      <c r="AE179" s="11"/>
      <c r="AF179" s="267"/>
      <c r="AG179" s="11"/>
      <c r="AH179" s="267"/>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267"/>
      <c r="J183" s="11"/>
      <c r="K183" s="267"/>
      <c r="L183" s="267"/>
      <c r="M183" s="267"/>
      <c r="N183" s="11"/>
      <c r="O183" s="267"/>
      <c r="P183" s="267"/>
      <c r="Q183" s="267"/>
      <c r="R183" s="267"/>
      <c r="S183" s="267"/>
      <c r="T183" s="267"/>
      <c r="U183" s="267"/>
      <c r="V183" s="267"/>
      <c r="W183" s="267"/>
      <c r="X183" s="267"/>
      <c r="Y183" s="267"/>
      <c r="Z183" s="267"/>
      <c r="AA183" s="267"/>
      <c r="AB183" s="11"/>
      <c r="AC183" s="11"/>
      <c r="AD183" s="267"/>
      <c r="AE183" s="11"/>
      <c r="AF183" s="267"/>
      <c r="AG183" s="11"/>
      <c r="AH183" s="267"/>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IchwZngOO3ofDV1OP557lGs3dDs6/hlLwXCfq7bEibMEUzo7VkMRgLqs8tqaTcq13s933v0XIve25dnZcpSKBQ==" saltValue="zqdS2ogUSMovCKzgGoGn5A==" spinCount="100000" sheet="1" scenarios="1"/>
  <mergeCells count="2">
    <mergeCell ref="AD31:AE31"/>
    <mergeCell ref="AG31:AH31"/>
  </mergeCells>
  <dataValidations count="2">
    <dataValidation type="list" allowBlank="1" sqref="B29 B95 B62" xr:uid="{00000000-0002-0000-0900-000000000000}">
      <formula1>"SELF,ALL,BAS,DEP,BASMEMBERS,MEMBERS,NOEXPAND,GDEP"</formula1>
    </dataValidation>
    <dataValidation type="list" allowBlank="1" sqref="B28 B94 B61" xr:uid="{00000000-0002-0000-09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Venue2!N1</f>
        <v>Pool Bar</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726</v>
      </c>
      <c r="C6" s="11" t="str">
        <f>IF(_epmOfflineCondition_,"Venue 2",_xll.EVDES(B6,$B$1))</f>
        <v>Venue 2</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IF(_epmOfflineCondition_,"'Venue2_KPI'!$B$2:$B$10",_xll.EVRNG($B$2:$B$10))</f>
        <v>'Venue2_KPI'!$B$2:$B$10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IF(_epmOfflineCondition_,"'Venue2_KPI'!$O$16:$AI$18",_xll.EVRNG(O16:AI18))</f>
        <v>'Venue2_KPI'!$O$16:$AI$18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IF(_epmOfflineCondition_,"'Venue2_KPI'!$H$35:$H$146",_xll.EVRNG(H35:H146))</f>
        <v>'Venue2_KPI'!$H$35:$H$146</v>
      </c>
      <c r="C19" s="11"/>
      <c r="D19" s="11"/>
      <c r="E19" s="11"/>
      <c r="F19" s="11"/>
      <c r="G19" s="67" t="str">
        <f>$B$6</f>
        <v>D2141</v>
      </c>
      <c r="H19" s="67" t="s">
        <v>273</v>
      </c>
      <c r="I19" s="68"/>
      <c r="J19" s="68"/>
      <c r="K19" s="67"/>
      <c r="L19" s="67"/>
      <c r="M19" s="67"/>
      <c r="N19" s="67" t="str">
        <f>IF(_epmOfflineCondition_,"Total Food &amp; Beverage Revenue",_xll.EVDES(H19))</f>
        <v>Total Food &amp; Beverage Revenue</v>
      </c>
      <c r="O19" s="69">
        <f>IF(_epmOfflineCondition_,7563.71,_xll.EVGTS($B$1,1,$B$3,$B$5,$B$7,$B$9,O$16,O$17,O$18,$G$19,$H$19))</f>
        <v>7563.71</v>
      </c>
      <c r="P19" s="69">
        <f>IF(_epmOfflineCondition_,5589,_xll.EVGTS($B$1,1,$B$3,$B$5,$B$7,$B$9,P$16,P$17,P$18,$G$19,$H$19))</f>
        <v>5589</v>
      </c>
      <c r="Q19" s="69">
        <f>IF(_epmOfflineCondition_,3639.39,_xll.EVGTS($B$1,1,$B$3,$B$5,$B$7,$B$9,Q$16,Q$17,Q$18,$G$19,$H$19))</f>
        <v>3639.39</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IF(_epmOfflineCondition_,69.65,_xll.EVGTS($B$1,1,$B$3,$B$5,$B$7,$B$9,W$16,W$17,W$18,$G$19,$H$19))</f>
        <v>69.650000000000006</v>
      </c>
      <c r="X19" s="69">
        <f>IF(_epmOfflineCondition_,0,_xll.EVGTS($B$1,1,$B$3,$B$5,$B$7,$B$9,X$16,X$17,X$18,$G$19,$H$19))</f>
        <v>0</v>
      </c>
      <c r="Y19" s="69">
        <f>IF(_epmOfflineCondition_,0,_xll.EVGTS($B$1,1,$B$3,$B$5,$B$7,$B$9,Y$16,Y$17,Y$18,$G$19,$H$19))</f>
        <v>0</v>
      </c>
      <c r="Z19" s="69">
        <f>IF(_epmOfflineCondition_,0,_xll.EVGTS($B$1,1,$B$3,$B$5,$B$7,$B$9,Z$16,Z$17,Z$18,$G$19,$H$19))</f>
        <v>0</v>
      </c>
      <c r="AA19" s="69">
        <f>SUM(O19:Z19)</f>
        <v>16861.75</v>
      </c>
      <c r="AB19" s="67"/>
      <c r="AC19" s="67"/>
      <c r="AD19" s="69">
        <f>IF(_epmOfflineCondition_,96443.34,_xll.EVGTS($B$1,1,$B$3,$B$5,$B$7,$B$9,AD$16,AD$17,AD$18,$G$19,$H$19))</f>
        <v>96443.34</v>
      </c>
      <c r="AE19" s="67"/>
      <c r="AF19" s="67"/>
      <c r="AG19" s="69">
        <f>IF(_epmOfflineCondition_,34632.18,_xll.EVGTS($B$1,1,$B$3,$B$5,$B$7,$B$9,AG$16,AG$17,AG$18,$G$19,$H$19))</f>
        <v>34632.18</v>
      </c>
      <c r="AH19" s="67"/>
      <c r="AI19" s="67"/>
    </row>
    <row r="20" spans="1:35" hidden="1" outlineLevel="1" x14ac:dyDescent="0.35">
      <c r="A20" s="65" t="s">
        <v>5</v>
      </c>
      <c r="B20" s="66"/>
      <c r="C20" s="11"/>
      <c r="D20" s="11"/>
      <c r="E20" s="11"/>
      <c r="F20" s="11"/>
      <c r="G20" s="67" t="str">
        <f>$B$6</f>
        <v>D2141</v>
      </c>
      <c r="H20" s="67">
        <v>946000</v>
      </c>
      <c r="I20" s="68"/>
      <c r="J20" s="68"/>
      <c r="K20" s="67"/>
      <c r="L20" s="67"/>
      <c r="M20" s="67"/>
      <c r="N20" s="67" t="str">
        <f>IF(_epmOfflineCondition_,"Total Customers",_xll.EVDES(H20))</f>
        <v>Total Customers</v>
      </c>
      <c r="O20" s="69">
        <f>IF(_epmOfflineCondition_,393,_xll.EVGTS($B$1,1,$B$3,$B$5,$B$7,$B$9,O$16,O$17,O$18,$G$20,$H$20))</f>
        <v>393</v>
      </c>
      <c r="P20" s="69">
        <f>IF(_epmOfflineCondition_,309,_xll.EVGTS($B$1,1,$B$3,$B$5,$B$7,$B$9,P$16,P$17,P$18,$G$20,$H$20))</f>
        <v>309</v>
      </c>
      <c r="Q20" s="69">
        <f>IF(_epmOfflineCondition_,204,_xll.EVGTS($B$1,1,$B$3,$B$5,$B$7,$B$9,Q$16,Q$17,Q$18,$G$20,$H$20))</f>
        <v>204</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906</v>
      </c>
      <c r="AB20" s="67"/>
      <c r="AC20" s="67"/>
      <c r="AD20" s="69">
        <f>IF(_epmOfflineCondition_,5631,_xll.EVGTS($B$1,1,$B$3,$B$5,$B$7,$B$9,AD$16,AD$17,AD$18,$G$20,$H$20))</f>
        <v>5631</v>
      </c>
      <c r="AE20" s="67"/>
      <c r="AF20" s="67"/>
      <c r="AG20" s="69">
        <f>IF(_epmOfflineCondition_,2234,_xll.EVGTS($B$1,1,$B$3,$B$5,$B$7,$B$9,AG$16,AG$17,AG$18,$G$20,$H$20))</f>
        <v>2234</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IF(_epmOfflineCondition_,"'Venue2_KPI'!$A$37:$B$58",_xll.EVRNG($A$37:$B$58))</f>
        <v>'Venue2_KPI'!$A$37:$B$58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IF(_epmOfflineCondition_,"Pool Bar",IF($N$1="",IF(_xll.EVDES(B6,$B$1)="#NODATA","",_xll.EVDES(B6,$B$1)&amp;" Department"),$N$1))</f>
        <v>Pool Bar</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v>0.42</v>
      </c>
      <c r="AH35" s="144">
        <f>IF(AG35=0,"",IFERROR(AG35/AG$19,""))</f>
        <v>1.2127449095032424E-5</v>
      </c>
      <c r="AI35" s="145">
        <f t="shared" ref="AI35:AI42" si="2">IF(AND($AA35="",AG35=""),"",$AA35-AG35)</f>
        <v>-0.42</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v>0.42</v>
      </c>
      <c r="AH39" s="167">
        <f>IF(AG39=0,"",IFERROR(AG39/AG$19,""))</f>
        <v>1.2127449095032424E-5</v>
      </c>
      <c r="AI39" s="168">
        <f t="shared" si="2"/>
        <v>-0.42</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v>3131.2</v>
      </c>
      <c r="P45" s="143">
        <v>1799</v>
      </c>
      <c r="Q45" s="143">
        <v>1348.5</v>
      </c>
      <c r="R45" s="143"/>
      <c r="S45" s="143"/>
      <c r="T45" s="143"/>
      <c r="U45" s="143"/>
      <c r="V45" s="143"/>
      <c r="W45" s="143">
        <v>93</v>
      </c>
      <c r="X45" s="143"/>
      <c r="Y45" s="143"/>
      <c r="Z45" s="143"/>
      <c r="AA45" s="143">
        <f t="shared" ref="AA45:AA51" si="5">SUM(O45:Z45)</f>
        <v>6371.7</v>
      </c>
      <c r="AB45" s="144">
        <f>IF(AA45=0,"",IFERROR(AA45/AA$19,""))</f>
        <v>0.37787892715762006</v>
      </c>
      <c r="AC45" s="140"/>
      <c r="AD45" s="143">
        <v>9277.8493080000007</v>
      </c>
      <c r="AE45" s="144">
        <f>IF(AD45=0,"",IFERROR(AD45/AD$19,""))</f>
        <v>9.6200000000000008E-2</v>
      </c>
      <c r="AF45" s="145">
        <f t="shared" ref="AF45:AF52" si="6">IF(AND($AA45="",AD45=""),"",$AA45-AD45)</f>
        <v>-2906.1493080000009</v>
      </c>
      <c r="AG45" s="143">
        <v>6845</v>
      </c>
      <c r="AH45" s="144">
        <f>IF(AG45=0,"",IFERROR(AG45/AG$19,""))</f>
        <v>0.1976485453702308</v>
      </c>
      <c r="AI45" s="145">
        <f t="shared" ref="AI45:AI52" si="7">IF(AND($AA45="",AG45=""),"",$AA45-AG45)</f>
        <v>-473.30000000000018</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v>3080</v>
      </c>
      <c r="P46" s="143">
        <v>2547</v>
      </c>
      <c r="Q46" s="143">
        <v>1267</v>
      </c>
      <c r="R46" s="143"/>
      <c r="S46" s="143"/>
      <c r="T46" s="143"/>
      <c r="U46" s="143"/>
      <c r="V46" s="143"/>
      <c r="W46" s="143">
        <v>39</v>
      </c>
      <c r="X46" s="143"/>
      <c r="Y46" s="143"/>
      <c r="Z46" s="143"/>
      <c r="AA46" s="143">
        <f t="shared" si="5"/>
        <v>6933</v>
      </c>
      <c r="AB46" s="144">
        <f>IF(AA46=0,"",IFERROR(AA46/AA$19,""))</f>
        <v>0.41116728690675641</v>
      </c>
      <c r="AC46" s="140"/>
      <c r="AD46" s="143">
        <v>52378.377954000003</v>
      </c>
      <c r="AE46" s="144">
        <f>IF(AD46=0,"",IFERROR(AD46/AD$19,""))</f>
        <v>0.54310000000000003</v>
      </c>
      <c r="AF46" s="145">
        <f t="shared" si="6"/>
        <v>-45445.377954000003</v>
      </c>
      <c r="AG46" s="143">
        <v>17861.2</v>
      </c>
      <c r="AH46" s="144">
        <f>IF(AG46=0,"",IFERROR(AG46/AG$19,""))</f>
        <v>0.51573998518141217</v>
      </c>
      <c r="AI46" s="145">
        <f t="shared" si="7"/>
        <v>-10928.2</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v>830.2</v>
      </c>
      <c r="P47" s="143">
        <v>604</v>
      </c>
      <c r="Q47" s="143">
        <v>679</v>
      </c>
      <c r="R47" s="143"/>
      <c r="S47" s="143"/>
      <c r="T47" s="143"/>
      <c r="U47" s="143"/>
      <c r="V47" s="143"/>
      <c r="W47" s="143">
        <v>7</v>
      </c>
      <c r="X47" s="143"/>
      <c r="Y47" s="143"/>
      <c r="Z47" s="143"/>
      <c r="AA47" s="143">
        <f t="shared" si="5"/>
        <v>2120.1999999999998</v>
      </c>
      <c r="AB47" s="144">
        <f>IF(AA47=0,"",IFERROR(AA47/AA$19,""))</f>
        <v>0.12574021083220899</v>
      </c>
      <c r="AC47" s="140"/>
      <c r="AD47" s="143">
        <v>16433.945135999998</v>
      </c>
      <c r="AE47" s="144">
        <f>IF(AD47=0,"",IFERROR(AD47/AD$19,""))</f>
        <v>0.1704</v>
      </c>
      <c r="AF47" s="145">
        <f t="shared" si="6"/>
        <v>-14313.745135999998</v>
      </c>
      <c r="AG47" s="143">
        <v>5582</v>
      </c>
      <c r="AH47" s="144">
        <f>IF(AG47=0,"",IFERROR(AG47/AG$19,""))</f>
        <v>0.16117957344874045</v>
      </c>
      <c r="AI47" s="145">
        <f t="shared" si="7"/>
        <v>-3461.8</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v>547.20000000000005</v>
      </c>
      <c r="P48" s="217">
        <v>639</v>
      </c>
      <c r="Q48" s="217">
        <v>362</v>
      </c>
      <c r="R48" s="217"/>
      <c r="S48" s="217"/>
      <c r="T48" s="217"/>
      <c r="U48" s="217"/>
      <c r="V48" s="217"/>
      <c r="W48" s="217"/>
      <c r="X48" s="217"/>
      <c r="Y48" s="217"/>
      <c r="Z48" s="217"/>
      <c r="AA48" s="217">
        <f t="shared" si="5"/>
        <v>1548.2</v>
      </c>
      <c r="AB48" s="219">
        <f>IF(AA48=0,"",IFERROR(AA48/AA$19,""))</f>
        <v>9.1817278752205439E-2</v>
      </c>
      <c r="AC48" s="140"/>
      <c r="AD48" s="217">
        <v>18353.167602000001</v>
      </c>
      <c r="AE48" s="219">
        <f>IF(AD48=0,"",IFERROR(AD48/AD$19,""))</f>
        <v>0.19030000000000002</v>
      </c>
      <c r="AF48" s="220">
        <f t="shared" si="6"/>
        <v>-16804.967602000001</v>
      </c>
      <c r="AG48" s="217">
        <v>5149</v>
      </c>
      <c r="AH48" s="219">
        <f>IF(AG48=0,"",IFERROR(AG48/AG$19,""))</f>
        <v>0.14867675092933796</v>
      </c>
      <c r="AI48" s="220">
        <f t="shared" si="7"/>
        <v>-3600.8</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v>7588.6</v>
      </c>
      <c r="P49" s="166">
        <v>5589</v>
      </c>
      <c r="Q49" s="166">
        <v>3656.5</v>
      </c>
      <c r="R49" s="166"/>
      <c r="S49" s="166"/>
      <c r="T49" s="166"/>
      <c r="U49" s="166"/>
      <c r="V49" s="166"/>
      <c r="W49" s="166">
        <v>139</v>
      </c>
      <c r="X49" s="166"/>
      <c r="Y49" s="166"/>
      <c r="Z49" s="166"/>
      <c r="AA49" s="166">
        <f t="shared" si="5"/>
        <v>16973.099999999999</v>
      </c>
      <c r="AB49" s="167">
        <f>IF(AA49=0,"",IFERROR(AA49/AA$19,""))</f>
        <v>1.0066037036487909</v>
      </c>
      <c r="AC49" s="140"/>
      <c r="AD49" s="166">
        <v>96443.34</v>
      </c>
      <c r="AE49" s="167">
        <f>IF(AD49=0,"",IFERROR(AD49/AD$19,""))</f>
        <v>1</v>
      </c>
      <c r="AF49" s="168">
        <f t="shared" si="6"/>
        <v>-79470.239999999991</v>
      </c>
      <c r="AG49" s="166">
        <v>35437.199999999997</v>
      </c>
      <c r="AH49" s="167">
        <f>IF(AG49=0,"",IFERROR(AG49/AG$19,""))</f>
        <v>1.0232448549297213</v>
      </c>
      <c r="AI49" s="168">
        <f t="shared" si="7"/>
        <v>-18464.099999999999</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v>31</v>
      </c>
      <c r="P50" s="210">
        <v>15</v>
      </c>
      <c r="Q50" s="210">
        <v>9</v>
      </c>
      <c r="R50" s="210"/>
      <c r="S50" s="210"/>
      <c r="T50" s="210"/>
      <c r="U50" s="210"/>
      <c r="V50" s="210"/>
      <c r="W50" s="210"/>
      <c r="X50" s="210"/>
      <c r="Y50" s="210"/>
      <c r="Z50" s="210"/>
      <c r="AA50" s="210">
        <f t="shared" si="5"/>
        <v>55</v>
      </c>
      <c r="AB50" s="211"/>
      <c r="AC50" s="140"/>
      <c r="AD50" s="210">
        <v>366</v>
      </c>
      <c r="AE50" s="211"/>
      <c r="AF50" s="253">
        <f t="shared" si="6"/>
        <v>-311</v>
      </c>
      <c r="AG50" s="210">
        <v>223</v>
      </c>
      <c r="AH50" s="211"/>
      <c r="AI50" s="253">
        <f t="shared" si="7"/>
        <v>-168</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v>393</v>
      </c>
      <c r="P51" s="210">
        <v>309</v>
      </c>
      <c r="Q51" s="210">
        <v>204</v>
      </c>
      <c r="R51" s="210"/>
      <c r="S51" s="210"/>
      <c r="T51" s="210"/>
      <c r="U51" s="210"/>
      <c r="V51" s="210"/>
      <c r="W51" s="210"/>
      <c r="X51" s="210"/>
      <c r="Y51" s="210"/>
      <c r="Z51" s="210"/>
      <c r="AA51" s="210">
        <f t="shared" si="5"/>
        <v>906</v>
      </c>
      <c r="AB51" s="211">
        <f>IF(AA51=0,"",IFERROR(AA51/AA$87,""))</f>
        <v>1</v>
      </c>
      <c r="AC51" s="140"/>
      <c r="AD51" s="210">
        <v>5631</v>
      </c>
      <c r="AE51" s="211">
        <f>IF(AD51=0,"",IFERROR(AD51/AD$87,""))</f>
        <v>1</v>
      </c>
      <c r="AF51" s="253">
        <f t="shared" si="6"/>
        <v>-4725</v>
      </c>
      <c r="AG51" s="210">
        <v>2234</v>
      </c>
      <c r="AH51" s="211">
        <f>IF(AG51=0,"",IFERROR(AG51/AG$87,""))</f>
        <v>1</v>
      </c>
      <c r="AI51" s="253">
        <f t="shared" si="7"/>
        <v>-1328</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19.3094147582697</v>
      </c>
      <c r="P52" s="495">
        <v>18.087378640776699</v>
      </c>
      <c r="Q52" s="495">
        <v>17.9240196078431</v>
      </c>
      <c r="R52" s="495"/>
      <c r="S52" s="495"/>
      <c r="T52" s="495"/>
      <c r="U52" s="495"/>
      <c r="V52" s="495"/>
      <c r="W52" s="495"/>
      <c r="X52" s="495"/>
      <c r="Y52" s="495"/>
      <c r="Z52" s="495"/>
      <c r="AA52" s="495">
        <f>IFERROR(AA49/AA51,"")</f>
        <v>18.734105960264898</v>
      </c>
      <c r="AB52" s="495"/>
      <c r="AC52" s="140"/>
      <c r="AD52" s="495">
        <v>17.1272136387853</v>
      </c>
      <c r="AE52" s="495"/>
      <c r="AF52" s="496">
        <f t="shared" si="6"/>
        <v>1.6068923214795987</v>
      </c>
      <c r="AG52" s="495">
        <v>15.862667860340199</v>
      </c>
      <c r="AH52" s="495"/>
      <c r="AI52" s="496">
        <f t="shared" si="7"/>
        <v>2.8714380999246991</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19.309999999999999</v>
      </c>
      <c r="P53" s="498">
        <f t="shared" si="8"/>
        <v>18.09</v>
      </c>
      <c r="Q53" s="498">
        <f t="shared" si="8"/>
        <v>17.920000000000002</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18.73</v>
      </c>
      <c r="AB53" s="499"/>
      <c r="AC53" s="140"/>
      <c r="AD53" s="497">
        <f>ROUND(IFERROR(AD49/AD51,0),2)</f>
        <v>17.13</v>
      </c>
      <c r="AE53" s="498"/>
      <c r="AF53" s="159"/>
      <c r="AG53" s="497">
        <f>ROUND(IFERROR(AG49/AG51,0),2)</f>
        <v>15.86</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v>-24.89</v>
      </c>
      <c r="P83" s="143"/>
      <c r="Q83" s="143">
        <v>-17.11</v>
      </c>
      <c r="R83" s="143"/>
      <c r="S83" s="143"/>
      <c r="T83" s="143"/>
      <c r="U83" s="143"/>
      <c r="V83" s="143"/>
      <c r="W83" s="143">
        <v>-69.349999999999994</v>
      </c>
      <c r="X83" s="143"/>
      <c r="Y83" s="143"/>
      <c r="Z83" s="143"/>
      <c r="AA83" s="143">
        <f>SUM(O83:Z83)</f>
        <v>-111.35</v>
      </c>
      <c r="AB83" s="144">
        <f>IF(AA83=0,"",IFERROR(AA83/AA$19,""))</f>
        <v>-6.6037036487909019E-3</v>
      </c>
      <c r="AC83" s="140"/>
      <c r="AD83" s="143"/>
      <c r="AE83" s="144" t="str">
        <f>IF(AD83=0,"",IFERROR(AD83/AD$19,""))</f>
        <v/>
      </c>
      <c r="AF83" s="145">
        <f>IF(AND($AA83="",AD83=""),"",$AA83-AD83)</f>
        <v>-111.35</v>
      </c>
      <c r="AG83" s="143">
        <v>-805.44</v>
      </c>
      <c r="AH83" s="144">
        <f>IF(AG83=0,"",IFERROR(AG83/AG$19,""))</f>
        <v>-2.3256982378816467E-2</v>
      </c>
      <c r="AI83" s="145">
        <f>IF(AND($AA83="",AG83=""),"",$AA83-AG83)</f>
        <v>694.09</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7563.71</v>
      </c>
      <c r="P85" s="507">
        <v>5589</v>
      </c>
      <c r="Q85" s="507">
        <v>3639.39</v>
      </c>
      <c r="R85" s="507"/>
      <c r="S85" s="507"/>
      <c r="T85" s="507"/>
      <c r="U85" s="507"/>
      <c r="V85" s="507"/>
      <c r="W85" s="507">
        <v>69.650000000000006</v>
      </c>
      <c r="X85" s="507"/>
      <c r="Y85" s="507"/>
      <c r="Z85" s="507"/>
      <c r="AA85" s="507">
        <f>SUM(O85:Z85)</f>
        <v>16861.75</v>
      </c>
      <c r="AB85" s="508">
        <f>IF(AA85=0,"",IFERROR(AA85/AA$19,""))</f>
        <v>1</v>
      </c>
      <c r="AC85" s="140"/>
      <c r="AD85" s="507">
        <v>96443.34</v>
      </c>
      <c r="AE85" s="508">
        <f>IF(AD85=0,"",IFERROR(AD85/AD$19,""))</f>
        <v>1</v>
      </c>
      <c r="AF85" s="509">
        <f>IF(AND($AA85="",AD85=""),"",$AA85-AD85)</f>
        <v>-79581.59</v>
      </c>
      <c r="AG85" s="507">
        <v>34632.18</v>
      </c>
      <c r="AH85" s="508">
        <f>IF(AG85=0,"",IFERROR(AG85/AG$19,""))</f>
        <v>1</v>
      </c>
      <c r="AI85" s="509">
        <f>IF(AND($AA85="",AG85=""),"",$AA85-AG85)</f>
        <v>-17770.43</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393</v>
      </c>
      <c r="P87" s="507">
        <v>309</v>
      </c>
      <c r="Q87" s="507">
        <v>204</v>
      </c>
      <c r="R87" s="507"/>
      <c r="S87" s="507"/>
      <c r="T87" s="507"/>
      <c r="U87" s="507"/>
      <c r="V87" s="507"/>
      <c r="W87" s="507"/>
      <c r="X87" s="507"/>
      <c r="Y87" s="507"/>
      <c r="Z87" s="507"/>
      <c r="AA87" s="507">
        <f>SUM(O87:Z87)</f>
        <v>906</v>
      </c>
      <c r="AB87" s="508">
        <f>IF(AA87=0,"",IFERROR(AA87/AA$20,""))</f>
        <v>1</v>
      </c>
      <c r="AC87" s="140"/>
      <c r="AD87" s="507">
        <v>5631</v>
      </c>
      <c r="AE87" s="508">
        <f>IF(AD87=0,"",IFERROR(AD87/AD$20,""))</f>
        <v>1</v>
      </c>
      <c r="AF87" s="509">
        <f>IF(AND($AA87="",AD87=""),"",$AA87-AD87)</f>
        <v>-4725</v>
      </c>
      <c r="AG87" s="507">
        <v>2234</v>
      </c>
      <c r="AH87" s="508">
        <f>IF(AG87=0,"",IFERROR(AG87/AG$20,""))</f>
        <v>1</v>
      </c>
      <c r="AI87" s="509">
        <f>IF(AND($AA87="",AG87=""),"",$AA87-AG87)</f>
        <v>-1328</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19.246081424936399</v>
      </c>
      <c r="P88" s="495">
        <v>18.087378640776699</v>
      </c>
      <c r="Q88" s="495">
        <v>17.840147058823501</v>
      </c>
      <c r="R88" s="495"/>
      <c r="S88" s="495"/>
      <c r="T88" s="495"/>
      <c r="U88" s="495"/>
      <c r="V88" s="495"/>
      <c r="W88" s="495"/>
      <c r="X88" s="495"/>
      <c r="Y88" s="495"/>
      <c r="Z88" s="495"/>
      <c r="AA88" s="495">
        <f>IFERROR(AA85/AA87,"")</f>
        <v>18.611203090507725</v>
      </c>
      <c r="AB88" s="495"/>
      <c r="AC88" s="140"/>
      <c r="AD88" s="495">
        <v>17.1272136387853</v>
      </c>
      <c r="AE88" s="495"/>
      <c r="AF88" s="496">
        <f>IF(AND($AA88="",AD88=""),"",$AA88-AD88)</f>
        <v>1.4839894517224259</v>
      </c>
      <c r="AG88" s="495">
        <v>15.502318710832601</v>
      </c>
      <c r="AH88" s="495"/>
      <c r="AI88" s="496">
        <f>IF(AND($AA88="",AG88=""),"",$AA88-AG88)</f>
        <v>3.1088843796751249</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v>339</v>
      </c>
      <c r="AE91" s="144"/>
      <c r="AF91" s="145">
        <f>IF(AND($AA91="",AD91=""),"",$AA91-AD91)</f>
        <v>-339</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v>176</v>
      </c>
      <c r="P92" s="143">
        <v>98.5</v>
      </c>
      <c r="Q92" s="143"/>
      <c r="R92" s="143"/>
      <c r="S92" s="143"/>
      <c r="T92" s="143"/>
      <c r="U92" s="143"/>
      <c r="V92" s="143"/>
      <c r="W92" s="143"/>
      <c r="X92" s="143"/>
      <c r="Y92" s="143">
        <v>5.05</v>
      </c>
      <c r="Z92" s="143"/>
      <c r="AA92" s="143">
        <f>SUM(O92:Z92)</f>
        <v>279.55</v>
      </c>
      <c r="AB92" s="144"/>
      <c r="AC92" s="140"/>
      <c r="AD92" s="143">
        <v>4182.8571428569003</v>
      </c>
      <c r="AE92" s="144"/>
      <c r="AF92" s="145">
        <f>IF(AND($AA92="",AD92=""),"",$AA92-AD92)</f>
        <v>-3903.3071428569001</v>
      </c>
      <c r="AG92" s="143">
        <v>1352.87</v>
      </c>
      <c r="AH92" s="144"/>
      <c r="AI92" s="145">
        <f>IF(AND($AA92="",AG92=""),"",$AA92-AG92)</f>
        <v>-1073.32</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f>IFERROR(AD$87/AD91,"")</f>
        <v>16.610619469026549</v>
      </c>
      <c r="AE93" s="511"/>
      <c r="AF93" s="214" t="e">
        <f>IF(AND($AA93="",AD93=""),"",$AA93-AD93)</f>
        <v>#VALUE!</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f t="shared" ref="O94:AA94" si="26">IFERROR(O$87/O92,"")</f>
        <v>2.2329545454545454</v>
      </c>
      <c r="P94" s="510">
        <f t="shared" si="26"/>
        <v>3.1370558375634516</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f t="shared" si="26"/>
        <v>0</v>
      </c>
      <c r="Z94" s="510" t="str">
        <f t="shared" si="26"/>
        <v/>
      </c>
      <c r="AA94" s="510">
        <f t="shared" si="26"/>
        <v>3.240922911822572</v>
      </c>
      <c r="AB94" s="511"/>
      <c r="AC94" s="140"/>
      <c r="AD94" s="510">
        <f>IFERROR(AD$87/AD92,"")</f>
        <v>1.3462090163935208</v>
      </c>
      <c r="AE94" s="511"/>
      <c r="AF94" s="214">
        <f>IF(AND($AA94="",AD94=""),"",$AA94-AD94)</f>
        <v>1.8947138954290512</v>
      </c>
      <c r="AG94" s="510">
        <f>IFERROR(AG$87/AG92,"")</f>
        <v>1.651304264267816</v>
      </c>
      <c r="AH94" s="511"/>
      <c r="AI94" s="214">
        <f>IF(AND($AA94="",AG94=""),"",$AA94-AG94)</f>
        <v>1.589618647554756</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v>3080</v>
      </c>
      <c r="P99" s="143">
        <v>2547</v>
      </c>
      <c r="Q99" s="143">
        <v>1267</v>
      </c>
      <c r="R99" s="143"/>
      <c r="S99" s="143"/>
      <c r="T99" s="143"/>
      <c r="U99" s="143"/>
      <c r="V99" s="143"/>
      <c r="W99" s="143">
        <v>39</v>
      </c>
      <c r="X99" s="143"/>
      <c r="Y99" s="143"/>
      <c r="Z99" s="143"/>
      <c r="AA99" s="143">
        <f t="shared" si="27"/>
        <v>6933</v>
      </c>
      <c r="AB99" s="144">
        <f t="shared" si="28"/>
        <v>0.41116728690675641</v>
      </c>
      <c r="AC99" s="140"/>
      <c r="AD99" s="143">
        <v>52378.377954000003</v>
      </c>
      <c r="AE99" s="144">
        <f t="shared" si="29"/>
        <v>0.54310000000000003</v>
      </c>
      <c r="AF99" s="145">
        <f t="shared" si="30"/>
        <v>-45445.377954000003</v>
      </c>
      <c r="AG99" s="143">
        <v>17861.2</v>
      </c>
      <c r="AH99" s="144">
        <f t="shared" si="31"/>
        <v>0.51573998518141217</v>
      </c>
      <c r="AI99" s="145">
        <f t="shared" si="32"/>
        <v>-10928.2</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v>3080</v>
      </c>
      <c r="P103" s="166">
        <v>2547</v>
      </c>
      <c r="Q103" s="166">
        <v>1267</v>
      </c>
      <c r="R103" s="166"/>
      <c r="S103" s="166"/>
      <c r="T103" s="166"/>
      <c r="U103" s="166"/>
      <c r="V103" s="166"/>
      <c r="W103" s="166">
        <v>39</v>
      </c>
      <c r="X103" s="166"/>
      <c r="Y103" s="166"/>
      <c r="Z103" s="166"/>
      <c r="AA103" s="166">
        <f t="shared" si="27"/>
        <v>6933</v>
      </c>
      <c r="AB103" s="167">
        <f t="shared" si="28"/>
        <v>0.41116728690675641</v>
      </c>
      <c r="AC103" s="140"/>
      <c r="AD103" s="166">
        <v>52378.377954000003</v>
      </c>
      <c r="AE103" s="167">
        <f t="shared" si="29"/>
        <v>0.54310000000000003</v>
      </c>
      <c r="AF103" s="168">
        <f t="shared" si="30"/>
        <v>-45445.377954000003</v>
      </c>
      <c r="AG103" s="166">
        <v>17861.2</v>
      </c>
      <c r="AH103" s="167">
        <f t="shared" si="31"/>
        <v>0.51573998518141217</v>
      </c>
      <c r="AI103" s="168">
        <f t="shared" si="32"/>
        <v>-10928.2</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v>830.2</v>
      </c>
      <c r="P107" s="143">
        <v>604</v>
      </c>
      <c r="Q107" s="143">
        <v>679</v>
      </c>
      <c r="R107" s="143"/>
      <c r="S107" s="143"/>
      <c r="T107" s="143"/>
      <c r="U107" s="143"/>
      <c r="V107" s="143"/>
      <c r="W107" s="143">
        <v>7</v>
      </c>
      <c r="X107" s="143"/>
      <c r="Y107" s="143"/>
      <c r="Z107" s="143"/>
      <c r="AA107" s="143">
        <f t="shared" si="33"/>
        <v>2120.1999999999998</v>
      </c>
      <c r="AB107" s="144">
        <f t="shared" si="34"/>
        <v>0.12574021083220899</v>
      </c>
      <c r="AC107" s="140"/>
      <c r="AD107" s="143">
        <v>16433.945135999998</v>
      </c>
      <c r="AE107" s="144">
        <f t="shared" si="35"/>
        <v>0.1704</v>
      </c>
      <c r="AF107" s="145">
        <f t="shared" si="36"/>
        <v>-14313.745135999998</v>
      </c>
      <c r="AG107" s="143">
        <v>5582</v>
      </c>
      <c r="AH107" s="144">
        <f t="shared" si="37"/>
        <v>0.16117957344874045</v>
      </c>
      <c r="AI107" s="145">
        <f t="shared" si="38"/>
        <v>-3461.8</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v>830.2</v>
      </c>
      <c r="P111" s="166">
        <v>604</v>
      </c>
      <c r="Q111" s="166">
        <v>679</v>
      </c>
      <c r="R111" s="166"/>
      <c r="S111" s="166"/>
      <c r="T111" s="166"/>
      <c r="U111" s="166"/>
      <c r="V111" s="166"/>
      <c r="W111" s="166">
        <v>7</v>
      </c>
      <c r="X111" s="166"/>
      <c r="Y111" s="166"/>
      <c r="Z111" s="166"/>
      <c r="AA111" s="166">
        <f t="shared" si="33"/>
        <v>2120.1999999999998</v>
      </c>
      <c r="AB111" s="167">
        <f t="shared" si="34"/>
        <v>0.12574021083220899</v>
      </c>
      <c r="AC111" s="140"/>
      <c r="AD111" s="166">
        <v>16433.945135999998</v>
      </c>
      <c r="AE111" s="167">
        <f t="shared" si="35"/>
        <v>0.1704</v>
      </c>
      <c r="AF111" s="168">
        <f t="shared" si="36"/>
        <v>-14313.745135999998</v>
      </c>
      <c r="AG111" s="166">
        <v>5582</v>
      </c>
      <c r="AH111" s="167">
        <f t="shared" si="37"/>
        <v>0.16117957344874045</v>
      </c>
      <c r="AI111" s="168">
        <f t="shared" si="38"/>
        <v>-3461.8</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v>547.20000000000005</v>
      </c>
      <c r="P115" s="143">
        <v>639</v>
      </c>
      <c r="Q115" s="143">
        <v>362</v>
      </c>
      <c r="R115" s="143"/>
      <c r="S115" s="143"/>
      <c r="T115" s="143"/>
      <c r="U115" s="143"/>
      <c r="V115" s="143"/>
      <c r="W115" s="143"/>
      <c r="X115" s="143"/>
      <c r="Y115" s="143"/>
      <c r="Z115" s="143"/>
      <c r="AA115" s="143">
        <f t="shared" si="39"/>
        <v>1548.2</v>
      </c>
      <c r="AB115" s="144">
        <f t="shared" si="40"/>
        <v>9.1817278752205439E-2</v>
      </c>
      <c r="AC115" s="140"/>
      <c r="AD115" s="143">
        <v>18353.167602000001</v>
      </c>
      <c r="AE115" s="144">
        <f t="shared" si="41"/>
        <v>0.19030000000000002</v>
      </c>
      <c r="AF115" s="145">
        <f t="shared" si="42"/>
        <v>-16804.967602000001</v>
      </c>
      <c r="AG115" s="143">
        <v>5149</v>
      </c>
      <c r="AH115" s="144">
        <f t="shared" si="43"/>
        <v>0.14867675092933796</v>
      </c>
      <c r="AI115" s="145">
        <f t="shared" si="44"/>
        <v>-3600.8</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v>547.20000000000005</v>
      </c>
      <c r="P119" s="166">
        <v>639</v>
      </c>
      <c r="Q119" s="166">
        <v>362</v>
      </c>
      <c r="R119" s="166"/>
      <c r="S119" s="166"/>
      <c r="T119" s="166"/>
      <c r="U119" s="166"/>
      <c r="V119" s="166"/>
      <c r="W119" s="166"/>
      <c r="X119" s="166"/>
      <c r="Y119" s="166"/>
      <c r="Z119" s="166"/>
      <c r="AA119" s="166">
        <f t="shared" si="39"/>
        <v>1548.2</v>
      </c>
      <c r="AB119" s="167">
        <f t="shared" si="40"/>
        <v>9.1817278752205439E-2</v>
      </c>
      <c r="AC119" s="140"/>
      <c r="AD119" s="166">
        <v>18353.167602000001</v>
      </c>
      <c r="AE119" s="167">
        <f t="shared" si="41"/>
        <v>0.19030000000000002</v>
      </c>
      <c r="AF119" s="168">
        <f t="shared" si="42"/>
        <v>-16804.967602000001</v>
      </c>
      <c r="AG119" s="166">
        <v>5149</v>
      </c>
      <c r="AH119" s="167">
        <f t="shared" si="43"/>
        <v>0.14867675092933796</v>
      </c>
      <c r="AI119" s="168">
        <f t="shared" si="44"/>
        <v>-3600.8</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4457.3999999999996</v>
      </c>
      <c r="P122" s="143">
        <f t="shared" si="52"/>
        <v>3790</v>
      </c>
      <c r="Q122" s="143">
        <f t="shared" si="52"/>
        <v>2308</v>
      </c>
      <c r="R122" s="143">
        <f t="shared" si="52"/>
        <v>0</v>
      </c>
      <c r="S122" s="143">
        <f t="shared" si="52"/>
        <v>0</v>
      </c>
      <c r="T122" s="143">
        <f t="shared" si="52"/>
        <v>0</v>
      </c>
      <c r="U122" s="143">
        <f t="shared" si="52"/>
        <v>0</v>
      </c>
      <c r="V122" s="143">
        <f t="shared" si="52"/>
        <v>0</v>
      </c>
      <c r="W122" s="143">
        <f t="shared" si="52"/>
        <v>46</v>
      </c>
      <c r="X122" s="143">
        <f t="shared" si="52"/>
        <v>0</v>
      </c>
      <c r="Y122" s="143">
        <f t="shared" si="52"/>
        <v>0</v>
      </c>
      <c r="Z122" s="143">
        <f t="shared" si="52"/>
        <v>0</v>
      </c>
      <c r="AA122" s="143">
        <f t="shared" si="46"/>
        <v>10601.4</v>
      </c>
      <c r="AB122" s="144">
        <f t="shared" si="47"/>
        <v>0.62872477649117087</v>
      </c>
      <c r="AC122" s="140"/>
      <c r="AD122" s="143">
        <f>AD99+AD107+AD115</f>
        <v>87165.490692000007</v>
      </c>
      <c r="AE122" s="144">
        <f t="shared" si="48"/>
        <v>0.90380000000000005</v>
      </c>
      <c r="AF122" s="145">
        <f t="shared" si="49"/>
        <v>-76564.090692000012</v>
      </c>
      <c r="AG122" s="143">
        <f>AG99+AG107+AG115</f>
        <v>28592.2</v>
      </c>
      <c r="AH122" s="144">
        <f t="shared" si="50"/>
        <v>0.82559630955949059</v>
      </c>
      <c r="AI122" s="145">
        <f t="shared" si="51"/>
        <v>-17990.800000000003</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4457.3999999999996</v>
      </c>
      <c r="P126" s="166">
        <f t="shared" si="56"/>
        <v>3790</v>
      </c>
      <c r="Q126" s="166">
        <f t="shared" si="56"/>
        <v>2308</v>
      </c>
      <c r="R126" s="166">
        <f t="shared" si="56"/>
        <v>0</v>
      </c>
      <c r="S126" s="166">
        <f t="shared" si="56"/>
        <v>0</v>
      </c>
      <c r="T126" s="166">
        <f t="shared" si="56"/>
        <v>0</v>
      </c>
      <c r="U126" s="166">
        <f t="shared" si="56"/>
        <v>0</v>
      </c>
      <c r="V126" s="166">
        <f t="shared" si="56"/>
        <v>0</v>
      </c>
      <c r="W126" s="166">
        <f t="shared" si="56"/>
        <v>46</v>
      </c>
      <c r="X126" s="166">
        <f t="shared" si="56"/>
        <v>0</v>
      </c>
      <c r="Y126" s="166">
        <f t="shared" si="56"/>
        <v>0</v>
      </c>
      <c r="Z126" s="166">
        <f t="shared" si="56"/>
        <v>0</v>
      </c>
      <c r="AA126" s="166">
        <f t="shared" si="46"/>
        <v>10601.4</v>
      </c>
      <c r="AB126" s="167">
        <f t="shared" si="47"/>
        <v>0.62872477649117087</v>
      </c>
      <c r="AC126" s="140"/>
      <c r="AD126" s="166">
        <f>SUM(AD121:AD125)</f>
        <v>87165.490692000007</v>
      </c>
      <c r="AE126" s="167">
        <f t="shared" si="48"/>
        <v>0.90380000000000005</v>
      </c>
      <c r="AF126" s="168">
        <f t="shared" si="49"/>
        <v>-76564.090692000012</v>
      </c>
      <c r="AG126" s="166">
        <f>SUM(AG121:AG125)</f>
        <v>28592.2</v>
      </c>
      <c r="AH126" s="167">
        <f t="shared" si="50"/>
        <v>0.82559630955949059</v>
      </c>
      <c r="AI126" s="168">
        <f t="shared" si="51"/>
        <v>-17990.800000000003</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v>870.42</v>
      </c>
      <c r="P130" s="143">
        <v>500.12</v>
      </c>
      <c r="Q130" s="143">
        <v>375.02</v>
      </c>
      <c r="R130" s="143"/>
      <c r="S130" s="143"/>
      <c r="T130" s="143"/>
      <c r="U130" s="143"/>
      <c r="V130" s="143"/>
      <c r="W130" s="143"/>
      <c r="X130" s="143"/>
      <c r="Y130" s="143"/>
      <c r="Z130" s="143"/>
      <c r="AA130" s="143">
        <f>SUM(O130:Z130)</f>
        <v>1745.56</v>
      </c>
      <c r="AB130" s="436">
        <f>IF(_epmOfflineCondition_,0.273955145408604,IF(AA130=0,"",IFERROR(AA130/_xll.EVGTS($B$1,1,_xll.EVPRO($B$1,$H130,"COSBASIS"),$B$3,$B$5,$B$6,$B$7,$B$9,AA$16,AA$17,AA$11),"")))</f>
        <v>0.27395514540860399</v>
      </c>
      <c r="AC130" s="140"/>
      <c r="AD130" s="143">
        <v>2579.2399999999998</v>
      </c>
      <c r="AE130" s="436">
        <f>IF(_epmOfflineCondition_,0.277999772832698,IF(AD130=0,"",IFERROR(AD130/_xll.EVGTS($B$1,1,_xll.EVPRO($B$1,$H130,"COSBASIS"),$B$3,$B$5,$B$6,$B$7,$B$9,AD$16,AD$17,AD$18),"")))</f>
        <v>0.277999772832698</v>
      </c>
      <c r="AF130" s="145">
        <f t="shared" ref="AF130:AF141" si="58">IF(AND($AA130="",AD130=""),"",$AA130-AD130)</f>
        <v>-833.67999999999984</v>
      </c>
      <c r="AG130" s="143">
        <v>1657.59</v>
      </c>
      <c r="AH130" s="436">
        <f>IF(_epmOfflineCondition_,0.242145843498281,IF(AG130=0,"",IFERROR(AG130/_xll.EVGTS($B$1,1,_xll.EVPRO($B$1,$H130,"COSBASIS"),$B$3,$B$5,$B$6,$B$7,$B$9,AG$16,AG$17,AG$18),"")))</f>
        <v>0.242145843498281</v>
      </c>
      <c r="AI130" s="145">
        <f t="shared" ref="AI130:AI141" si="59">IF(AND($AA130="",AG130=""),"",$AA130-AG130)</f>
        <v>87.970000000000027</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0.27798288196218701</v>
      </c>
      <c r="P131" s="508">
        <v>0.27799888827126201</v>
      </c>
      <c r="Q131" s="508">
        <v>0.27810159436410797</v>
      </c>
      <c r="R131" s="508"/>
      <c r="S131" s="508"/>
      <c r="T131" s="508"/>
      <c r="U131" s="508"/>
      <c r="V131" s="508"/>
      <c r="W131" s="508"/>
      <c r="X131" s="508"/>
      <c r="Y131" s="508"/>
      <c r="Z131" s="508"/>
      <c r="AA131" s="508">
        <v>0.27395514540860399</v>
      </c>
      <c r="AB131" s="436"/>
      <c r="AC131" s="140"/>
      <c r="AD131" s="508">
        <v>0.277999772832698</v>
      </c>
      <c r="AE131" s="436"/>
      <c r="AF131" s="521">
        <f t="shared" si="58"/>
        <v>-4.044627424094005E-3</v>
      </c>
      <c r="AG131" s="508">
        <v>0.242145843498281</v>
      </c>
      <c r="AH131" s="436"/>
      <c r="AI131" s="521">
        <f t="shared" si="59"/>
        <v>3.1809301910322996E-2</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v>881.57</v>
      </c>
      <c r="P132" s="143">
        <v>748.12</v>
      </c>
      <c r="Q132" s="143">
        <v>460.25</v>
      </c>
      <c r="R132" s="143"/>
      <c r="S132" s="143"/>
      <c r="T132" s="143"/>
      <c r="U132" s="143"/>
      <c r="V132" s="143"/>
      <c r="W132" s="143"/>
      <c r="X132" s="143"/>
      <c r="Y132" s="143"/>
      <c r="Z132" s="143"/>
      <c r="AA132" s="143">
        <f>SUM(O132:Z132)</f>
        <v>2089.94</v>
      </c>
      <c r="AB132" s="436">
        <f>IF(_epmOfflineCondition_,0.197138113834022,IF(AA132=0,"",IFERROR(AA132/_xll.EVGTS($B$1,1,_xll.EVPRO($B$1,$H132,"COSBASIS"),$B$3,$B$5,$B$6,$B$7,$B$9,AA$16,AA$17,AA$11),"")))</f>
        <v>0.19713811383402199</v>
      </c>
      <c r="AC132" s="140"/>
      <c r="AD132" s="143">
        <v>17243.8</v>
      </c>
      <c r="AE132" s="436">
        <f>IF(_epmOfflineCondition_,0.197828290337183,IF(AD132=0,"",IFERROR(AD132/_xll.EVGTS($B$1,1,_xll.EVPRO($B$1,$H132,"COSBASIS"),$B$3,$B$5,$B$6,$B$7,$B$9,AD$16,AD$17,AD$18),"")))</f>
        <v>0.19782829033718299</v>
      </c>
      <c r="AF132" s="145">
        <f t="shared" si="58"/>
        <v>-15153.859999999999</v>
      </c>
      <c r="AG132" s="143">
        <v>5659.33</v>
      </c>
      <c r="AH132" s="436">
        <f>IF(_epmOfflineCondition_,0.197932652961297,IF(AG132=0,"",IFERROR(AG132/_xll.EVGTS($B$1,1,_xll.EVPRO($B$1,$H132,"COSBASIS"),$B$3,$B$5,$B$6,$B$7,$B$9,AG$16,AG$17,AG$18),"")))</f>
        <v>0.197932652961297</v>
      </c>
      <c r="AI132" s="145">
        <f t="shared" si="59"/>
        <v>-3569.39</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0.19777673082963201</v>
      </c>
      <c r="P133" s="508">
        <v>0.19739313984168899</v>
      </c>
      <c r="Q133" s="508">
        <v>0.19941507798960101</v>
      </c>
      <c r="R133" s="508"/>
      <c r="S133" s="508"/>
      <c r="T133" s="508"/>
      <c r="U133" s="508"/>
      <c r="V133" s="508"/>
      <c r="W133" s="508"/>
      <c r="X133" s="508"/>
      <c r="Y133" s="508"/>
      <c r="Z133" s="508"/>
      <c r="AA133" s="508">
        <v>0.19713811383402199</v>
      </c>
      <c r="AB133" s="436"/>
      <c r="AC133" s="140"/>
      <c r="AD133" s="508">
        <v>0.19782829033718299</v>
      </c>
      <c r="AE133" s="436"/>
      <c r="AF133" s="521">
        <f t="shared" si="58"/>
        <v>-6.9017650316099965E-4</v>
      </c>
      <c r="AG133" s="508">
        <v>0.197932652961297</v>
      </c>
      <c r="AH133" s="436"/>
      <c r="AI133" s="521">
        <f t="shared" si="59"/>
        <v>-7.9453912727500686E-4</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v>600.6</v>
      </c>
      <c r="P134" s="143">
        <v>496.67</v>
      </c>
      <c r="Q134" s="143">
        <v>247.07</v>
      </c>
      <c r="R134" s="143"/>
      <c r="S134" s="143"/>
      <c r="T134" s="143"/>
      <c r="U134" s="143"/>
      <c r="V134" s="143"/>
      <c r="W134" s="143"/>
      <c r="X134" s="143"/>
      <c r="Y134" s="143"/>
      <c r="Z134" s="143"/>
      <c r="AA134" s="143">
        <f>SUM(O134:Z134)</f>
        <v>1344.34</v>
      </c>
      <c r="AB134" s="436">
        <f>IF(_epmOfflineCondition_,0.193904514640127,IF(AA134=0,"",IFERROR(AA134/_xll.EVGTS($B$1,1,_xll.EVPRO($B$1,$H134,"COSBASIS"),$B$3,$B$5,$B$6,$B$7,$B$9,AA$16,AA$17,AA$11),"")))</f>
        <v>0.19390451464012701</v>
      </c>
      <c r="AC134" s="140"/>
      <c r="AD134" s="143">
        <v>10213.790000000001</v>
      </c>
      <c r="AE134" s="436">
        <f>IF(_epmOfflineCondition_,0.195000120258974,IF(AD134=0,"",IFERROR(AD134/_xll.EVGTS($B$1,1,_xll.EVPRO($B$1,$H134,"COSBASIS"),$B$3,$B$5,$B$6,$B$7,$B$9,AD$16,AD$17,AD$18),"")))</f>
        <v>0.19500012025897401</v>
      </c>
      <c r="AF134" s="145">
        <f t="shared" si="58"/>
        <v>-8869.4500000000007</v>
      </c>
      <c r="AG134" s="143">
        <v>3484.86</v>
      </c>
      <c r="AH134" s="436">
        <f>IF(_epmOfflineCondition_,0.195107831500683,IF(AG134=0,"",IFERROR(AG134/_xll.EVGTS($B$1,1,_xll.EVPRO($B$1,$H134,"COSBASIS"),$B$3,$B$5,$B$6,$B$7,$B$9,AG$16,AG$17,AG$18),"")))</f>
        <v>0.195107831500683</v>
      </c>
      <c r="AI134" s="145">
        <f t="shared" si="59"/>
        <v>-2140.5200000000004</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0.19500000000000001</v>
      </c>
      <c r="P135" s="508">
        <v>0.19500196309383599</v>
      </c>
      <c r="Q135" s="508">
        <v>0.195003946329913</v>
      </c>
      <c r="R135" s="508"/>
      <c r="S135" s="508"/>
      <c r="T135" s="508"/>
      <c r="U135" s="508"/>
      <c r="V135" s="508"/>
      <c r="W135" s="508"/>
      <c r="X135" s="508"/>
      <c r="Y135" s="508"/>
      <c r="Z135" s="508"/>
      <c r="AA135" s="508">
        <v>0.19390451464012701</v>
      </c>
      <c r="AB135" s="436"/>
      <c r="AC135" s="140"/>
      <c r="AD135" s="508">
        <v>0.19500012025897401</v>
      </c>
      <c r="AE135" s="436"/>
      <c r="AF135" s="521">
        <f t="shared" si="58"/>
        <v>-1.0956056188470009E-3</v>
      </c>
      <c r="AG135" s="508">
        <v>0.195107831500683</v>
      </c>
      <c r="AH135" s="436"/>
      <c r="AI135" s="521">
        <f t="shared" si="59"/>
        <v>-1.2033168605559974E-3</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v>174.3</v>
      </c>
      <c r="P136" s="143">
        <v>126.84</v>
      </c>
      <c r="Q136" s="143">
        <v>142.59</v>
      </c>
      <c r="R136" s="143"/>
      <c r="S136" s="143"/>
      <c r="T136" s="143"/>
      <c r="U136" s="143"/>
      <c r="V136" s="143"/>
      <c r="W136" s="143"/>
      <c r="X136" s="143"/>
      <c r="Y136" s="143"/>
      <c r="Z136" s="143"/>
      <c r="AA136" s="143">
        <f>SUM(O136:Z136)</f>
        <v>443.73</v>
      </c>
      <c r="AB136" s="436">
        <f>IF(_epmOfflineCondition_,0.209286859730214,IF(AA136=0,"",IFERROR(AA136/_xll.EVGTS($B$1,1,_xll.EVPRO($B$1,$H136,"COSBASIS"),$B$3,$B$5,$B$6,$B$7,$B$9,AA$16,AA$17,AA$11),"")))</f>
        <v>0.20928685973021399</v>
      </c>
      <c r="AC136" s="140"/>
      <c r="AD136" s="143">
        <v>3451.14</v>
      </c>
      <c r="AE136" s="436">
        <f>IF(_epmOfflineCondition_,0.210000701075725,IF(AD136=0,"",IFERROR(AD136/_xll.EVGTS($B$1,1,_xll.EVPRO($B$1,$H136,"COSBASIS"),$B$3,$B$5,$B$6,$B$7,$B$9,AD$16,AD$17,AD$18),"")))</f>
        <v>0.21000070107572499</v>
      </c>
      <c r="AF136" s="145">
        <f t="shared" si="58"/>
        <v>-3007.41</v>
      </c>
      <c r="AG136" s="143">
        <v>1172.04</v>
      </c>
      <c r="AH136" s="436">
        <f>IF(_epmOfflineCondition_,0.209967753493372,IF(AG136=0,"",IFERROR(AG136/_xll.EVGTS($B$1,1,_xll.EVPRO($B$1,$H136,"COSBASIS"),$B$3,$B$5,$B$6,$B$7,$B$9,AG$16,AG$17,AG$18),"")))</f>
        <v>0.20996775349337199</v>
      </c>
      <c r="AI136" s="145">
        <f t="shared" si="59"/>
        <v>-728.31</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0.209949409780776</v>
      </c>
      <c r="P137" s="508">
        <v>0.21</v>
      </c>
      <c r="Q137" s="508">
        <v>0.21</v>
      </c>
      <c r="R137" s="508"/>
      <c r="S137" s="508"/>
      <c r="T137" s="508"/>
      <c r="U137" s="508"/>
      <c r="V137" s="508"/>
      <c r="W137" s="508"/>
      <c r="X137" s="508"/>
      <c r="Y137" s="508"/>
      <c r="Z137" s="508"/>
      <c r="AA137" s="508">
        <v>0.20928685973021399</v>
      </c>
      <c r="AB137" s="436"/>
      <c r="AC137" s="140"/>
      <c r="AD137" s="508">
        <v>0.21000070107572499</v>
      </c>
      <c r="AE137" s="436"/>
      <c r="AF137" s="521">
        <f t="shared" si="58"/>
        <v>-7.1384134551100153E-4</v>
      </c>
      <c r="AG137" s="508">
        <v>0.20996775349337199</v>
      </c>
      <c r="AH137" s="436"/>
      <c r="AI137" s="521">
        <f t="shared" si="59"/>
        <v>-6.8089376315799699E-4</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v>106.67</v>
      </c>
      <c r="P138" s="143">
        <v>124.61</v>
      </c>
      <c r="Q138" s="143">
        <v>70.59</v>
      </c>
      <c r="R138" s="143"/>
      <c r="S138" s="143"/>
      <c r="T138" s="143"/>
      <c r="U138" s="143"/>
      <c r="V138" s="143"/>
      <c r="W138" s="143"/>
      <c r="X138" s="143"/>
      <c r="Y138" s="143"/>
      <c r="Z138" s="143"/>
      <c r="AA138" s="143">
        <f>SUM(O138:Z138)</f>
        <v>301.87</v>
      </c>
      <c r="AB138" s="436">
        <f>IF(_epmOfflineCondition_,0.194981268569952,IF(AA138=0,"",IFERROR(AA138/_xll.EVGTS($B$1,1,_xll.EVPRO($B$1,$H138,"COSBASIS"),$B$3,$B$5,$B$6,$B$7,$B$9,AA$16,AA$17,AA$11),"")))</f>
        <v>0.19498126856995199</v>
      </c>
      <c r="AC138" s="140"/>
      <c r="AD138" s="143">
        <v>3578.87</v>
      </c>
      <c r="AE138" s="436">
        <f>IF(_epmOfflineCondition_,0.195000126278474,IF(AD138=0,"",IFERROR(AD138/_xll.EVGTS($B$1,1,_xll.EVPRO($B$1,$H138,"COSBASIS"),$B$3,$B$5,$B$6,$B$7,$B$9,AD$16,AD$17,AD$18),"")))</f>
        <v>0.19500012627847399</v>
      </c>
      <c r="AF138" s="145">
        <f t="shared" si="58"/>
        <v>-3277</v>
      </c>
      <c r="AG138" s="143">
        <v>1002.43</v>
      </c>
      <c r="AH138" s="436">
        <f>IF(_epmOfflineCondition_,0.194684404738784,IF(AG138=0,"",IFERROR(AG138/_xll.EVGTS($B$1,1,_xll.EVPRO($B$1,$H138,"COSBASIS"),$B$3,$B$5,$B$6,$B$7,$B$9,AG$16,AG$17,AG$18),"")))</f>
        <v>0.19468440473878401</v>
      </c>
      <c r="AI138" s="145">
        <f t="shared" si="59"/>
        <v>-700.56</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0.19493786549707601</v>
      </c>
      <c r="P139" s="508">
        <v>0.19500782472613501</v>
      </c>
      <c r="Q139" s="508">
        <v>0.19500000000000001</v>
      </c>
      <c r="R139" s="508"/>
      <c r="S139" s="508"/>
      <c r="T139" s="508"/>
      <c r="U139" s="508"/>
      <c r="V139" s="508"/>
      <c r="W139" s="508"/>
      <c r="X139" s="508"/>
      <c r="Y139" s="508"/>
      <c r="Z139" s="508"/>
      <c r="AA139" s="508">
        <v>0.19498126856995199</v>
      </c>
      <c r="AB139" s="436"/>
      <c r="AC139" s="140"/>
      <c r="AD139" s="508">
        <v>0.19500012627847399</v>
      </c>
      <c r="AE139" s="436"/>
      <c r="AF139" s="521">
        <f t="shared" si="58"/>
        <v>-1.8857708522002081E-5</v>
      </c>
      <c r="AG139" s="508">
        <v>0.19468440473878401</v>
      </c>
      <c r="AH139" s="436"/>
      <c r="AI139" s="521">
        <f t="shared" si="59"/>
        <v>2.968638311679761E-4</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v>1751.99</v>
      </c>
      <c r="P140" s="143">
        <v>1248.24</v>
      </c>
      <c r="Q140" s="143">
        <v>835.27</v>
      </c>
      <c r="R140" s="143"/>
      <c r="S140" s="143"/>
      <c r="T140" s="143"/>
      <c r="U140" s="143"/>
      <c r="V140" s="143"/>
      <c r="W140" s="143"/>
      <c r="X140" s="143"/>
      <c r="Y140" s="143"/>
      <c r="Z140" s="143"/>
      <c r="AA140" s="143">
        <f>SUM(O140:Z140)</f>
        <v>3835.5</v>
      </c>
      <c r="AB140" s="436">
        <f>IF(_epmOfflineCondition_,0.227467492994499,IF(AA140=0,"",IFERROR(AA140/_xll.EVGTS($B$1,1,_xll.EVPRO($B$1,$H140,"COSBASIS"),$B$3,$B$5,$B$6,$B$7,$B$9,AA$16,AA$17,AA$11),"")))</f>
        <v>0.227467492994499</v>
      </c>
      <c r="AC140" s="140"/>
      <c r="AD140" s="143">
        <v>19823.04</v>
      </c>
      <c r="AE140" s="436">
        <f>IF(_epmOfflineCondition_,0.205540786953252,IF(AD140=0,"",IFERROR(AD140/_xll.EVGTS($B$1,1,_xll.EVPRO($B$1,$H140,"COSBASIS"),$B$3,$B$5,$B$6,$B$7,$B$9,AD$16,AD$17,AD$18),"")))</f>
        <v>0.20554078695325201</v>
      </c>
      <c r="AF140" s="145">
        <f t="shared" si="58"/>
        <v>-15987.54</v>
      </c>
      <c r="AG140" s="143">
        <v>7316.92</v>
      </c>
      <c r="AH140" s="436">
        <f>IF(_epmOfflineCondition_,0.21127517817244,IF(AG140=0,"",IFERROR(AG140/_xll.EVGTS($B$1,1,_xll.EVPRO($B$1,$H140,"COSBASIS"),$B$3,$B$5,$B$6,$B$7,$B$9,AG$16,AG$17,AG$18),"")))</f>
        <v>0.21127517817243999</v>
      </c>
      <c r="AI140" s="145">
        <f t="shared" si="59"/>
        <v>-3481.42</v>
      </c>
    </row>
    <row r="141" spans="1:35" x14ac:dyDescent="0.35">
      <c r="A141" s="11"/>
      <c r="B141" s="11"/>
      <c r="C141" s="208"/>
      <c r="D141" s="11"/>
      <c r="E141" s="11"/>
      <c r="F141" s="11"/>
      <c r="G141" s="11"/>
      <c r="H141" s="185"/>
      <c r="I141" s="122"/>
      <c r="J141" s="122"/>
      <c r="K141" s="11"/>
      <c r="L141" s="90"/>
      <c r="M141" s="90"/>
      <c r="N141" s="493" t="s">
        <v>762</v>
      </c>
      <c r="O141" s="508">
        <f t="shared" ref="O141:AA141" si="60">IFERROR(O140/O85,"")</f>
        <v>0.23163103820744052</v>
      </c>
      <c r="P141" s="508">
        <f t="shared" si="60"/>
        <v>0.22333870101986045</v>
      </c>
      <c r="Q141" s="508">
        <f t="shared" si="60"/>
        <v>0.22950824176579043</v>
      </c>
      <c r="R141" s="508" t="str">
        <f t="shared" si="60"/>
        <v/>
      </c>
      <c r="S141" s="508" t="str">
        <f t="shared" si="60"/>
        <v/>
      </c>
      <c r="T141" s="508" t="str">
        <f t="shared" si="60"/>
        <v/>
      </c>
      <c r="U141" s="508" t="str">
        <f t="shared" si="60"/>
        <v/>
      </c>
      <c r="V141" s="508" t="str">
        <f t="shared" si="60"/>
        <v/>
      </c>
      <c r="W141" s="508">
        <f t="shared" si="60"/>
        <v>0</v>
      </c>
      <c r="X141" s="508" t="str">
        <f t="shared" si="60"/>
        <v/>
      </c>
      <c r="Y141" s="508" t="str">
        <f t="shared" si="60"/>
        <v/>
      </c>
      <c r="Z141" s="508" t="str">
        <f t="shared" si="60"/>
        <v/>
      </c>
      <c r="AA141" s="508">
        <f t="shared" si="60"/>
        <v>0.22746749299449939</v>
      </c>
      <c r="AB141" s="436"/>
      <c r="AC141" s="140"/>
      <c r="AD141" s="508">
        <f>IFERROR(AD140/AD85,"")</f>
        <v>0.20554078695325154</v>
      </c>
      <c r="AE141" s="436"/>
      <c r="AF141" s="521">
        <f t="shared" si="58"/>
        <v>2.1926706041247856E-2</v>
      </c>
      <c r="AG141" s="508">
        <f>IFERROR(AG140/AG85,"")</f>
        <v>0.21127517817243963</v>
      </c>
      <c r="AH141" s="436"/>
      <c r="AI141" s="521">
        <f t="shared" si="59"/>
        <v>1.6192314822059767E-2</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0</v>
      </c>
      <c r="P145" s="510">
        <f t="shared" si="63"/>
        <v>0</v>
      </c>
      <c r="Q145" s="510">
        <f t="shared" si="63"/>
        <v>2.8421709430404007E-14</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f t="shared" si="63"/>
        <v>0</v>
      </c>
      <c r="AB145" s="144"/>
      <c r="AC145" s="140"/>
      <c r="AD145" s="510">
        <f>IFERROR(AD$85/AD87,"")-AD88</f>
        <v>0</v>
      </c>
      <c r="AE145" s="144"/>
      <c r="AF145" s="143"/>
      <c r="AG145" s="510">
        <f>IFERROR(AG$85/AG87,"")-AG88</f>
        <v>0</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Aa1bdZq+iBYx/a/amF0haer07tbGoTSidZuedFqYjwIw4KUBJKP5ymwT39EDhX11rLSP/6Td0ezCiKuRxVDwlA==" saltValue="FNOGuhmNJbhxGTLL/6PysQ==" spinCount="100000" sheet="1" scenarios="1"/>
  <mergeCells count="2">
    <mergeCell ref="AD31:AE31"/>
    <mergeCell ref="AG31:AH31"/>
  </mergeCells>
  <conditionalFormatting sqref="AD43 AF43:AG43 O43:AA43">
    <cfRule type="expression" dxfId="140" priority="15">
      <formula>ROUND(O42,2)&lt;&gt;ROUND(O43,2)</formula>
    </cfRule>
  </conditionalFormatting>
  <conditionalFormatting sqref="N43">
    <cfRule type="expression" dxfId="139" priority="14">
      <formula>$G43&lt;&gt;0</formula>
    </cfRule>
  </conditionalFormatting>
  <conditionalFormatting sqref="O53:AA53 AD53 AF53:AG53">
    <cfRule type="expression" dxfId="138" priority="13">
      <formula>ROUND(O52,2)&lt;&gt;ROUND(O53,2)</formula>
    </cfRule>
  </conditionalFormatting>
  <conditionalFormatting sqref="N53">
    <cfRule type="expression" dxfId="137" priority="12">
      <formula>$G53&lt;&gt;0</formula>
    </cfRule>
  </conditionalFormatting>
  <conditionalFormatting sqref="O63:AA63 AD63 AF63:AG63">
    <cfRule type="expression" dxfId="136" priority="11">
      <formula>ROUND(O62,2)&lt;&gt;ROUND(O63,2)</formula>
    </cfRule>
  </conditionalFormatting>
  <conditionalFormatting sqref="N63">
    <cfRule type="expression" dxfId="135" priority="10">
      <formula>$G63&lt;&gt;0</formula>
    </cfRule>
  </conditionalFormatting>
  <conditionalFormatting sqref="O73:AA73 AD73 AF73:AG73">
    <cfRule type="expression" dxfId="134" priority="9">
      <formula>ROUND(O72,2)&lt;&gt;ROUND(O73,2)</formula>
    </cfRule>
  </conditionalFormatting>
  <conditionalFormatting sqref="N73">
    <cfRule type="expression" dxfId="133" priority="8">
      <formula>$G73&lt;&gt;0</formula>
    </cfRule>
  </conditionalFormatting>
  <conditionalFormatting sqref="N82">
    <cfRule type="expression" dxfId="132" priority="7">
      <formula>$G82&lt;&gt;0</formula>
    </cfRule>
  </conditionalFormatting>
  <conditionalFormatting sqref="AD82 AF82:AG82 O82:AA82">
    <cfRule type="expression" dxfId="131" priority="6">
      <formula>ROUND(O81,2)&lt;&gt;ROUND(O82,2)</formula>
    </cfRule>
  </conditionalFormatting>
  <conditionalFormatting sqref="AI43">
    <cfRule type="expression" dxfId="130" priority="5">
      <formula>ROUND(AI42,2)&lt;&gt;ROUND(AI43,2)</formula>
    </cfRule>
  </conditionalFormatting>
  <conditionalFormatting sqref="AI53">
    <cfRule type="expression" dxfId="129" priority="4">
      <formula>ROUND(AI52,2)&lt;&gt;ROUND(AI53,2)</formula>
    </cfRule>
  </conditionalFormatting>
  <conditionalFormatting sqref="AI63">
    <cfRule type="expression" dxfId="128" priority="3">
      <formula>ROUND(AI62,2)&lt;&gt;ROUND(AI63,2)</formula>
    </cfRule>
  </conditionalFormatting>
  <conditionalFormatting sqref="AI73">
    <cfRule type="expression" dxfId="127" priority="2">
      <formula>ROUND(AI72,2)&lt;&gt;ROUND(AI73,2)</formula>
    </cfRule>
  </conditionalFormatting>
  <conditionalFormatting sqref="AI82">
    <cfRule type="expression" dxfId="126" priority="1">
      <formula>ROUND(AI81,2)&lt;&gt;ROUND(AI82,2)</formula>
    </cfRule>
  </conditionalFormatting>
  <dataValidations disablePrompts="1" count="2">
    <dataValidation type="list" allowBlank="1" sqref="B28" xr:uid="{00000000-0002-0000-0A00-000000000000}">
      <formula1>"ACCOUNT,BUSINESSUNIT,CATEGORY,DATASRC,DEPARTMENT,INTCO,MEASURES,RPTCURRENCY,TIME"</formula1>
    </dataValidation>
    <dataValidation type="list" allowBlank="1" sqref="B29" xr:uid="{00000000-0002-0000-0A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732</v>
      </c>
      <c r="C6" s="11" t="str">
        <f>IF(_epmOfflineCondition_,"Venue 3",_xll.EVDES(B6,$B$1))</f>
        <v>Venue 3</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IF(_epmOfflineCondition_,"'Venue3'!$B$2:$B$10",_xll.EVRNG($B$2:$B$10))</f>
        <v>'Venue3'!$B$2:$B$10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IF(_epmOfflineCondition_,"'Venue3'!$O$16:$AN$18",_xll.EVRNG($O$16:$AN$18))</f>
        <v>'Venue3'!$O$16:$AN$18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IF(_epmOfflineCondition_,"'Venue3'!$H$35:$H$58",_xll.EVRNG(H35:H58))</f>
        <v>'Venue3'!$H$35:$H$58</v>
      </c>
      <c r="C19" s="11"/>
      <c r="D19" s="11"/>
      <c r="E19" s="11"/>
      <c r="F19" s="11"/>
      <c r="G19" s="67" t="str">
        <f>$B$6</f>
        <v>D2142</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D2142</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IF(_epmOfflineCondition_,"'Venue3'!$A$36:$F$44",_xll.EVRNG(A36:F44))</f>
        <v>'Venue3'!$A$36:$F$44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IF(_epmOfflineCondition_,"'Venue3'!$A$125:$B$146",_xll.EVRNG($A$125:$B$146))</f>
        <v>'Venue3'!$A$125:$B$146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3 Department",IF($N$1="",IF(_xll.EVDES(B6,$B$1)="#NODATA","",_xll.EVDES(B6,$B$1)&amp;" Department"),$N$1))</f>
        <v>Venue 3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33"/>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33"/>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33"/>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33"/>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34"/>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33"/>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33"/>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33"/>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33"/>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5"/>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6">
        <f t="shared" si="6"/>
        <v>0</v>
      </c>
      <c r="AJ48" s="537">
        <f t="shared" si="7"/>
        <v>0</v>
      </c>
      <c r="AK48" s="538">
        <f t="shared" si="8"/>
        <v>0</v>
      </c>
      <c r="AL48" s="539">
        <f t="shared" si="9"/>
        <v>0</v>
      </c>
      <c r="AM48" s="540">
        <f t="shared" si="10"/>
        <v>0</v>
      </c>
      <c r="AN48" s="541">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IF(_epmOfflineCondition_,"'Venue3'!$B$2:$B$10",_xll.EVRNG($B$2:$B$10))</f>
        <v>'Venue3'!$B$2:$B$10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34"/>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IF(_epmOfflineCondition_,"'Venue3'!$O$16:$AN$18",_xll.EVRNG($O$16:$AN$18))</f>
        <v>'Venue3'!$O$16:$AN$18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33"/>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IF(_epmOfflineCondition_,"'Venue3'!$H$62:$H$70",_xll.EVRNG(H62:H70))</f>
        <v>'Venue3'!$H$62:$H$70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33"/>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33"/>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33"/>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IF(_epmOfflineCondition_,"'Venue3'!$A$69:$F$77",_xll.EVRNG(A69:F77))</f>
        <v>'Venue3'!$A$69:$F$77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33"/>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IF(_epmOfflineCondition_,"'Venue3'!$A$125:$B$146",_xll.EVRNG($A$125:$B$146))</f>
        <v>'Venue3'!$A$125:$B$146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33"/>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34"/>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33"/>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33"/>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388">
        <f>IFERROR(AA72/AA$20,0)</f>
        <v>0</v>
      </c>
      <c r="AK72" s="389">
        <f>IFERROR(AD72/AD$20,0)</f>
        <v>0</v>
      </c>
      <c r="AL72" s="390">
        <f>IFERROR(AG72/AG$20,0)</f>
        <v>0</v>
      </c>
      <c r="AM72" s="391">
        <f>+IFERROR(ROUND(($AB72-AE72)*100,2)&amp;" pts.",0)</f>
        <v>0</v>
      </c>
      <c r="AN72" s="544">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9">
        <f>IFERROR(AA79/AA$20,0)</f>
        <v>0</v>
      </c>
      <c r="AK79" s="450">
        <f>IFERROR(AD79/AD$20,0)</f>
        <v>0</v>
      </c>
      <c r="AL79" s="451">
        <f>IFERROR(AG79/AG$20,0)</f>
        <v>0</v>
      </c>
      <c r="AM79" s="452">
        <f>+IFERROR(ROUND(($AB79-AE79)*100,2)&amp;" pts.",0)</f>
        <v>0</v>
      </c>
      <c r="AN79" s="453">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9">
        <f>IFERROR(AA80/AA$20,0)</f>
        <v>0</v>
      </c>
      <c r="AK80" s="450">
        <f>IFERROR(AD80/AD$20,0)</f>
        <v>0</v>
      </c>
      <c r="AL80" s="451">
        <f>IFERROR(AG80/AG$20,0)</f>
        <v>0</v>
      </c>
      <c r="AM80" s="452">
        <f>+IFERROR(ROUND(($AB80-AE80)*100,2)&amp;" pts.",0)</f>
        <v>0</v>
      </c>
      <c r="AN80" s="453">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IF(_epmOfflineCondition_,"'Venue3'!$B$2:$B$10",_xll.EVRNG($B$2:$B$10))</f>
        <v>'Venue3'!$B$2:$B$10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IF(_epmOfflineCondition_,"'Venue3'!$O$16:$AN$18",_xll.EVRNG($O$16:$AN$18))</f>
        <v>'Venue3'!$O$16:$AN$18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IF(_epmOfflineCondition_,"'Venue3'!$H$76:$H$77,'Venue3'!$H$79:$H$80,'Venue3'!$H$83:$H$84",_xll.EVRNG(H76:H77,H79:H80,H83:H84))</f>
        <v>'Venue3'!$H$76:$H$77,'Venue3'!$H$79:$H$80,'Venue3'!$H$83:$H$84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558">
        <f>IFERROR(AA85/AA$20,0)</f>
        <v>0</v>
      </c>
      <c r="AK85" s="559">
        <f>IFERROR(AD85/AD$20,0)</f>
        <v>0</v>
      </c>
      <c r="AL85" s="560">
        <f>IFERROR(AG85/AG$20,0)</f>
        <v>0</v>
      </c>
      <c r="AM85" s="561">
        <f>+IFERROR(ROUND(($AB85-AE85)*100,2)&amp;" pts.",0)</f>
        <v>0</v>
      </c>
      <c r="AN85" s="562">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242">
        <f>IFERROR(AA87/AA$20,0)</f>
        <v>0</v>
      </c>
      <c r="AK87" s="243">
        <f>IFERROR(AD87/AD$20,0)</f>
        <v>0</v>
      </c>
      <c r="AL87" s="245">
        <f>IFERROR(AG87/AG$20,0)</f>
        <v>0</v>
      </c>
      <c r="AM87" s="431">
        <f>+IFERROR(ROUND(($AB87-AE87)*100,2)&amp;" pts.",0)</f>
        <v>0</v>
      </c>
      <c r="AN87" s="465">
        <f>+IFERROR(ROUND(($AB87-AH87)*100,2)&amp;" pts.",0)</f>
        <v>0</v>
      </c>
      <c r="AO87" s="11"/>
    </row>
    <row r="88" spans="1:41" ht="15" thickBot="1" x14ac:dyDescent="0.4">
      <c r="A88" s="65" t="s">
        <v>7</v>
      </c>
      <c r="B88" s="66" t="str">
        <f>IF(_epmOfflineCondition_,"'Venue3'!$A$102:$F$108",_xll.EVRNG(A102:F108))</f>
        <v>'Venue3'!$A$102:$F$108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77">
        <f>IFERROR(AA88/AA$20,0)</f>
        <v>0</v>
      </c>
      <c r="AK88" s="478">
        <f>IFERROR(AD88/AD$20,0)</f>
        <v>0</v>
      </c>
      <c r="AL88" s="479">
        <f>IFERROR(AG88/AG$20,0)</f>
        <v>0</v>
      </c>
      <c r="AM88" s="480">
        <f>+IFERROR(ROUND(($AB88-AE88)*100,2)&amp;" pts.",0)</f>
        <v>0</v>
      </c>
      <c r="AN88" s="557">
        <f>+IFERROR(ROUND(($AB88-AH88)*100,2)&amp;" pts.",0)</f>
        <v>0</v>
      </c>
      <c r="AO88" s="11"/>
    </row>
    <row r="89" spans="1:41" ht="15" thickTop="1" x14ac:dyDescent="0.35">
      <c r="A89" s="65" t="s">
        <v>47</v>
      </c>
      <c r="B89" s="66" t="str">
        <f>IF(_epmOfflineCondition_,"'Venue3'!$A$125:$B$146",_xll.EVRNG($A$125:$B$146))</f>
        <v>'Venue3'!$A$125:$B$146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IF(_epmOfflineCondition_,"'Venue3'!$B$2:$B$10",_xll.EVRNG($B$2:$B$10))</f>
        <v>'Venue3'!$B$2:$B$10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IF(_epmOfflineCondition_,"'Venue3'!$O$16:$AN$18",_xll.EVRNG($O$16:$AN$18))</f>
        <v>'Venue3'!$O$16:$AN$18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IF(_epmOfflineCondition_,"'Venue3'!$H$85:$H$88",_xll.EVRNG(H85:H88))</f>
        <v>'Venue3'!$H$85:$H$88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IF(_epmOfflineCondition_,"'Venue3'!$A$125:$B$146",_xll.EVRNG($A$125:$B$146))</f>
        <v>'Venue3'!$A$125:$B$146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nB6LC+XFV4sMgHM91wtpDOiIqIHAU2+GSk/Qacgb+pra9nj4JhUdZCvrpp9+0k61eoKfO+pQZs2otxwXjCQ55g==" saltValue="8AyGr8EfPadxPTq5APrDlg==" spinCount="100000" sheet="1" scenarios="1"/>
  <mergeCells count="2">
    <mergeCell ref="AD31:AE31"/>
    <mergeCell ref="AG31:AH31"/>
  </mergeCells>
  <dataValidations count="2">
    <dataValidation type="list" allowBlank="1" sqref="B29 B95 B62" xr:uid="{00000000-0002-0000-0B00-000000000000}">
      <formula1>"SELF,ALL,BAS,DEP,BASMEMBERS,MEMBERS,NOEXPAND,GDEP"</formula1>
    </dataValidation>
    <dataValidation type="list" allowBlank="1" sqref="B28 B94 B61" xr:uid="{00000000-0002-0000-0B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Venue3!N1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732</v>
      </c>
      <c r="C6" s="11" t="str">
        <f>IF(_epmOfflineCondition_,"Venue 3",_xll.EVDES(B6,$B$1))</f>
        <v>Venue 3</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IF(_epmOfflineCondition_,"'Venue3_KPI'!$B$2:$B$10",_xll.EVRNG($B$2:$B$10))</f>
        <v>'Venue3_KPI'!$B$2:$B$10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IF(_epmOfflineCondition_,"'Venue3_KPI'!$O$16:$AI$18",_xll.EVRNG(O16:AI18))</f>
        <v>'Venue3_KPI'!$O$16:$AI$18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IF(_epmOfflineCondition_,"'Venue3_KPI'!$H$35:$H$146",_xll.EVRNG(H35:H146))</f>
        <v>'Venue3_KPI'!$H$35:$H$146</v>
      </c>
      <c r="C19" s="11"/>
      <c r="D19" s="11"/>
      <c r="E19" s="11"/>
      <c r="F19" s="11"/>
      <c r="G19" s="67" t="str">
        <f>$B$6</f>
        <v>D2142</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D2142</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IF(_epmOfflineCondition_,"'Venue3_KPI'!$A$37:$B$58",_xll.EVRNG($A$37:$B$58))</f>
        <v>'Venue3_KPI'!$A$37:$B$58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3 Department",IF($N$1="",IF(_xll.EVDES(B6,$B$1)="#NODATA","",_xll.EVDES(B6,$B$1)&amp;" Department"),$N$1))</f>
        <v>Venue 3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rq2zpmZOgHNXD600LEClx1HGm2JZkKhMtNYjdNBOVPphen0yUa4wTdt8DL2CrmANA3fyWjVqZYb0GgkX+r21WQ==" saltValue="Y8IZyV3Mkq5ST7mrxnWR1A==" spinCount="100000" sheet="1" scenarios="1"/>
  <mergeCells count="2">
    <mergeCell ref="AD31:AE31"/>
    <mergeCell ref="AG31:AH31"/>
  </mergeCells>
  <conditionalFormatting sqref="AD43 AF43:AG43 O43:AA43">
    <cfRule type="expression" dxfId="125" priority="15">
      <formula>ROUND(O42,2)&lt;&gt;ROUND(O43,2)</formula>
    </cfRule>
  </conditionalFormatting>
  <conditionalFormatting sqref="N43">
    <cfRule type="expression" dxfId="124" priority="14">
      <formula>$G43&lt;&gt;0</formula>
    </cfRule>
  </conditionalFormatting>
  <conditionalFormatting sqref="O53:AA53 AD53 AF53:AG53">
    <cfRule type="expression" dxfId="123" priority="13">
      <formula>ROUND(O52,2)&lt;&gt;ROUND(O53,2)</formula>
    </cfRule>
  </conditionalFormatting>
  <conditionalFormatting sqref="N53">
    <cfRule type="expression" dxfId="122" priority="12">
      <formula>$G53&lt;&gt;0</formula>
    </cfRule>
  </conditionalFormatting>
  <conditionalFormatting sqref="O63:AA63 AD63 AF63:AG63">
    <cfRule type="expression" dxfId="121" priority="11">
      <formula>ROUND(O62,2)&lt;&gt;ROUND(O63,2)</formula>
    </cfRule>
  </conditionalFormatting>
  <conditionalFormatting sqref="N63">
    <cfRule type="expression" dxfId="120" priority="10">
      <formula>$G63&lt;&gt;0</formula>
    </cfRule>
  </conditionalFormatting>
  <conditionalFormatting sqref="O73:AA73 AD73 AF73:AG73">
    <cfRule type="expression" dxfId="119" priority="9">
      <formula>ROUND(O72,2)&lt;&gt;ROUND(O73,2)</formula>
    </cfRule>
  </conditionalFormatting>
  <conditionalFormatting sqref="N73">
    <cfRule type="expression" dxfId="118" priority="8">
      <formula>$G73&lt;&gt;0</formula>
    </cfRule>
  </conditionalFormatting>
  <conditionalFormatting sqref="N82">
    <cfRule type="expression" dxfId="117" priority="7">
      <formula>$G82&lt;&gt;0</formula>
    </cfRule>
  </conditionalFormatting>
  <conditionalFormatting sqref="AD82 AF82:AG82 O82:AA82">
    <cfRule type="expression" dxfId="116" priority="6">
      <formula>ROUND(O81,2)&lt;&gt;ROUND(O82,2)</formula>
    </cfRule>
  </conditionalFormatting>
  <conditionalFormatting sqref="AI43">
    <cfRule type="expression" dxfId="115" priority="5">
      <formula>ROUND(AI42,2)&lt;&gt;ROUND(AI43,2)</formula>
    </cfRule>
  </conditionalFormatting>
  <conditionalFormatting sqref="AI53">
    <cfRule type="expression" dxfId="114" priority="4">
      <formula>ROUND(AI52,2)&lt;&gt;ROUND(AI53,2)</formula>
    </cfRule>
  </conditionalFormatting>
  <conditionalFormatting sqref="AI63">
    <cfRule type="expression" dxfId="113" priority="3">
      <formula>ROUND(AI62,2)&lt;&gt;ROUND(AI63,2)</formula>
    </cfRule>
  </conditionalFormatting>
  <conditionalFormatting sqref="AI73">
    <cfRule type="expression" dxfId="112" priority="2">
      <formula>ROUND(AI72,2)&lt;&gt;ROUND(AI73,2)</formula>
    </cfRule>
  </conditionalFormatting>
  <conditionalFormatting sqref="AI82">
    <cfRule type="expression" dxfId="111" priority="1">
      <formula>ROUND(AI81,2)&lt;&gt;ROUND(AI82,2)</formula>
    </cfRule>
  </conditionalFormatting>
  <dataValidations count="2">
    <dataValidation type="list" allowBlank="1" sqref="B29" xr:uid="{00000000-0002-0000-0C00-000000000000}">
      <formula1>"SELF,ALL,BAS,DEP,BASMEMBERS,MEMBERS,NOEXPAND,GDEP"</formula1>
    </dataValidation>
    <dataValidation type="list" allowBlank="1" sqref="B28" xr:uid="{00000000-0002-0000-0C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733</v>
      </c>
      <c r="C6" s="11" t="str">
        <f>IF(_epmOfflineCondition_,"Venue 4",_xll.EVDES(B6,$B$1))</f>
        <v>Venue 4</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IF(_epmOfflineCondition_,"'Venue4'!$B$2:$B$10",_xll.EVRNG($B$2:$B$10))</f>
        <v>'Venue4'!$B$2:$B$10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IF(_epmOfflineCondition_,"'Venue4'!$O$16:$AN$18",_xll.EVRNG($O$16:$AN$18))</f>
        <v>'Venue4'!$O$16:$AN$18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IF(_epmOfflineCondition_,"'Venue4'!$H$35:$H$58",_xll.EVRNG(H35:H58))</f>
        <v>'Venue4'!$H$35:$H$58</v>
      </c>
      <c r="C19" s="11"/>
      <c r="D19" s="11"/>
      <c r="E19" s="11"/>
      <c r="F19" s="11"/>
      <c r="G19" s="67" t="str">
        <f>$B$6</f>
        <v>D2145</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D2145</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IF(_epmOfflineCondition_,"'Venue4'!$A$36:$F$44",_xll.EVRNG(A36:F44))</f>
        <v>'Venue4'!$A$36:$F$44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IF(_epmOfflineCondition_,"'Venue4'!$A$125:$B$146",_xll.EVRNG($A$125:$B$146))</f>
        <v>'Venue4'!$A$125:$B$146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4 Department",IF($N$1="",IF(_xll.EVDES(B6,$B$1)="#NODATA","",_xll.EVDES(B6,$B$1)&amp;" Department"),$N$1))</f>
        <v>Venue 4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33"/>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33"/>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33"/>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33"/>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34"/>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33"/>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33"/>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33"/>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33"/>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5"/>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6">
        <f t="shared" si="6"/>
        <v>0</v>
      </c>
      <c r="AJ48" s="537">
        <f t="shared" si="7"/>
        <v>0</v>
      </c>
      <c r="AK48" s="538">
        <f t="shared" si="8"/>
        <v>0</v>
      </c>
      <c r="AL48" s="539">
        <f t="shared" si="9"/>
        <v>0</v>
      </c>
      <c r="AM48" s="540">
        <f t="shared" si="10"/>
        <v>0</v>
      </c>
      <c r="AN48" s="541">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IF(_epmOfflineCondition_,"'Venue4'!$B$2:$B$10",_xll.EVRNG($B$2:$B$10))</f>
        <v>'Venue4'!$B$2:$B$10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34"/>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IF(_epmOfflineCondition_,"'Venue4'!$O$16:$AN$18",_xll.EVRNG($O$16:$AN$18))</f>
        <v>'Venue4'!$O$16:$AN$18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33"/>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IF(_epmOfflineCondition_,"'Venue4'!$H$62:$H$70",_xll.EVRNG(H62:H70))</f>
        <v>'Venue4'!$H$62:$H$70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33"/>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33"/>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33"/>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IF(_epmOfflineCondition_,"'Venue4'!$A$69:$F$77",_xll.EVRNG(A69:F77))</f>
        <v>'Venue4'!$A$69:$F$77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33"/>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IF(_epmOfflineCondition_,"'Venue4'!$A$125:$B$146",_xll.EVRNG($A$125:$B$146))</f>
        <v>'Venue4'!$A$125:$B$146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33"/>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34"/>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33"/>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33"/>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0">
        <f>IFERROR(AA79/AA$20,0)</f>
        <v>0</v>
      </c>
      <c r="AK79" s="441">
        <f>IFERROR(AD79/AD$20,0)</f>
        <v>0</v>
      </c>
      <c r="AL79" s="442">
        <f>IFERROR(AG79/AG$20,0)</f>
        <v>0</v>
      </c>
      <c r="AM79" s="443">
        <f>+IFERROR(ROUND(($AB79-AE79)*100,2)&amp;" pts.",0)</f>
        <v>0</v>
      </c>
      <c r="AN79" s="444">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0">
        <f>IFERROR(AA80/AA$20,0)</f>
        <v>0</v>
      </c>
      <c r="AK80" s="441">
        <f>IFERROR(AD80/AD$20,0)</f>
        <v>0</v>
      </c>
      <c r="AL80" s="442">
        <f>IFERROR(AG80/AG$20,0)</f>
        <v>0</v>
      </c>
      <c r="AM80" s="443">
        <f>+IFERROR(ROUND(($AB80-AE80)*100,2)&amp;" pts.",0)</f>
        <v>0</v>
      </c>
      <c r="AN80" s="444">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IF(_epmOfflineCondition_,"'Venue4'!$B$2:$B$10",_xll.EVRNG($B$2:$B$10))</f>
        <v>'Venue4'!$B$2:$B$10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IF(_epmOfflineCondition_,"'Venue4'!$O$16:$AN$18",_xll.EVRNG($O$16:$AN$18))</f>
        <v>'Venue4'!$O$16:$AN$18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IF(_epmOfflineCondition_,"'Venue4'!$H$76:$H$77,'Venue4'!$H$79:$H$80,'Venue4'!$H$83:$H$84",_xll.EVRNG(H76:H77,H79:H80,H83:H84))</f>
        <v>'Venue4'!$H$76:$H$77,'Venue4'!$H$79:$H$80,'Venue4'!$H$83:$H$84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466">
        <f>IFERROR(AA85/AA$20,0)</f>
        <v>0</v>
      </c>
      <c r="AK85" s="467">
        <f>IFERROR(AD85/AD$20,0)</f>
        <v>0</v>
      </c>
      <c r="AL85" s="468">
        <f>IFERROR(AG85/AG$20,0)</f>
        <v>0</v>
      </c>
      <c r="AM85" s="469">
        <f>+IFERROR(ROUND(($AB85-AE85)*100,2)&amp;" pts.",0)</f>
        <v>0</v>
      </c>
      <c r="AN85" s="555">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472">
        <f>IFERROR(AA87/AA$20,0)</f>
        <v>0</v>
      </c>
      <c r="AK87" s="473">
        <f>IFERROR(AD87/AD$20,0)</f>
        <v>0</v>
      </c>
      <c r="AL87" s="474">
        <f>IFERROR(AG87/AG$20,0)</f>
        <v>0</v>
      </c>
      <c r="AM87" s="475">
        <f>+IFERROR(ROUND(($AB87-AE87)*100,2)&amp;" pts.",0)</f>
        <v>0</v>
      </c>
      <c r="AN87" s="556">
        <f>+IFERROR(ROUND(($AB87-AH87)*100,2)&amp;" pts.",0)</f>
        <v>0</v>
      </c>
      <c r="AO87" s="11"/>
    </row>
    <row r="88" spans="1:41" ht="15" thickBot="1" x14ac:dyDescent="0.4">
      <c r="A88" s="65" t="s">
        <v>7</v>
      </c>
      <c r="B88" s="66" t="str">
        <f>IF(_epmOfflineCondition_,"'Venue4'!$A$102:$F$108",_xll.EVRNG(A102:F108))</f>
        <v>'Venue4'!$A$102:$F$108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77">
        <f>IFERROR(AA88/AA$20,0)</f>
        <v>0</v>
      </c>
      <c r="AK88" s="478">
        <f>IFERROR(AD88/AD$20,0)</f>
        <v>0</v>
      </c>
      <c r="AL88" s="479">
        <f>IFERROR(AG88/AG$20,0)</f>
        <v>0</v>
      </c>
      <c r="AM88" s="480">
        <f>+IFERROR(ROUND(($AB88-AE88)*100,2)&amp;" pts.",0)</f>
        <v>0</v>
      </c>
      <c r="AN88" s="557">
        <f>+IFERROR(ROUND(($AB88-AH88)*100,2)&amp;" pts.",0)</f>
        <v>0</v>
      </c>
      <c r="AO88" s="11"/>
    </row>
    <row r="89" spans="1:41" ht="15" thickTop="1" x14ac:dyDescent="0.35">
      <c r="A89" s="65" t="s">
        <v>47</v>
      </c>
      <c r="B89" s="66" t="str">
        <f>IF(_epmOfflineCondition_,"'Venue4'!$A$125:$B$146",_xll.EVRNG($A$125:$B$146))</f>
        <v>'Venue4'!$A$125:$B$146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IF(_epmOfflineCondition_,"'Venue4'!$B$2:$B$10",_xll.EVRNG($B$2:$B$10))</f>
        <v>'Venue4'!$B$2:$B$10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IF(_epmOfflineCondition_,"'Venue4'!$O$16:$AN$18",_xll.EVRNG($O$16:$AN$18))</f>
        <v>'Venue4'!$O$16:$AN$18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IF(_epmOfflineCondition_,"'Venue4'!$H$85:$H$88",_xll.EVRNG(H85:H88))</f>
        <v>'Venue4'!$H$85:$H$88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IF(_epmOfflineCondition_,"'Venue4'!$A$125:$B$146",_xll.EVRNG($A$125:$B$146))</f>
        <v>'Venue4'!$A$125:$B$146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igakSIwBAsr3Bv4SFPpaItpo1gDtEup58NaLL6RSyGMMZbkYDRx5DQNPo4WI938JAZNgR4Oq0yCSVQRUNoRhsw==" saltValue="byO8zROZM0xJgTiMFovpLg==" spinCount="100000" sheet="1" scenarios="1"/>
  <mergeCells count="2">
    <mergeCell ref="AD31:AE31"/>
    <mergeCell ref="AG31:AH31"/>
  </mergeCells>
  <dataValidations disablePrompts="1" count="2">
    <dataValidation type="list" allowBlank="1" sqref="B29 B95 B62" xr:uid="{00000000-0002-0000-0D00-000000000000}">
      <formula1>"SELF,ALL,BAS,DEP,BASMEMBERS,MEMBERS,NOEXPAND,GDEP"</formula1>
    </dataValidation>
    <dataValidation type="list" allowBlank="1" sqref="B28 B94 B61" xr:uid="{00000000-0002-0000-0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Venue4!N1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733</v>
      </c>
      <c r="C6" s="11" t="str">
        <f>IF(_epmOfflineCondition_,"Venue 4",_xll.EVDES(B6,$B$1))</f>
        <v>Venue 4</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IF(_epmOfflineCondition_,"'Venue4_KPI'!$B$2:$B$10",_xll.EVRNG($B$2:$B$10))</f>
        <v>'Venue4_KPI'!$B$2:$B$10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IF(_epmOfflineCondition_,"'Venue4_KPI'!$O$16:$AI$18",_xll.EVRNG(O16:AI18))</f>
        <v>'Venue4_KPI'!$O$16:$AI$18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IF(_epmOfflineCondition_,"'Venue4_KPI'!$H$35:$H$146",_xll.EVRNG(H35:H146))</f>
        <v>'Venue4_KPI'!$H$35:$H$146</v>
      </c>
      <c r="C19" s="11"/>
      <c r="D19" s="11"/>
      <c r="E19" s="11"/>
      <c r="F19" s="11"/>
      <c r="G19" s="67" t="str">
        <f>$B$6</f>
        <v>D2145</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D2145</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IF(_epmOfflineCondition_,"'Venue4_KPI'!$A$37:$B$58",_xll.EVRNG($A$37:$B$58))</f>
        <v>'Venue4_KPI'!$A$37:$B$58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4 Department",IF($N$1="",IF(_xll.EVDES(B6,$B$1)="#NODATA","",_xll.EVDES(B6,$B$1)&amp;" Department"),$N$1))</f>
        <v>Venue 4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JtBOdIArVk0laDobdp4M9+acO3QKQslQK+BkK6sXAK7UvmUmhVsxATy33g1WJp1beT/16Q2ib8+fJy+hwbEIgg==" saltValue="jhfB/c7VdCRbposZEJs5tg==" spinCount="100000" sheet="1" scenarios="1"/>
  <mergeCells count="2">
    <mergeCell ref="AD31:AE31"/>
    <mergeCell ref="AG31:AH31"/>
  </mergeCells>
  <conditionalFormatting sqref="AD43 AF43:AG43 O43:AA43">
    <cfRule type="expression" dxfId="110" priority="15">
      <formula>ROUND(O42,2)&lt;&gt;ROUND(O43,2)</formula>
    </cfRule>
  </conditionalFormatting>
  <conditionalFormatting sqref="N43">
    <cfRule type="expression" dxfId="109" priority="14">
      <formula>$G43&lt;&gt;0</formula>
    </cfRule>
  </conditionalFormatting>
  <conditionalFormatting sqref="O53:AA53 AD53 AF53:AG53">
    <cfRule type="expression" dxfId="108" priority="13">
      <formula>ROUND(O52,2)&lt;&gt;ROUND(O53,2)</formula>
    </cfRule>
  </conditionalFormatting>
  <conditionalFormatting sqref="N53">
    <cfRule type="expression" dxfId="107" priority="12">
      <formula>$G53&lt;&gt;0</formula>
    </cfRule>
  </conditionalFormatting>
  <conditionalFormatting sqref="O63:AA63 AD63 AF63:AG63">
    <cfRule type="expression" dxfId="106" priority="11">
      <formula>ROUND(O62,2)&lt;&gt;ROUND(O63,2)</formula>
    </cfRule>
  </conditionalFormatting>
  <conditionalFormatting sqref="N63">
    <cfRule type="expression" dxfId="105" priority="10">
      <formula>$G63&lt;&gt;0</formula>
    </cfRule>
  </conditionalFormatting>
  <conditionalFormatting sqref="O73:AA73 AD73 AF73:AG73">
    <cfRule type="expression" dxfId="104" priority="9">
      <formula>ROUND(O72,2)&lt;&gt;ROUND(O73,2)</formula>
    </cfRule>
  </conditionalFormatting>
  <conditionalFormatting sqref="N73">
    <cfRule type="expression" dxfId="103" priority="8">
      <formula>$G73&lt;&gt;0</formula>
    </cfRule>
  </conditionalFormatting>
  <conditionalFormatting sqref="N82">
    <cfRule type="expression" dxfId="102" priority="7">
      <formula>$G82&lt;&gt;0</formula>
    </cfRule>
  </conditionalFormatting>
  <conditionalFormatting sqref="AD82 AF82:AG82 O82:AA82">
    <cfRule type="expression" dxfId="101" priority="6">
      <formula>ROUND(O81,2)&lt;&gt;ROUND(O82,2)</formula>
    </cfRule>
  </conditionalFormatting>
  <conditionalFormatting sqref="AI43">
    <cfRule type="expression" dxfId="100" priority="5">
      <formula>ROUND(AI42,2)&lt;&gt;ROUND(AI43,2)</formula>
    </cfRule>
  </conditionalFormatting>
  <conditionalFormatting sqref="AI53">
    <cfRule type="expression" dxfId="99" priority="4">
      <formula>ROUND(AI52,2)&lt;&gt;ROUND(AI53,2)</formula>
    </cfRule>
  </conditionalFormatting>
  <conditionalFormatting sqref="AI63">
    <cfRule type="expression" dxfId="98" priority="3">
      <formula>ROUND(AI62,2)&lt;&gt;ROUND(AI63,2)</formula>
    </cfRule>
  </conditionalFormatting>
  <conditionalFormatting sqref="AI73">
    <cfRule type="expression" dxfId="97" priority="2">
      <formula>ROUND(AI72,2)&lt;&gt;ROUND(AI73,2)</formula>
    </cfRule>
  </conditionalFormatting>
  <conditionalFormatting sqref="AI82">
    <cfRule type="expression" dxfId="96" priority="1">
      <formula>ROUND(AI81,2)&lt;&gt;ROUND(AI82,2)</formula>
    </cfRule>
  </conditionalFormatting>
  <dataValidations count="2">
    <dataValidation type="list" allowBlank="1" sqref="B28" xr:uid="{00000000-0002-0000-0E00-000000000000}">
      <formula1>"ACCOUNT,BUSINESSUNIT,CATEGORY,DATASRC,DEPARTMENT,INTCO,MEASURES,RPTCURRENCY,TIME"</formula1>
    </dataValidation>
    <dataValidation type="list" allowBlank="1" sqref="B29" xr:uid="{00000000-0002-0000-0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2">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787</v>
      </c>
      <c r="C6" s="11" t="str">
        <f>IF(_epmOfflineCondition_,"Venue 5",_xll.EVDES(B6,$B$1))</f>
        <v>Venue 5</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IF(_epmOfflineCondition_,"'Venue5'!$B$2:$B$10",_xll.EVRNG($B$2:$B$10))</f>
        <v>'Venue5'!$B$2:$B$10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IF(_epmOfflineCondition_,"'Venue5'!$O$16:$AN$18",_xll.EVRNG($O$16:$AN$18))</f>
        <v>'Venue5'!$O$16:$AN$18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IF(_epmOfflineCondition_,"'Venue5'!$H$35:$H$58",_xll.EVRNG(H35:H58))</f>
        <v>'Venue5'!$H$35:$H$58</v>
      </c>
      <c r="C19" s="11"/>
      <c r="D19" s="11"/>
      <c r="E19" s="11"/>
      <c r="F19" s="11"/>
      <c r="G19" s="67" t="str">
        <f>$B$6</f>
        <v>D2143</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D2143</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IF(_epmOfflineCondition_,"'Venue5'!$A$36:$F$44",_xll.EVRNG(A36:F44))</f>
        <v>'Venue5'!$A$36:$F$44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IF(_epmOfflineCondition_,"'Venue5'!$A$125:$B$146",_xll.EVRNG($A$125:$B$146))</f>
        <v>'Venue5'!$A$125:$B$146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5 Department",IF($N$1="",IF(_xll.EVDES(B6,$B$1)="#NODATA","",_xll.EVDES(B6,$B$1)&amp;" Department"),$N$1))</f>
        <v>Venue 5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33"/>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33"/>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33"/>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33"/>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34"/>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33"/>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33"/>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33"/>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33"/>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5"/>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6">
        <f t="shared" si="6"/>
        <v>0</v>
      </c>
      <c r="AJ48" s="537">
        <f t="shared" si="7"/>
        <v>0</v>
      </c>
      <c r="AK48" s="538">
        <f t="shared" si="8"/>
        <v>0</v>
      </c>
      <c r="AL48" s="539">
        <f t="shared" si="9"/>
        <v>0</v>
      </c>
      <c r="AM48" s="540">
        <f t="shared" si="10"/>
        <v>0</v>
      </c>
      <c r="AN48" s="541">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IF(_epmOfflineCondition_,"'Venue5'!$B$2:$B$10",_xll.EVRNG($B$2:$B$10))</f>
        <v>'Venue5'!$B$2:$B$10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34"/>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IF(_epmOfflineCondition_,"'Venue5'!$O$16:$AN$18",_xll.EVRNG($O$16:$AN$18))</f>
        <v>'Venue5'!$O$16:$AN$18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33"/>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IF(_epmOfflineCondition_,"'Venue5'!$H$62:$H$70",_xll.EVRNG(H62:H70))</f>
        <v>'Venue5'!$H$62:$H$70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33"/>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33"/>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33"/>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IF(_epmOfflineCondition_,"'Venue5'!$A$69:$F$77",_xll.EVRNG(A69:F77))</f>
        <v>'Venue5'!$A$69:$F$77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33"/>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IF(_epmOfflineCondition_,"'Venue5'!$A$125:$B$146",_xll.EVRNG($A$125:$B$146))</f>
        <v>'Venue5'!$A$125:$B$146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33"/>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34"/>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33"/>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33"/>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0">
        <f>IFERROR(AA79/AA$20,0)</f>
        <v>0</v>
      </c>
      <c r="AK79" s="441">
        <f>IFERROR(AD79/AD$20,0)</f>
        <v>0</v>
      </c>
      <c r="AL79" s="442">
        <f>IFERROR(AG79/AG$20,0)</f>
        <v>0</v>
      </c>
      <c r="AM79" s="443">
        <f>+IFERROR(ROUND(($AB79-AE79)*100,2)&amp;" pts.",0)</f>
        <v>0</v>
      </c>
      <c r="AN79" s="444">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0">
        <f>IFERROR(AA80/AA$20,0)</f>
        <v>0</v>
      </c>
      <c r="AK80" s="441">
        <f>IFERROR(AD80/AD$20,0)</f>
        <v>0</v>
      </c>
      <c r="AL80" s="442">
        <f>IFERROR(AG80/AG$20,0)</f>
        <v>0</v>
      </c>
      <c r="AM80" s="443">
        <f>+IFERROR(ROUND(($AB80-AE80)*100,2)&amp;" pts.",0)</f>
        <v>0</v>
      </c>
      <c r="AN80" s="444">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IF(_epmOfflineCondition_,"'Venue5'!$B$2:$B$10",_xll.EVRNG($B$2:$B$10))</f>
        <v>'Venue5'!$B$2:$B$10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IF(_epmOfflineCondition_,"'Venue5'!$O$16:$AN$18",_xll.EVRNG($O$16:$AN$18))</f>
        <v>'Venue5'!$O$16:$AN$18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IF(_epmOfflineCondition_,"'Venue5'!$H$76:$H$77,'Venue5'!$H$79:$H$80,'Venue5'!$H$83:$H$84",_xll.EVRNG(H76:H77,H79:H80,H83:H84))</f>
        <v>'Venue5'!$H$76:$H$77,'Venue5'!$H$79:$H$80,'Venue5'!$H$83:$H$84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466">
        <f>IFERROR(AA85/AA$20,0)</f>
        <v>0</v>
      </c>
      <c r="AK85" s="467">
        <f>IFERROR(AD85/AD$20,0)</f>
        <v>0</v>
      </c>
      <c r="AL85" s="468">
        <f>IFERROR(AG85/AG$20,0)</f>
        <v>0</v>
      </c>
      <c r="AM85" s="469">
        <f>+IFERROR(ROUND(($AB85-AE85)*100,2)&amp;" pts.",0)</f>
        <v>0</v>
      </c>
      <c r="AN85" s="555">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472">
        <f>IFERROR(AA87/AA$20,0)</f>
        <v>0</v>
      </c>
      <c r="AK87" s="473">
        <f>IFERROR(AD87/AD$20,0)</f>
        <v>0</v>
      </c>
      <c r="AL87" s="474">
        <f>IFERROR(AG87/AG$20,0)</f>
        <v>0</v>
      </c>
      <c r="AM87" s="475">
        <f>+IFERROR(ROUND(($AB87-AE87)*100,2)&amp;" pts.",0)</f>
        <v>0</v>
      </c>
      <c r="AN87" s="556">
        <f>+IFERROR(ROUND(($AB87-AH87)*100,2)&amp;" pts.",0)</f>
        <v>0</v>
      </c>
      <c r="AO87" s="11"/>
    </row>
    <row r="88" spans="1:41" ht="15" thickBot="1" x14ac:dyDescent="0.4">
      <c r="A88" s="65" t="s">
        <v>7</v>
      </c>
      <c r="B88" s="66" t="str">
        <f>IF(_epmOfflineCondition_,"'Venue5'!$A$102:$F$108",_xll.EVRNG(A102:F108))</f>
        <v>'Venue5'!$A$102:$F$108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77">
        <f>IFERROR(AA88/AA$20,0)</f>
        <v>0</v>
      </c>
      <c r="AK88" s="478">
        <f>IFERROR(AD88/AD$20,0)</f>
        <v>0</v>
      </c>
      <c r="AL88" s="479">
        <f>IFERROR(AG88/AG$20,0)</f>
        <v>0</v>
      </c>
      <c r="AM88" s="480">
        <f>+IFERROR(ROUND(($AB88-AE88)*100,2)&amp;" pts.",0)</f>
        <v>0</v>
      </c>
      <c r="AN88" s="557">
        <f>+IFERROR(ROUND(($AB88-AH88)*100,2)&amp;" pts.",0)</f>
        <v>0</v>
      </c>
      <c r="AO88" s="11"/>
    </row>
    <row r="89" spans="1:41" ht="15" thickTop="1" x14ac:dyDescent="0.35">
      <c r="A89" s="65" t="s">
        <v>47</v>
      </c>
      <c r="B89" s="66" t="str">
        <f>IF(_epmOfflineCondition_,"'Venue5'!$A$125:$B$146",_xll.EVRNG($A$125:$B$146))</f>
        <v>'Venue5'!$A$125:$B$146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IF(_epmOfflineCondition_,"'Venue5'!$B$2:$B$10",_xll.EVRNG($B$2:$B$10))</f>
        <v>'Venue5'!$B$2:$B$10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IF(_epmOfflineCondition_,"'Venue5'!$O$16:$AN$18",_xll.EVRNG($O$16:$AN$18))</f>
        <v>'Venue5'!$O$16:$AN$18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IF(_epmOfflineCondition_,"'Venue5'!$H$85:$H$88",_xll.EVRNG(H85:H88))</f>
        <v>'Venue5'!$H$85:$H$88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IF(_epmOfflineCondition_,"'Venue5'!$A$125:$B$146",_xll.EVRNG($A$125:$B$146))</f>
        <v>'Venue5'!$A$125:$B$146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satxsZ61pd+0e6DyjRuo3t9D/YA8hK+YLp5YhJWjHKpRWmGo6S9gh397ytpco/KJxnvQMkf/dkh5TjtGlbjz4Q==" saltValue="rnP4auxYN9on+qMKjpeFnw==" spinCount="100000" sheet="1" scenarios="1"/>
  <mergeCells count="2">
    <mergeCell ref="AD31:AE31"/>
    <mergeCell ref="AG31:AH31"/>
  </mergeCells>
  <dataValidations count="2">
    <dataValidation type="list" allowBlank="1" sqref="B28 B94 B61" xr:uid="{00000000-0002-0000-0F00-000000000000}">
      <formula1>"ACCOUNT,BUSINESSUNIT,CATEGORY,DATASRC,DEPARTMENT,INTCO,MEASURES,RPTCURRENCY,TIME"</formula1>
    </dataValidation>
    <dataValidation type="list" allowBlank="1" sqref="B29 B95 B62" xr:uid="{00000000-0002-0000-0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0405"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30405" r:id="rId7" name="FPMExcelClientSheetOptionstb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3">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Venue5!N1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787</v>
      </c>
      <c r="C6" s="11" t="str">
        <f>IF(_epmOfflineCondition_,"Venue 5",_xll.EVDES(B6,$B$1))</f>
        <v>Venue 5</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IF(_epmOfflineCondition_,"'Venue5_KPI'!$B$2:$B$10",_xll.EVRNG($B$2:$B$10))</f>
        <v>'Venue5_KPI'!$B$2:$B$10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IF(_epmOfflineCondition_,"'Venue5_KPI'!$O$16:$AI$18",_xll.EVRNG(O16:AI18))</f>
        <v>'Venue5_KPI'!$O$16:$AI$18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IF(_epmOfflineCondition_,"'Venue5_KPI'!$H$35:$H$146",_xll.EVRNG(H35:H146))</f>
        <v>'Venue5_KPI'!$H$35:$H$146</v>
      </c>
      <c r="C19" s="11"/>
      <c r="D19" s="11"/>
      <c r="E19" s="11"/>
      <c r="F19" s="11"/>
      <c r="G19" s="67" t="str">
        <f>$B$6</f>
        <v>D2143</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D2143</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IF(_epmOfflineCondition_,"'Venue5_KPI'!$A$37:$B$58",_xll.EVRNG($A$37:$B$58))</f>
        <v>'Venue5_KPI'!$A$37:$B$58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5 Department",IF($N$1="",IF(_xll.EVDES(B6,$B$1)="#NODATA","",_xll.EVDES(B6,$B$1)&amp;" Department"),$N$1))</f>
        <v>Venue 5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uRvItHthx8hsOOGuLbG8OVNTgYHgh1j/iJn2g+WPtgOGwpgqeMJNSOk8cUPmcYOdJBK5J5lN1A3UW4Ao0LhwWA==" saltValue="Mgw7H1aITtEVr5qDFujNMQ==" spinCount="100000" sheet="1" scenarios="1"/>
  <mergeCells count="2">
    <mergeCell ref="AD31:AE31"/>
    <mergeCell ref="AG31:AH31"/>
  </mergeCells>
  <conditionalFormatting sqref="AD43 AF43:AG43 O43:AA43">
    <cfRule type="expression" dxfId="95" priority="15">
      <formula>ROUND(O42,2)&lt;&gt;ROUND(O43,2)</formula>
    </cfRule>
  </conditionalFormatting>
  <conditionalFormatting sqref="N43">
    <cfRule type="expression" dxfId="94" priority="14">
      <formula>$G43&lt;&gt;0</formula>
    </cfRule>
  </conditionalFormatting>
  <conditionalFormatting sqref="O53:AA53 AD53 AF53:AG53">
    <cfRule type="expression" dxfId="93" priority="13">
      <formula>ROUND(O52,2)&lt;&gt;ROUND(O53,2)</formula>
    </cfRule>
  </conditionalFormatting>
  <conditionalFormatting sqref="N53">
    <cfRule type="expression" dxfId="92" priority="12">
      <formula>$G53&lt;&gt;0</formula>
    </cfRule>
  </conditionalFormatting>
  <conditionalFormatting sqref="O63:AA63 AD63 AF63:AG63">
    <cfRule type="expression" dxfId="91" priority="11">
      <formula>ROUND(O62,2)&lt;&gt;ROUND(O63,2)</formula>
    </cfRule>
  </conditionalFormatting>
  <conditionalFormatting sqref="N63">
    <cfRule type="expression" dxfId="90" priority="10">
      <formula>$G63&lt;&gt;0</formula>
    </cfRule>
  </conditionalFormatting>
  <conditionalFormatting sqref="O73:AA73 AD73 AF73:AG73">
    <cfRule type="expression" dxfId="89" priority="9">
      <formula>ROUND(O72,2)&lt;&gt;ROUND(O73,2)</formula>
    </cfRule>
  </conditionalFormatting>
  <conditionalFormatting sqref="N73">
    <cfRule type="expression" dxfId="88" priority="8">
      <formula>$G73&lt;&gt;0</formula>
    </cfRule>
  </conditionalFormatting>
  <conditionalFormatting sqref="N82">
    <cfRule type="expression" dxfId="87" priority="7">
      <formula>$G82&lt;&gt;0</formula>
    </cfRule>
  </conditionalFormatting>
  <conditionalFormatting sqref="AD82 AF82:AG82 O82:AA82">
    <cfRule type="expression" dxfId="86" priority="6">
      <formula>ROUND(O81,2)&lt;&gt;ROUND(O82,2)</formula>
    </cfRule>
  </conditionalFormatting>
  <conditionalFormatting sqref="AI43">
    <cfRule type="expression" dxfId="85" priority="5">
      <formula>ROUND(AI42,2)&lt;&gt;ROUND(AI43,2)</formula>
    </cfRule>
  </conditionalFormatting>
  <conditionalFormatting sqref="AI53">
    <cfRule type="expression" dxfId="84" priority="4">
      <formula>ROUND(AI52,2)&lt;&gt;ROUND(AI53,2)</formula>
    </cfRule>
  </conditionalFormatting>
  <conditionalFormatting sqref="AI63">
    <cfRule type="expression" dxfId="83" priority="3">
      <formula>ROUND(AI62,2)&lt;&gt;ROUND(AI63,2)</formula>
    </cfRule>
  </conditionalFormatting>
  <conditionalFormatting sqref="AI73">
    <cfRule type="expression" dxfId="82" priority="2">
      <formula>ROUND(AI72,2)&lt;&gt;ROUND(AI73,2)</formula>
    </cfRule>
  </conditionalFormatting>
  <conditionalFormatting sqref="AI82">
    <cfRule type="expression" dxfId="81" priority="1">
      <formula>ROUND(AI81,2)&lt;&gt;ROUND(AI82,2)</formula>
    </cfRule>
  </conditionalFormatting>
  <dataValidations count="2">
    <dataValidation type="list" allowBlank="1" sqref="B29" xr:uid="{00000000-0002-0000-1000-000000000000}">
      <formula1>"SELF,ALL,BAS,DEP,BASMEMBERS,MEMBERS,NOEXPAND,GDEP"</formula1>
    </dataValidation>
    <dataValidation type="list" allowBlank="1" sqref="B28" xr:uid="{00000000-0002-0000-1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788</v>
      </c>
      <c r="C6" s="11" t="str">
        <f>IF(_epmOfflineCondition_,"Venue 6",_xll.EVDES(B6,$B$1))</f>
        <v>Venue 6</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IF(_epmOfflineCondition_,"'Venue6'!$B$2:$B$10",_xll.EVRNG($B$2:$B$10))</f>
        <v>'Venue6'!$B$2:$B$10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IF(_epmOfflineCondition_,"'Venue6'!$O$16:$AN$18",_xll.EVRNG($O$16:$AN$18))</f>
        <v>'Venue6'!$O$16:$AN$18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IF(_epmOfflineCondition_,"'Venue6'!$H$35:$H$58",_xll.EVRNG(H35:H58))</f>
        <v>'Venue6'!$H$35:$H$58</v>
      </c>
      <c r="C19" s="11"/>
      <c r="D19" s="11"/>
      <c r="E19" s="11"/>
      <c r="F19" s="11"/>
      <c r="G19" s="67" t="str">
        <f>$B$6</f>
        <v>D2144</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tr">
        <f>$B$6</f>
        <v>D2144</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IF(_epmOfflineCondition_,"'Venue6'!$A$36:$F$44",_xll.EVRNG(A36:F44))</f>
        <v>'Venue6'!$A$36:$F$44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IF(_epmOfflineCondition_,"'Venue6'!$A$125:$B$146",_xll.EVRNG($A$125:$B$146))</f>
        <v>'Venue6'!$A$125:$B$146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IF(_epmOfflineCondition_,"Venue 6 Department",IF($N$1="",IF(_xll.EVDES(B6,$B$1)="#NODATA","",_xll.EVDES(B6,$B$1)&amp;" Department"),$N$1))</f>
        <v>Venue 6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c r="V35" s="250"/>
      <c r="W35" s="250"/>
      <c r="X35" s="250"/>
      <c r="Y35" s="250"/>
      <c r="Z35" s="250"/>
      <c r="AA35" s="250">
        <f t="shared" ref="AA35:AA58" si="1">IF($I35="B1","",SUM(O35:Z35))</f>
        <v>0</v>
      </c>
      <c r="AB35" s="436" t="str">
        <f t="shared" ref="AB35:AB58" si="2">IF(AA35=0,"",IFERROR(AA35/AA$19,""))</f>
        <v/>
      </c>
      <c r="AC35" s="533"/>
      <c r="AD35" s="250"/>
      <c r="AE35" s="436" t="str">
        <f t="shared" ref="AE35:AE58" si="3">IF(AD35=0,"",IFERROR(AD35/AD$19,""))</f>
        <v/>
      </c>
      <c r="AF35" s="438">
        <f t="shared" ref="AF35:AF58" si="4">IF(AND($AA35="",AD35=""),"",$AA35-AD35)</f>
        <v>0</v>
      </c>
      <c r="AG35" s="250"/>
      <c r="AH35" s="436" t="str">
        <f t="shared" ref="AH35:AH58" si="5">IF(AG35=0,"",IFERROR(AG35/AG$19,""))</f>
        <v/>
      </c>
      <c r="AI35" s="439">
        <f t="shared" ref="AI35:AI58" si="6">IF(AND($AA35="",AG35=""),"",$AA35-AG35)</f>
        <v>0</v>
      </c>
      <c r="AJ35" s="440">
        <f t="shared" ref="AJ35:AJ58" si="7">IFERROR(AA35/AA$20,0)</f>
        <v>0</v>
      </c>
      <c r="AK35" s="441">
        <f t="shared" ref="AK35:AK58" si="8">IFERROR(AD35/AD$20,0)</f>
        <v>0</v>
      </c>
      <c r="AL35" s="442">
        <f t="shared" ref="AL35:AL58" si="9">IFERROR(AG35/AG$20,0)</f>
        <v>0</v>
      </c>
      <c r="AM35" s="443">
        <f t="shared" ref="AM35:AM58" si="10">+IFERROR(ROUND(($AB35-AE35)*100,2)&amp;" pts.",0)</f>
        <v>0</v>
      </c>
      <c r="AN35" s="444">
        <f t="shared" ref="AN35:AN58"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c r="V36" s="250"/>
      <c r="W36" s="250"/>
      <c r="X36" s="250"/>
      <c r="Y36" s="250"/>
      <c r="Z36" s="250"/>
      <c r="AA36" s="250">
        <f t="shared" si="1"/>
        <v>0</v>
      </c>
      <c r="AB36" s="436" t="str">
        <f t="shared" si="2"/>
        <v/>
      </c>
      <c r="AC36" s="533"/>
      <c r="AD36" s="250"/>
      <c r="AE36" s="436" t="str">
        <f t="shared" si="3"/>
        <v/>
      </c>
      <c r="AF36" s="438">
        <f t="shared" si="4"/>
        <v>0</v>
      </c>
      <c r="AG36" s="250"/>
      <c r="AH36" s="436" t="str">
        <f t="shared" si="5"/>
        <v/>
      </c>
      <c r="AI36" s="439">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c r="V37" s="250"/>
      <c r="W37" s="250"/>
      <c r="X37" s="250"/>
      <c r="Y37" s="250"/>
      <c r="Z37" s="250"/>
      <c r="AA37" s="250">
        <f t="shared" si="1"/>
        <v>0</v>
      </c>
      <c r="AB37" s="436" t="str">
        <f t="shared" si="2"/>
        <v/>
      </c>
      <c r="AC37" s="533"/>
      <c r="AD37" s="250"/>
      <c r="AE37" s="436" t="str">
        <f t="shared" si="3"/>
        <v/>
      </c>
      <c r="AF37" s="438">
        <f t="shared" si="4"/>
        <v>0</v>
      </c>
      <c r="AG37" s="250"/>
      <c r="AH37" s="436" t="str">
        <f t="shared" si="5"/>
        <v/>
      </c>
      <c r="AI37" s="439">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c r="P38" s="250"/>
      <c r="Q38" s="250"/>
      <c r="R38" s="250"/>
      <c r="S38" s="250"/>
      <c r="T38" s="250"/>
      <c r="U38" s="250"/>
      <c r="V38" s="250"/>
      <c r="W38" s="250"/>
      <c r="X38" s="250"/>
      <c r="Y38" s="250"/>
      <c r="Z38" s="250"/>
      <c r="AA38" s="250">
        <f t="shared" si="1"/>
        <v>0</v>
      </c>
      <c r="AB38" s="436" t="str">
        <f t="shared" si="2"/>
        <v/>
      </c>
      <c r="AC38" s="533"/>
      <c r="AD38" s="250"/>
      <c r="AE38" s="436" t="str">
        <f t="shared" si="3"/>
        <v/>
      </c>
      <c r="AF38" s="438">
        <f t="shared" si="4"/>
        <v>0</v>
      </c>
      <c r="AG38" s="250"/>
      <c r="AH38" s="436" t="str">
        <f t="shared" si="5"/>
        <v/>
      </c>
      <c r="AI38" s="439">
        <f t="shared" si="6"/>
        <v>0</v>
      </c>
      <c r="AJ38" s="440">
        <f t="shared" si="7"/>
        <v>0</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9">
        <f t="shared" si="7"/>
        <v>0</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c r="P40" s="225"/>
      <c r="Q40" s="225"/>
      <c r="R40" s="225"/>
      <c r="S40" s="225"/>
      <c r="T40" s="225"/>
      <c r="U40" s="225"/>
      <c r="V40" s="225"/>
      <c r="W40" s="225"/>
      <c r="X40" s="225"/>
      <c r="Y40" s="225"/>
      <c r="Z40" s="225"/>
      <c r="AA40" s="225">
        <f t="shared" si="1"/>
        <v>0</v>
      </c>
      <c r="AB40" s="226" t="str">
        <f t="shared" si="2"/>
        <v/>
      </c>
      <c r="AC40" s="227"/>
      <c r="AD40" s="225"/>
      <c r="AE40" s="226" t="str">
        <f t="shared" si="3"/>
        <v/>
      </c>
      <c r="AF40" s="228">
        <f t="shared" si="4"/>
        <v>0</v>
      </c>
      <c r="AG40" s="225"/>
      <c r="AH40" s="226" t="str">
        <f t="shared" si="5"/>
        <v/>
      </c>
      <c r="AI40" s="455">
        <f t="shared" si="6"/>
        <v>0</v>
      </c>
      <c r="AJ40" s="229">
        <f t="shared" si="7"/>
        <v>0</v>
      </c>
      <c r="AK40" s="230">
        <f t="shared" si="8"/>
        <v>0</v>
      </c>
      <c r="AL40" s="232">
        <f t="shared" si="9"/>
        <v>0</v>
      </c>
      <c r="AM40" s="427">
        <f t="shared" si="10"/>
        <v>0</v>
      </c>
      <c r="AN40" s="456">
        <f t="shared" si="11"/>
        <v>0</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34"/>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c r="V42" s="250"/>
      <c r="W42" s="250"/>
      <c r="X42" s="250"/>
      <c r="Y42" s="250"/>
      <c r="Z42" s="250"/>
      <c r="AA42" s="250">
        <f t="shared" si="1"/>
        <v>0</v>
      </c>
      <c r="AB42" s="436" t="str">
        <f t="shared" si="2"/>
        <v/>
      </c>
      <c r="AC42" s="533"/>
      <c r="AD42" s="250"/>
      <c r="AE42" s="436" t="str">
        <f t="shared" si="3"/>
        <v/>
      </c>
      <c r="AF42" s="438">
        <f t="shared" si="4"/>
        <v>0</v>
      </c>
      <c r="AG42" s="250"/>
      <c r="AH42" s="436" t="str">
        <f t="shared" si="5"/>
        <v/>
      </c>
      <c r="AI42" s="439">
        <f t="shared" si="6"/>
        <v>0</v>
      </c>
      <c r="AJ42" s="440">
        <f t="shared" si="7"/>
        <v>0</v>
      </c>
      <c r="AK42" s="441">
        <f t="shared" si="8"/>
        <v>0</v>
      </c>
      <c r="AL42" s="442">
        <f t="shared" si="9"/>
        <v>0</v>
      </c>
      <c r="AM42" s="443">
        <f t="shared" si="10"/>
        <v>0</v>
      </c>
      <c r="AN42" s="444">
        <f t="shared" si="11"/>
        <v>0</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c r="V43" s="250"/>
      <c r="W43" s="250"/>
      <c r="X43" s="250"/>
      <c r="Y43" s="250"/>
      <c r="Z43" s="250"/>
      <c r="AA43" s="250">
        <f t="shared" si="1"/>
        <v>0</v>
      </c>
      <c r="AB43" s="436" t="str">
        <f t="shared" si="2"/>
        <v/>
      </c>
      <c r="AC43" s="533"/>
      <c r="AD43" s="250"/>
      <c r="AE43" s="436" t="str">
        <f t="shared" si="3"/>
        <v/>
      </c>
      <c r="AF43" s="438">
        <f t="shared" si="4"/>
        <v>0</v>
      </c>
      <c r="AG43" s="250"/>
      <c r="AH43" s="436" t="str">
        <f t="shared" si="5"/>
        <v/>
      </c>
      <c r="AI43" s="439">
        <f t="shared" si="6"/>
        <v>0</v>
      </c>
      <c r="AJ43" s="440">
        <f t="shared" si="7"/>
        <v>0</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c r="V44" s="250"/>
      <c r="W44" s="250"/>
      <c r="X44" s="250"/>
      <c r="Y44" s="250"/>
      <c r="Z44" s="250"/>
      <c r="AA44" s="250">
        <f t="shared" si="1"/>
        <v>0</v>
      </c>
      <c r="AB44" s="436" t="str">
        <f t="shared" si="2"/>
        <v/>
      </c>
      <c r="AC44" s="533"/>
      <c r="AD44" s="250"/>
      <c r="AE44" s="436" t="str">
        <f t="shared" si="3"/>
        <v/>
      </c>
      <c r="AF44" s="438">
        <f t="shared" si="4"/>
        <v>0</v>
      </c>
      <c r="AG44" s="250"/>
      <c r="AH44" s="436" t="str">
        <f t="shared" si="5"/>
        <v/>
      </c>
      <c r="AI44" s="439">
        <f t="shared" si="6"/>
        <v>0</v>
      </c>
      <c r="AJ44" s="440">
        <f t="shared" si="7"/>
        <v>0</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c r="P45" s="250"/>
      <c r="Q45" s="250"/>
      <c r="R45" s="250"/>
      <c r="S45" s="250"/>
      <c r="T45" s="250"/>
      <c r="U45" s="250"/>
      <c r="V45" s="250"/>
      <c r="W45" s="250"/>
      <c r="X45" s="250"/>
      <c r="Y45" s="250"/>
      <c r="Z45" s="250"/>
      <c r="AA45" s="250">
        <f t="shared" si="1"/>
        <v>0</v>
      </c>
      <c r="AB45" s="436" t="str">
        <f t="shared" si="2"/>
        <v/>
      </c>
      <c r="AC45" s="533"/>
      <c r="AD45" s="250"/>
      <c r="AE45" s="436" t="str">
        <f t="shared" si="3"/>
        <v/>
      </c>
      <c r="AF45" s="438">
        <f t="shared" si="4"/>
        <v>0</v>
      </c>
      <c r="AG45" s="250"/>
      <c r="AH45" s="436" t="str">
        <f t="shared" si="5"/>
        <v/>
      </c>
      <c r="AI45" s="439">
        <f t="shared" si="6"/>
        <v>0</v>
      </c>
      <c r="AJ45" s="440">
        <f t="shared" si="7"/>
        <v>0</v>
      </c>
      <c r="AK45" s="441">
        <f t="shared" si="8"/>
        <v>0</v>
      </c>
      <c r="AL45" s="442">
        <f t="shared" si="9"/>
        <v>0</v>
      </c>
      <c r="AM45" s="443">
        <f t="shared" si="10"/>
        <v>0</v>
      </c>
      <c r="AN45" s="444">
        <f t="shared" si="11"/>
        <v>0</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c r="Q46" s="251"/>
      <c r="R46" s="251"/>
      <c r="S46" s="251"/>
      <c r="T46" s="251"/>
      <c r="U46" s="251"/>
      <c r="V46" s="251"/>
      <c r="W46" s="251"/>
      <c r="X46" s="251"/>
      <c r="Y46" s="251"/>
      <c r="Z46" s="251"/>
      <c r="AA46" s="251">
        <f t="shared" si="1"/>
        <v>0</v>
      </c>
      <c r="AB46" s="446" t="str">
        <f t="shared" si="2"/>
        <v/>
      </c>
      <c r="AC46" s="437"/>
      <c r="AD46" s="251"/>
      <c r="AE46" s="446" t="str">
        <f t="shared" si="3"/>
        <v/>
      </c>
      <c r="AF46" s="447">
        <f t="shared" si="4"/>
        <v>0</v>
      </c>
      <c r="AG46" s="251"/>
      <c r="AH46" s="446" t="str">
        <f t="shared" si="5"/>
        <v/>
      </c>
      <c r="AI46" s="448">
        <f t="shared" si="6"/>
        <v>0</v>
      </c>
      <c r="AJ46" s="449">
        <f t="shared" si="7"/>
        <v>0</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c r="P47" s="225"/>
      <c r="Q47" s="225"/>
      <c r="R47" s="225"/>
      <c r="S47" s="225"/>
      <c r="T47" s="225"/>
      <c r="U47" s="225"/>
      <c r="V47" s="225"/>
      <c r="W47" s="225"/>
      <c r="X47" s="225"/>
      <c r="Y47" s="225"/>
      <c r="Z47" s="225"/>
      <c r="AA47" s="225">
        <f t="shared" si="1"/>
        <v>0</v>
      </c>
      <c r="AB47" s="226" t="str">
        <f t="shared" si="2"/>
        <v/>
      </c>
      <c r="AC47" s="227"/>
      <c r="AD47" s="225"/>
      <c r="AE47" s="226" t="str">
        <f t="shared" si="3"/>
        <v/>
      </c>
      <c r="AF47" s="228">
        <f t="shared" si="4"/>
        <v>0</v>
      </c>
      <c r="AG47" s="225"/>
      <c r="AH47" s="226" t="str">
        <f t="shared" si="5"/>
        <v/>
      </c>
      <c r="AI47" s="455">
        <f t="shared" si="6"/>
        <v>0</v>
      </c>
      <c r="AJ47" s="229">
        <f t="shared" si="7"/>
        <v>0</v>
      </c>
      <c r="AK47" s="230">
        <f t="shared" si="8"/>
        <v>0</v>
      </c>
      <c r="AL47" s="232">
        <f t="shared" si="9"/>
        <v>0</v>
      </c>
      <c r="AM47" s="427">
        <f t="shared" si="10"/>
        <v>0</v>
      </c>
      <c r="AN47" s="456">
        <f t="shared" si="11"/>
        <v>0</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5"/>
      <c r="P48" s="216"/>
      <c r="Q48" s="216"/>
      <c r="R48" s="216"/>
      <c r="S48" s="216"/>
      <c r="T48" s="216"/>
      <c r="U48" s="216"/>
      <c r="V48" s="216"/>
      <c r="W48" s="216"/>
      <c r="X48" s="216"/>
      <c r="Y48" s="216"/>
      <c r="Z48" s="216"/>
      <c r="AA48" s="216">
        <f t="shared" si="1"/>
        <v>0</v>
      </c>
      <c r="AB48" s="218" t="str">
        <f t="shared" si="2"/>
        <v/>
      </c>
      <c r="AC48" s="459"/>
      <c r="AD48" s="216"/>
      <c r="AE48" s="218" t="str">
        <f t="shared" si="3"/>
        <v/>
      </c>
      <c r="AF48" s="233">
        <f t="shared" si="4"/>
        <v>0</v>
      </c>
      <c r="AG48" s="216"/>
      <c r="AH48" s="218" t="str">
        <f t="shared" si="5"/>
        <v/>
      </c>
      <c r="AI48" s="536">
        <f t="shared" si="6"/>
        <v>0</v>
      </c>
      <c r="AJ48" s="537">
        <f t="shared" si="7"/>
        <v>0</v>
      </c>
      <c r="AK48" s="538">
        <f t="shared" si="8"/>
        <v>0</v>
      </c>
      <c r="AL48" s="539">
        <f t="shared" si="9"/>
        <v>0</v>
      </c>
      <c r="AM48" s="540">
        <f t="shared" si="10"/>
        <v>0</v>
      </c>
      <c r="AN48" s="541">
        <f t="shared" si="11"/>
        <v>0</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c r="P49" s="225"/>
      <c r="Q49" s="225"/>
      <c r="R49" s="225"/>
      <c r="S49" s="225"/>
      <c r="T49" s="225"/>
      <c r="U49" s="225"/>
      <c r="V49" s="225"/>
      <c r="W49" s="225"/>
      <c r="X49" s="225"/>
      <c r="Y49" s="225"/>
      <c r="Z49" s="225"/>
      <c r="AA49" s="225">
        <f t="shared" si="1"/>
        <v>0</v>
      </c>
      <c r="AB49" s="226" t="str">
        <f t="shared" si="2"/>
        <v/>
      </c>
      <c r="AC49" s="227"/>
      <c r="AD49" s="225"/>
      <c r="AE49" s="226" t="str">
        <f t="shared" si="3"/>
        <v/>
      </c>
      <c r="AF49" s="228">
        <f t="shared" si="4"/>
        <v>0</v>
      </c>
      <c r="AG49" s="225"/>
      <c r="AH49" s="226" t="str">
        <f t="shared" si="5"/>
        <v/>
      </c>
      <c r="AI49" s="455">
        <f t="shared" si="6"/>
        <v>0</v>
      </c>
      <c r="AJ49" s="229">
        <f t="shared" si="7"/>
        <v>0</v>
      </c>
      <c r="AK49" s="230">
        <f t="shared" si="8"/>
        <v>0</v>
      </c>
      <c r="AL49" s="232">
        <f t="shared" si="9"/>
        <v>0</v>
      </c>
      <c r="AM49" s="427">
        <f t="shared" si="10"/>
        <v>0</v>
      </c>
      <c r="AN49" s="456">
        <f t="shared" si="11"/>
        <v>0</v>
      </c>
      <c r="AO49" s="11"/>
    </row>
    <row r="50" spans="1:41" x14ac:dyDescent="0.35">
      <c r="A50" s="65" t="s">
        <v>2</v>
      </c>
      <c r="B50" s="66" t="str">
        <f>IF(_epmOfflineCondition_,"'Venue6'!$B$2:$B$10",_xll.EVRNG($B$2:$B$10))</f>
        <v>'Venue6'!$B$2:$B$10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34"/>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IF(_epmOfflineCondition_,"'Venue6'!$O$16:$AN$18",_xll.EVRNG($O$16:$AN$18))</f>
        <v>'Venue6'!$O$16:$AN$18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33"/>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IF(_epmOfflineCondition_,"'Venue6'!$H$62:$H$70",_xll.EVRNG(H62:H70))</f>
        <v>'Venue6'!$H$62:$H$70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33"/>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33"/>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c r="P54" s="250"/>
      <c r="Q54" s="250"/>
      <c r="R54" s="250"/>
      <c r="S54" s="250"/>
      <c r="T54" s="250"/>
      <c r="U54" s="250"/>
      <c r="V54" s="250"/>
      <c r="W54" s="250"/>
      <c r="X54" s="250"/>
      <c r="Y54" s="250"/>
      <c r="Z54" s="250"/>
      <c r="AA54" s="250">
        <f t="shared" si="1"/>
        <v>0</v>
      </c>
      <c r="AB54" s="436" t="str">
        <f t="shared" si="2"/>
        <v/>
      </c>
      <c r="AC54" s="533"/>
      <c r="AD54" s="250"/>
      <c r="AE54" s="436" t="str">
        <f t="shared" si="3"/>
        <v/>
      </c>
      <c r="AF54" s="438">
        <f t="shared" si="4"/>
        <v>0</v>
      </c>
      <c r="AG54" s="250"/>
      <c r="AH54" s="436" t="str">
        <f t="shared" si="5"/>
        <v/>
      </c>
      <c r="AI54" s="439">
        <f t="shared" si="6"/>
        <v>0</v>
      </c>
      <c r="AJ54" s="440">
        <f t="shared" si="7"/>
        <v>0</v>
      </c>
      <c r="AK54" s="441">
        <f t="shared" si="8"/>
        <v>0</v>
      </c>
      <c r="AL54" s="442">
        <f t="shared" si="9"/>
        <v>0</v>
      </c>
      <c r="AM54" s="443">
        <f t="shared" si="10"/>
        <v>0</v>
      </c>
      <c r="AN54" s="444">
        <f t="shared" si="11"/>
        <v>0</v>
      </c>
      <c r="AO54" s="11"/>
    </row>
    <row r="55" spans="1:41" x14ac:dyDescent="0.35">
      <c r="A55" s="65" t="s">
        <v>7</v>
      </c>
      <c r="B55" s="66" t="str">
        <f>IF(_epmOfflineCondition_,"'Venue6'!$A$69:$F$77",_xll.EVRNG(A69:F77))</f>
        <v>'Venue6'!$A$69:$F$77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c r="Q55" s="250"/>
      <c r="R55" s="250"/>
      <c r="S55" s="250"/>
      <c r="T55" s="250"/>
      <c r="U55" s="250"/>
      <c r="V55" s="250"/>
      <c r="W55" s="250"/>
      <c r="X55" s="250"/>
      <c r="Y55" s="250"/>
      <c r="Z55" s="250"/>
      <c r="AA55" s="250">
        <f t="shared" si="1"/>
        <v>0</v>
      </c>
      <c r="AB55" s="436" t="str">
        <f t="shared" si="2"/>
        <v/>
      </c>
      <c r="AC55" s="533"/>
      <c r="AD55" s="250"/>
      <c r="AE55" s="436" t="str">
        <f t="shared" si="3"/>
        <v/>
      </c>
      <c r="AF55" s="438">
        <f t="shared" si="4"/>
        <v>0</v>
      </c>
      <c r="AG55" s="250"/>
      <c r="AH55" s="436" t="str">
        <f t="shared" si="5"/>
        <v/>
      </c>
      <c r="AI55" s="439">
        <f t="shared" si="6"/>
        <v>0</v>
      </c>
      <c r="AJ55" s="440">
        <f t="shared" si="7"/>
        <v>0</v>
      </c>
      <c r="AK55" s="441">
        <f t="shared" si="8"/>
        <v>0</v>
      </c>
      <c r="AL55" s="442">
        <f t="shared" si="9"/>
        <v>0</v>
      </c>
      <c r="AM55" s="443">
        <f t="shared" si="10"/>
        <v>0</v>
      </c>
      <c r="AN55" s="444">
        <f t="shared" si="11"/>
        <v>0</v>
      </c>
      <c r="AO55" s="11"/>
    </row>
    <row r="56" spans="1:41" x14ac:dyDescent="0.35">
      <c r="A56" s="65" t="s">
        <v>47</v>
      </c>
      <c r="B56" s="66" t="str">
        <f>IF(_epmOfflineCondition_,"'Venue6'!$A$125:$B$146",_xll.EVRNG($A$125:$B$146))</f>
        <v>'Venue6'!$A$125:$B$146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c r="P57" s="238"/>
      <c r="Q57" s="238"/>
      <c r="R57" s="238"/>
      <c r="S57" s="238"/>
      <c r="T57" s="238"/>
      <c r="U57" s="238"/>
      <c r="V57" s="238"/>
      <c r="W57" s="238"/>
      <c r="X57" s="238"/>
      <c r="Y57" s="238"/>
      <c r="Z57" s="238"/>
      <c r="AA57" s="238">
        <f t="shared" si="1"/>
        <v>0</v>
      </c>
      <c r="AB57" s="239" t="str">
        <f t="shared" si="2"/>
        <v/>
      </c>
      <c r="AC57" s="240"/>
      <c r="AD57" s="238"/>
      <c r="AE57" s="239" t="str">
        <f t="shared" si="3"/>
        <v/>
      </c>
      <c r="AF57" s="241">
        <f t="shared" si="4"/>
        <v>0</v>
      </c>
      <c r="AG57" s="238"/>
      <c r="AH57" s="239" t="str">
        <f t="shared" si="5"/>
        <v/>
      </c>
      <c r="AI57" s="464">
        <f t="shared" si="6"/>
        <v>0</v>
      </c>
      <c r="AJ57" s="242">
        <f t="shared" si="7"/>
        <v>0</v>
      </c>
      <c r="AK57" s="243">
        <f t="shared" si="8"/>
        <v>0</v>
      </c>
      <c r="AL57" s="245">
        <f t="shared" si="9"/>
        <v>0</v>
      </c>
      <c r="AM57" s="431">
        <f t="shared" si="10"/>
        <v>0</v>
      </c>
      <c r="AN57" s="465">
        <f t="shared" si="11"/>
        <v>0</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c r="P58" s="225"/>
      <c r="Q58" s="225"/>
      <c r="R58" s="225"/>
      <c r="S58" s="225"/>
      <c r="T58" s="225"/>
      <c r="U58" s="225"/>
      <c r="V58" s="225"/>
      <c r="W58" s="225"/>
      <c r="X58" s="225"/>
      <c r="Y58" s="225"/>
      <c r="Z58" s="225"/>
      <c r="AA58" s="225">
        <f t="shared" si="1"/>
        <v>0</v>
      </c>
      <c r="AB58" s="226" t="str">
        <f t="shared" si="2"/>
        <v/>
      </c>
      <c r="AC58" s="227"/>
      <c r="AD58" s="225"/>
      <c r="AE58" s="226" t="str">
        <f t="shared" si="3"/>
        <v/>
      </c>
      <c r="AF58" s="228">
        <f t="shared" si="4"/>
        <v>0</v>
      </c>
      <c r="AG58" s="225"/>
      <c r="AH58" s="226" t="str">
        <f t="shared" si="5"/>
        <v/>
      </c>
      <c r="AI58" s="455">
        <f t="shared" si="6"/>
        <v>0</v>
      </c>
      <c r="AJ58" s="229">
        <f t="shared" si="7"/>
        <v>0</v>
      </c>
      <c r="AK58" s="230">
        <f t="shared" si="8"/>
        <v>0</v>
      </c>
      <c r="AL58" s="232">
        <f t="shared" si="9"/>
        <v>0</v>
      </c>
      <c r="AM58" s="427">
        <f t="shared" si="10"/>
        <v>0</v>
      </c>
      <c r="AN58" s="456">
        <f t="shared" si="11"/>
        <v>0</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c r="P62" s="250"/>
      <c r="Q62" s="250"/>
      <c r="R62" s="250"/>
      <c r="S62" s="250"/>
      <c r="T62" s="250"/>
      <c r="U62" s="250"/>
      <c r="V62" s="250"/>
      <c r="W62" s="250"/>
      <c r="X62" s="250"/>
      <c r="Y62" s="250"/>
      <c r="Z62" s="250"/>
      <c r="AA62" s="250">
        <f t="shared" ref="AA62:AA70" si="13">IF($I62="B1","",SUM(O62:Z62))</f>
        <v>0</v>
      </c>
      <c r="AB62" s="436" t="str">
        <f>IF(_epmOfflineCondition_,"",IF(AA62=0,"",IFERROR(AA62/_xll.EVGTS($B$1,1,_xll.EVPRO($B$1,$H62,"COSBASIS"),$B$3,$B$5,$B$6,$B$7,$B$9,AA$16,AA$17,AA$11),"")))</f>
        <v/>
      </c>
      <c r="AC62" s="533"/>
      <c r="AD62" s="250"/>
      <c r="AE62" s="436" t="str">
        <f>IF(_epmOfflineCondition_,"",IF(AD62=0,"",IFERROR(AD62/_xll.EVGTS($B$1,1,_xll.EVPRO($B$1,$H62,"COSBASIS"),$B$3,$B$5,$B$6,$B$7,$B$9,AD$16,AD$17,AD$18),"")))</f>
        <v/>
      </c>
      <c r="AF62" s="438">
        <f t="shared" ref="AF62:AF72" si="14">IF(AND($AA62="",AD62=""),"",$AA62-AD62)</f>
        <v>0</v>
      </c>
      <c r="AG62" s="250"/>
      <c r="AH62" s="436" t="str">
        <f>IF(_epmOfflineCondition_,"",IF(AG62=0,"",IFERROR(AG62/_xll.EVGTS($B$1,1,_xll.EVPRO($B$1,$H62,"COSBASIS"),$B$3,$B$5,$B$6,$B$7,$B$9,AG$16,AG$17,AG$18),"")))</f>
        <v/>
      </c>
      <c r="AI62" s="439">
        <f t="shared" ref="AI62:AI72" si="15">IF(AND($AA62="",AG62=""),"",$AA62-AG62)</f>
        <v>0</v>
      </c>
      <c r="AJ62" s="440">
        <f t="shared" ref="AJ62:AJ70" si="16">IFERROR(AA62/AA$20,0)</f>
        <v>0</v>
      </c>
      <c r="AK62" s="441">
        <f t="shared" ref="AK62:AK70" si="17">IFERROR(AD62/AD$20,0)</f>
        <v>0</v>
      </c>
      <c r="AL62" s="442">
        <f t="shared" ref="AL62:AL70" si="18">IFERROR(AG62/AG$20,0)</f>
        <v>0</v>
      </c>
      <c r="AM62" s="443">
        <f t="shared" ref="AM62:AM70" si="19">+IFERROR(ROUND(($AB62-AE62)*100,2)&amp;" pts.",0)</f>
        <v>0</v>
      </c>
      <c r="AN62" s="444">
        <f t="shared" ref="AN62:AN70" si="20">+IFERROR(ROUND(($AB62-AH62)*100,2)&amp;" pts.",0)</f>
        <v>0</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c r="P63" s="251"/>
      <c r="Q63" s="251"/>
      <c r="R63" s="251"/>
      <c r="S63" s="251"/>
      <c r="T63" s="251"/>
      <c r="U63" s="251"/>
      <c r="V63" s="251"/>
      <c r="W63" s="251"/>
      <c r="X63" s="251"/>
      <c r="Y63" s="251"/>
      <c r="Z63" s="251"/>
      <c r="AA63" s="251">
        <f t="shared" si="13"/>
        <v>0</v>
      </c>
      <c r="AB63" s="446" t="str">
        <f>IF(_epmOfflineCondition_,"",IF(AA63=0,"",IFERROR(AA63/_xll.EVGTS($B$1,1,_xll.EVPRO($B$1,$H63,"COSBASIS"),$B$3,$B$5,$B$6,$B$7,$B$9,AA$16,AA$17,AA$11),"")))</f>
        <v/>
      </c>
      <c r="AC63" s="437"/>
      <c r="AD63" s="251"/>
      <c r="AE63" s="446" t="str">
        <f>IF(_epmOfflineCondition_,"",IF(AD63=0,"",IFERROR(AD63/_xll.EVGTS($B$1,1,_xll.EVPRO($B$1,$H63,"COSBASIS"),$B$3,$B$5,$B$6,$B$7,$B$9,AD$16,AD$17,AD$18),"")))</f>
        <v/>
      </c>
      <c r="AF63" s="447">
        <f t="shared" si="14"/>
        <v>0</v>
      </c>
      <c r="AG63" s="251"/>
      <c r="AH63" s="446" t="str">
        <f>IF(_epmOfflineCondition_,"",IF(AG63=0,"",IFERROR(AG63/_xll.EVGTS($B$1,1,_xll.EVPRO($B$1,$H63,"COSBASIS"),$B$3,$B$5,$B$6,$B$7,$B$9,AG$16,AG$17,AG$18),"")))</f>
        <v/>
      </c>
      <c r="AI63" s="448">
        <f t="shared" si="15"/>
        <v>0</v>
      </c>
      <c r="AJ63" s="449">
        <f t="shared" si="16"/>
        <v>0</v>
      </c>
      <c r="AK63" s="450">
        <f t="shared" si="17"/>
        <v>0</v>
      </c>
      <c r="AL63" s="451">
        <f t="shared" si="18"/>
        <v>0</v>
      </c>
      <c r="AM63" s="452">
        <f t="shared" si="19"/>
        <v>0</v>
      </c>
      <c r="AN63" s="453">
        <f t="shared" si="20"/>
        <v>0</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c r="P64" s="225"/>
      <c r="Q64" s="225"/>
      <c r="R64" s="225"/>
      <c r="S64" s="225"/>
      <c r="T64" s="225"/>
      <c r="U64" s="225"/>
      <c r="V64" s="225"/>
      <c r="W64" s="225"/>
      <c r="X64" s="225"/>
      <c r="Y64" s="225"/>
      <c r="Z64" s="225"/>
      <c r="AA64" s="225">
        <f t="shared" si="13"/>
        <v>0</v>
      </c>
      <c r="AB64" s="226" t="str">
        <f>IF(_epmOfflineCondition_,"",IF(AA64=0,"",IFERROR(AA64/_xll.EVGTS($B$1,1,_xll.EVPRO($B$1,$H64,"COSBASIS"),$B$3,$B$5,$B$6,$B$7,$B$9,AA$16,AA$17,AA$11),"")))</f>
        <v/>
      </c>
      <c r="AC64" s="227"/>
      <c r="AD64" s="225"/>
      <c r="AE64" s="226" t="str">
        <f>IF(_epmOfflineCondition_,"",IF(AD64=0,"",IFERROR(AD64/_xll.EVGTS($B$1,1,_xll.EVPRO($B$1,$H64,"COSBASIS"),$B$3,$B$5,$B$6,$B$7,$B$9,AD$16,AD$17,AD$18),"")))</f>
        <v/>
      </c>
      <c r="AF64" s="228">
        <f t="shared" si="14"/>
        <v>0</v>
      </c>
      <c r="AG64" s="225"/>
      <c r="AH64" s="226" t="str">
        <f>IF(_epmOfflineCondition_,"",IF(AG64=0,"",IFERROR(AG64/_xll.EVGTS($B$1,1,_xll.EVPRO($B$1,$H64,"COSBASIS"),$B$3,$B$5,$B$6,$B$7,$B$9,AG$16,AG$17,AG$18),"")))</f>
        <v/>
      </c>
      <c r="AI64" s="455">
        <f t="shared" si="15"/>
        <v>0</v>
      </c>
      <c r="AJ64" s="229">
        <f t="shared" si="16"/>
        <v>0</v>
      </c>
      <c r="AK64" s="230">
        <f t="shared" si="17"/>
        <v>0</v>
      </c>
      <c r="AL64" s="232">
        <f t="shared" si="18"/>
        <v>0</v>
      </c>
      <c r="AM64" s="427">
        <f t="shared" si="19"/>
        <v>0</v>
      </c>
      <c r="AN64" s="456">
        <f t="shared" si="20"/>
        <v>0</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34"/>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33"/>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33"/>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c r="P70" s="225"/>
      <c r="Q70" s="225"/>
      <c r="R70" s="225"/>
      <c r="S70" s="225"/>
      <c r="T70" s="225"/>
      <c r="U70" s="225"/>
      <c r="V70" s="225"/>
      <c r="W70" s="225"/>
      <c r="X70" s="225"/>
      <c r="Y70" s="225"/>
      <c r="Z70" s="225"/>
      <c r="AA70" s="225">
        <f t="shared" si="13"/>
        <v>0</v>
      </c>
      <c r="AB70" s="226" t="str">
        <f>IF(_epmOfflineCondition_,"",IF(AA70=0,"",IFERROR(AA70/_xll.EVGTS($B$1,1,_xll.EVPRO($B$1,$H70,"COSBASIS"),$B$3,$B$5,$B$6,$B$7,$B$9,AA$16,AA$17,AA$11),"")))</f>
        <v/>
      </c>
      <c r="AC70" s="227"/>
      <c r="AD70" s="225"/>
      <c r="AE70" s="226" t="str">
        <f>IF(_epmOfflineCondition_,"",IF(AD70=0,"",IFERROR(AD70/_xll.EVGTS($B$1,1,_xll.EVPRO($B$1,$H70,"COSBASIS"),$B$3,$B$5,$B$6,$B$7,$B$9,AD$16,AD$17,AD$18),"")))</f>
        <v/>
      </c>
      <c r="AF70" s="228">
        <f t="shared" si="14"/>
        <v>0</v>
      </c>
      <c r="AG70" s="225"/>
      <c r="AH70" s="226" t="str">
        <f>IF(_epmOfflineCondition_,"",IF(AG70=0,"",IFERROR(AG70/_xll.EVGTS($B$1,1,_xll.EVPRO($B$1,$H70,"COSBASIS"),$B$3,$B$5,$B$6,$B$7,$B$9,AG$16,AG$17,AG$18),"")))</f>
        <v/>
      </c>
      <c r="AI70" s="455">
        <f t="shared" si="15"/>
        <v>0</v>
      </c>
      <c r="AJ70" s="229">
        <f t="shared" si="16"/>
        <v>0</v>
      </c>
      <c r="AK70" s="230">
        <f t="shared" si="17"/>
        <v>0</v>
      </c>
      <c r="AL70" s="232">
        <f t="shared" si="18"/>
        <v>0</v>
      </c>
      <c r="AM70" s="427">
        <f t="shared" si="19"/>
        <v>0</v>
      </c>
      <c r="AN70" s="456">
        <f t="shared" si="20"/>
        <v>0</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IF($I76="B1","",SUM(O76:Z76))</f>
        <v>0</v>
      </c>
      <c r="AB76" s="211" t="str">
        <f>IF(AA76=0,"",IFERROR(AA76/AA$19,""))</f>
        <v/>
      </c>
      <c r="AC76" s="140"/>
      <c r="AD76" s="210"/>
      <c r="AE76" s="211" t="str">
        <f>IF(AD76=0,"",IFERROR(AD76/AD$19,""))</f>
        <v/>
      </c>
      <c r="AF76" s="253">
        <f>IF(AND($AA76="",AD76=""),"",$AA76-AD76)</f>
        <v>0</v>
      </c>
      <c r="AG76" s="210"/>
      <c r="AH76" s="211" t="str">
        <f>IF(AG76=0,"",IFERROR(AG76/AG$19,""))</f>
        <v/>
      </c>
      <c r="AI76" s="253">
        <f>IF(AND($AA76="",AG76=""),"",$AA76-AG76)</f>
        <v>0</v>
      </c>
      <c r="AJ76" s="440">
        <f>IFERROR(AA76/AA$20,0)</f>
        <v>0</v>
      </c>
      <c r="AK76" s="441">
        <f>IFERROR(AD76/AD$20,0)</f>
        <v>0</v>
      </c>
      <c r="AL76" s="442">
        <f>IFERROR(AG76/AG$20,0)</f>
        <v>0</v>
      </c>
      <c r="AM76" s="443">
        <f>+IFERROR(ROUND(($AB76-AE76)*100,2)&amp;" pts.",0)</f>
        <v>0</v>
      </c>
      <c r="AN76" s="444">
        <f>+IFERROR(ROUND(($AB76-AH76)*100,2)&amp;" pts.",0)</f>
        <v>0</v>
      </c>
      <c r="AO76" s="11"/>
    </row>
    <row r="77" spans="1:41" hidden="1" x14ac:dyDescent="0.3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IF($I77="B1","",SUM(O77:Z77))</f>
        <v>0</v>
      </c>
      <c r="AB77" s="211" t="str">
        <f>IF(AA77=0,"",IFERROR(AA77/AA$19,""))</f>
        <v/>
      </c>
      <c r="AC77" s="140"/>
      <c r="AD77" s="210"/>
      <c r="AE77" s="211" t="str">
        <f>IF(AD77=0,"",IFERROR(AD77/AD$19,""))</f>
        <v/>
      </c>
      <c r="AF77" s="253">
        <f>IF(AND($AA77="",AD77=""),"",$AA77-AD77)</f>
        <v>0</v>
      </c>
      <c r="AG77" s="210"/>
      <c r="AH77" s="211" t="str">
        <f>IF(AG77=0,"",IFERROR(AG77/AG$19,""))</f>
        <v/>
      </c>
      <c r="AI77" s="253">
        <f>IF(AND($AA77="",AG77=""),"",$AA77-AG77)</f>
        <v>0</v>
      </c>
      <c r="AJ77" s="440">
        <f>IFERROR(AA77/AA$20,0)</f>
        <v>0</v>
      </c>
      <c r="AK77" s="441">
        <f>IFERROR(AD77/AD$20,0)</f>
        <v>0</v>
      </c>
      <c r="AL77" s="442">
        <f>IFERROR(AG77/AG$20,0)</f>
        <v>0</v>
      </c>
      <c r="AM77" s="443">
        <f>+IFERROR(ROUND(($AB77-AE77)*100,2)&amp;" pts.",0)</f>
        <v>0</v>
      </c>
      <c r="AN77" s="444">
        <f>+IFERROR(ROUND(($AB77-AH77)*100,2)&amp;" pts.",0)</f>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3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16"/>
      <c r="P79" s="216"/>
      <c r="Q79" s="216"/>
      <c r="R79" s="216"/>
      <c r="S79" s="216"/>
      <c r="T79" s="216"/>
      <c r="U79" s="216"/>
      <c r="V79" s="216"/>
      <c r="W79" s="216"/>
      <c r="X79" s="216"/>
      <c r="Y79" s="216"/>
      <c r="Z79" s="216"/>
      <c r="AA79" s="251">
        <f>IF($I79="B1","",SUM(O79:Z79))</f>
        <v>0</v>
      </c>
      <c r="AB79" s="218" t="str">
        <f>IF(AA79=0,"",IFERROR(AA79/AA$19,""))</f>
        <v/>
      </c>
      <c r="AC79" s="140"/>
      <c r="AD79" s="216"/>
      <c r="AE79" s="218" t="str">
        <f>IF(AD79=0,"",IFERROR(AD79/AD$19,""))</f>
        <v/>
      </c>
      <c r="AF79" s="233">
        <f>IF(AND($AA79="",AD79=""),"",$AA79-AD79)</f>
        <v>0</v>
      </c>
      <c r="AG79" s="216"/>
      <c r="AH79" s="218" t="str">
        <f>IF(AG79=0,"",IFERROR(AG79/AG$19,""))</f>
        <v/>
      </c>
      <c r="AI79" s="233">
        <f>IF(AND($AA79="",AG79=""),"",$AA79-AG79)</f>
        <v>0</v>
      </c>
      <c r="AJ79" s="440">
        <f>IFERROR(AA79/AA$20,0)</f>
        <v>0</v>
      </c>
      <c r="AK79" s="441">
        <f>IFERROR(AD79/AD$20,0)</f>
        <v>0</v>
      </c>
      <c r="AL79" s="442">
        <f>IFERROR(AG79/AG$20,0)</f>
        <v>0</v>
      </c>
      <c r="AM79" s="443">
        <f>+IFERROR(ROUND(($AB79-AE79)*100,2)&amp;" pts.",0)</f>
        <v>0</v>
      </c>
      <c r="AN79" s="444">
        <f>+IFERROR(ROUND(($AB79-AH79)*100,2)&amp;" pts.",0)</f>
        <v>0</v>
      </c>
      <c r="AO79" s="11"/>
    </row>
    <row r="80" spans="1:41" hidden="1" x14ac:dyDescent="0.3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16"/>
      <c r="P80" s="216"/>
      <c r="Q80" s="216"/>
      <c r="R80" s="216"/>
      <c r="S80" s="216"/>
      <c r="T80" s="216"/>
      <c r="U80" s="216"/>
      <c r="V80" s="216"/>
      <c r="W80" s="216"/>
      <c r="X80" s="216"/>
      <c r="Y80" s="216"/>
      <c r="Z80" s="216"/>
      <c r="AA80" s="251">
        <f>IF($I80="B1","",SUM(O80:Z80))</f>
        <v>0</v>
      </c>
      <c r="AB80" s="218" t="str">
        <f>IF(AA80=0,"",IFERROR(AA80/AA$19,""))</f>
        <v/>
      </c>
      <c r="AC80" s="140"/>
      <c r="AD80" s="216"/>
      <c r="AE80" s="218" t="str">
        <f>IF(AD80=0,"",IFERROR(AD80/AD$19,""))</f>
        <v/>
      </c>
      <c r="AF80" s="233">
        <f>IF(AND($AA80="",AD80=""),"",$AA80-AD80)</f>
        <v>0</v>
      </c>
      <c r="AG80" s="216"/>
      <c r="AH80" s="218" t="str">
        <f>IF(AG80=0,"",IFERROR(AG80/AG$19,""))</f>
        <v/>
      </c>
      <c r="AI80" s="233">
        <f>IF(AND($AA80="",AG80=""),"",$AA80-AG80)</f>
        <v>0</v>
      </c>
      <c r="AJ80" s="440">
        <f>IFERROR(AA80/AA$20,0)</f>
        <v>0</v>
      </c>
      <c r="AK80" s="441">
        <f>IFERROR(AD80/AD$20,0)</f>
        <v>0</v>
      </c>
      <c r="AL80" s="442">
        <f>IFERROR(AG80/AG$20,0)</f>
        <v>0</v>
      </c>
      <c r="AM80" s="443">
        <f>+IFERROR(ROUND(($AB80-AE80)*100,2)&amp;" pts.",0)</f>
        <v>0</v>
      </c>
      <c r="AN80" s="444">
        <f>+IFERROR(ROUND(($AB80-AH80)*100,2)&amp;" pts.",0)</f>
        <v>0</v>
      </c>
      <c r="AO80" s="11"/>
    </row>
    <row r="81" spans="1:41" x14ac:dyDescent="0.3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3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35">
      <c r="A83" s="65" t="s">
        <v>2</v>
      </c>
      <c r="B83" s="66" t="str">
        <f>IF(_epmOfflineCondition_,"'Venue6'!$B$2:$B$10",_xll.EVRNG($B$2:$B$10))</f>
        <v>'Venue6'!$B$2:$B$10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43"/>
      <c r="P83" s="143"/>
      <c r="Q83" s="143"/>
      <c r="R83" s="143"/>
      <c r="S83" s="143"/>
      <c r="T83" s="143"/>
      <c r="U83" s="143"/>
      <c r="V83" s="143"/>
      <c r="W83" s="143"/>
      <c r="X83" s="143"/>
      <c r="Y83" s="143"/>
      <c r="Z83" s="143"/>
      <c r="AA83" s="250">
        <f>IF($I83="B1","",SUM(O83:Z83))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c r="AJ83" s="440">
        <f>IFERROR(AA83/AA$20,0)</f>
        <v>0</v>
      </c>
      <c r="AK83" s="441">
        <f>IFERROR(AD83/AD$20,0)</f>
        <v>0</v>
      </c>
      <c r="AL83" s="442">
        <f>IFERROR(AG83/AG$20,0)</f>
        <v>0</v>
      </c>
      <c r="AM83" s="443">
        <f>+IFERROR(ROUND(($AB83-AE83)*100,2)&amp;" pts.",0)</f>
        <v>0</v>
      </c>
      <c r="AN83" s="444">
        <f>+IFERROR(ROUND(($AB83-AH83)*100,2)&amp;" pts.",0)</f>
        <v>0</v>
      </c>
      <c r="AO83" s="11"/>
    </row>
    <row r="84" spans="1:41" hidden="1" x14ac:dyDescent="0.35">
      <c r="A84" s="65" t="s">
        <v>3</v>
      </c>
      <c r="B84" s="66" t="str">
        <f>IF(_epmOfflineCondition_,"'Venue6'!$O$16:$AN$18",_xll.EVRNG($O$16:$AN$18))</f>
        <v>'Venue6'!$O$16:$AN$18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43"/>
      <c r="P84" s="143"/>
      <c r="Q84" s="143"/>
      <c r="R84" s="143"/>
      <c r="S84" s="143"/>
      <c r="T84" s="143"/>
      <c r="U84" s="143"/>
      <c r="V84" s="143"/>
      <c r="W84" s="143"/>
      <c r="X84" s="143"/>
      <c r="Y84" s="143"/>
      <c r="Z84" s="143"/>
      <c r="AA84" s="250">
        <f>IF($I84="B1","",SUM(O84:Z84))</f>
        <v>0</v>
      </c>
      <c r="AB84" s="144" t="str">
        <f>IF(AA84=0,"",IFERROR(AA84/AA$19,""))</f>
        <v/>
      </c>
      <c r="AC84" s="140"/>
      <c r="AD84" s="143"/>
      <c r="AE84" s="144" t="str">
        <f>IF(AD84=0,"",IFERROR(AD84/AD$19,""))</f>
        <v/>
      </c>
      <c r="AF84" s="145">
        <f>IF(AND($AA84="",AD84=""),"",$AA84-AD84)</f>
        <v>0</v>
      </c>
      <c r="AG84" s="143"/>
      <c r="AH84" s="144" t="str">
        <f>IF(AG84=0,"",IFERROR(AG84/AG$19,""))</f>
        <v/>
      </c>
      <c r="AI84" s="145">
        <f>IF(AND($AA84="",AG84=""),"",$AA84-AG84)</f>
        <v>0</v>
      </c>
      <c r="AJ84" s="440">
        <f>IFERROR(AA84/AA$20,0)</f>
        <v>0</v>
      </c>
      <c r="AK84" s="441">
        <f>IFERROR(AD84/AD$20,0)</f>
        <v>0</v>
      </c>
      <c r="AL84" s="442">
        <f>IFERROR(AG84/AG$20,0)</f>
        <v>0</v>
      </c>
      <c r="AM84" s="443">
        <f>+IFERROR(ROUND(($AB84-AE84)*100,2)&amp;" pts.",0)</f>
        <v>0</v>
      </c>
      <c r="AN84" s="444">
        <f>+IFERROR(ROUND(($AB84-AH84)*100,2)&amp;" pts.",0)</f>
        <v>0</v>
      </c>
      <c r="AO84" s="11"/>
    </row>
    <row r="85" spans="1:41" x14ac:dyDescent="0.35">
      <c r="A85" s="65" t="s">
        <v>4</v>
      </c>
      <c r="B85" s="66" t="str">
        <f>IF(_epmOfflineCondition_,"'Venue6'!$H$76:$H$77,'Venue6'!$H$79:$H$80,'Venue6'!$H$83:$H$84",_xll.EVRNG(H76:H77,H79:H80,H83:H84))</f>
        <v>'Venue6'!$H$76:$H$77,'Venue6'!$H$79:$H$80,'Venue6'!$H$83:$H$84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4"/>
      <c r="P85" s="154"/>
      <c r="Q85" s="154"/>
      <c r="R85" s="154"/>
      <c r="S85" s="154"/>
      <c r="T85" s="154"/>
      <c r="U85" s="154"/>
      <c r="V85" s="154"/>
      <c r="W85" s="154"/>
      <c r="X85" s="154"/>
      <c r="Y85" s="154"/>
      <c r="Z85" s="154"/>
      <c r="AA85" s="154">
        <f>IF($I85="B1","",SUM(O85:Z85))</f>
        <v>0</v>
      </c>
      <c r="AB85" s="155" t="str">
        <f>IF(AA85=0,"",IFERROR(AA85/AA$19,""))</f>
        <v/>
      </c>
      <c r="AC85" s="140"/>
      <c r="AD85" s="154"/>
      <c r="AE85" s="155" t="str">
        <f>IF(AD85=0,"",IFERROR(AD85/AD$19,""))</f>
        <v/>
      </c>
      <c r="AF85" s="156">
        <f>IF(AND($AA85="",AD85=""),"",$AA85-AD85)</f>
        <v>0</v>
      </c>
      <c r="AG85" s="154"/>
      <c r="AH85" s="155" t="str">
        <f>IF(AG85=0,"",IFERROR(AG85/AG$19,""))</f>
        <v/>
      </c>
      <c r="AI85" s="156">
        <f>IF(AND($AA85="",AG85=""),"",$AA85-AG85)</f>
        <v>0</v>
      </c>
      <c r="AJ85" s="466">
        <f>IFERROR(AA85/AA$20,0)</f>
        <v>0</v>
      </c>
      <c r="AK85" s="467">
        <f>IFERROR(AD85/AD$20,0)</f>
        <v>0</v>
      </c>
      <c r="AL85" s="468">
        <f>IFERROR(AG85/AG$20,0)</f>
        <v>0</v>
      </c>
      <c r="AM85" s="469">
        <f>+IFERROR(ROUND(($AB85-AE85)*100,2)&amp;" pts.",0)</f>
        <v>0</v>
      </c>
      <c r="AN85" s="555">
        <f>+IFERROR(ROUND(($AB85-AH85)*100,2)&amp;" pts.",0)</f>
        <v>0</v>
      </c>
      <c r="AO85" s="11"/>
    </row>
    <row r="86" spans="1:41" x14ac:dyDescent="0.3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3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38"/>
      <c r="P87" s="238"/>
      <c r="Q87" s="238"/>
      <c r="R87" s="238"/>
      <c r="S87" s="238"/>
      <c r="T87" s="238"/>
      <c r="U87" s="238"/>
      <c r="V87" s="238"/>
      <c r="W87" s="238"/>
      <c r="X87" s="238"/>
      <c r="Y87" s="238"/>
      <c r="Z87" s="238"/>
      <c r="AA87" s="238">
        <f>IF($I87="B1","",SUM(O87:Z87))</f>
        <v>0</v>
      </c>
      <c r="AB87" s="239" t="str">
        <f>IF(AA87=0,"",IFERROR(AA87/AA$19,""))</f>
        <v/>
      </c>
      <c r="AC87" s="140"/>
      <c r="AD87" s="238"/>
      <c r="AE87" s="239" t="str">
        <f>IF(AD87=0,"",IFERROR(AD87/AD$19,""))</f>
        <v/>
      </c>
      <c r="AF87" s="254">
        <f>IF(AND($AA87="",AD87=""),"",$AA87-AD87)</f>
        <v>0</v>
      </c>
      <c r="AG87" s="255"/>
      <c r="AH87" s="256" t="str">
        <f>IF(AG87=0,"",IFERROR(AG87/AG$19,""))</f>
        <v/>
      </c>
      <c r="AI87" s="254">
        <f>IF(AND($AA87="",AG87=""),"",$AA87-AG87)</f>
        <v>0</v>
      </c>
      <c r="AJ87" s="472">
        <f>IFERROR(AA87/AA$20,0)</f>
        <v>0</v>
      </c>
      <c r="AK87" s="473">
        <f>IFERROR(AD87/AD$20,0)</f>
        <v>0</v>
      </c>
      <c r="AL87" s="474">
        <f>IFERROR(AG87/AG$20,0)</f>
        <v>0</v>
      </c>
      <c r="AM87" s="475">
        <f>+IFERROR(ROUND(($AB87-AE87)*100,2)&amp;" pts.",0)</f>
        <v>0</v>
      </c>
      <c r="AN87" s="556">
        <f>+IFERROR(ROUND(($AB87-AH87)*100,2)&amp;" pts.",0)</f>
        <v>0</v>
      </c>
      <c r="AO87" s="11"/>
    </row>
    <row r="88" spans="1:41" ht="15" thickBot="1" x14ac:dyDescent="0.4">
      <c r="A88" s="65" t="s">
        <v>7</v>
      </c>
      <c r="B88" s="66" t="str">
        <f>IF(_epmOfflineCondition_,"'Venue6'!$A$102:$F$108",_xll.EVRNG(A102:F108))</f>
        <v>'Venue6'!$A$102:$F$108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9"/>
      <c r="P88" s="169"/>
      <c r="Q88" s="169"/>
      <c r="R88" s="169"/>
      <c r="S88" s="169"/>
      <c r="T88" s="169"/>
      <c r="U88" s="169"/>
      <c r="V88" s="169"/>
      <c r="W88" s="169"/>
      <c r="X88" s="169"/>
      <c r="Y88" s="169"/>
      <c r="Z88" s="169"/>
      <c r="AA88" s="169">
        <f>IF($I88="B1","",SUM(O88:Z88))</f>
        <v>0</v>
      </c>
      <c r="AB88" s="170" t="str">
        <f>IF(AA88=0,"",IFERROR(AA88/AA$19,""))</f>
        <v/>
      </c>
      <c r="AC88" s="140"/>
      <c r="AD88" s="169"/>
      <c r="AE88" s="170" t="str">
        <f>IF(AD88=0,"",IFERROR(AD88/AD$19,""))</f>
        <v/>
      </c>
      <c r="AF88" s="171">
        <f>IF(AND($AA88="",AD88=""),"",$AA88-AD88)</f>
        <v>0</v>
      </c>
      <c r="AG88" s="169"/>
      <c r="AH88" s="170" t="str">
        <f>IF(AG88=0,"",IFERROR(AG88/AG$19,""))</f>
        <v/>
      </c>
      <c r="AI88" s="171">
        <f>IF(AND($AA88="",AG88=""),"",$AA88-AG88)</f>
        <v>0</v>
      </c>
      <c r="AJ88" s="477">
        <f>IFERROR(AA88/AA$20,0)</f>
        <v>0</v>
      </c>
      <c r="AK88" s="478">
        <f>IFERROR(AD88/AD$20,0)</f>
        <v>0</v>
      </c>
      <c r="AL88" s="479">
        <f>IFERROR(AG88/AG$20,0)</f>
        <v>0</v>
      </c>
      <c r="AM88" s="480">
        <f>+IFERROR(ROUND(($AB88-AE88)*100,2)&amp;" pts.",0)</f>
        <v>0</v>
      </c>
      <c r="AN88" s="557">
        <f>+IFERROR(ROUND(($AB88-AH88)*100,2)&amp;" pts.",0)</f>
        <v>0</v>
      </c>
      <c r="AO88" s="11"/>
    </row>
    <row r="89" spans="1:41" ht="15" thickTop="1" x14ac:dyDescent="0.35">
      <c r="A89" s="65" t="s">
        <v>47</v>
      </c>
      <c r="B89" s="66" t="str">
        <f>IF(_epmOfflineCondition_,"'Venue6'!$A$125:$B$146",_xll.EVRNG($A$125:$B$146))</f>
        <v>'Venue6'!$A$125:$B$146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3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IF(_epmOfflineCondition_,"'Venue6'!$B$2:$B$10",_xll.EVRNG($B$2:$B$10))</f>
        <v>'Venue6'!$B$2:$B$10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IF(_epmOfflineCondition_,"'Venue6'!$O$16:$AN$18",_xll.EVRNG($O$16:$AN$18))</f>
        <v>'Venue6'!$O$16:$AN$18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IF(_epmOfflineCondition_,"'Venue6'!$H$85:$H$88",_xll.EVRNG(H85:H88))</f>
        <v>'Venue6'!$H$85:$H$88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IF(_epmOfflineCondition_,"'Venue6'!$A$125:$B$146",_xll.EVRNG($A$125:$B$146))</f>
        <v>'Venue6'!$A$125:$B$146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1yJ3huB9lVQ/l5EyiURvPKFGD8Yu67m0vol004OxX+UmUGTHIuXZloO8IZJMawUAfiss85KWZN7iHuu7iBnEBA==" saltValue="wZHoOana625unXiHLexkdw==" spinCount="100000" sheet="1" scenarios="1"/>
  <mergeCells count="2">
    <mergeCell ref="AD31:AE31"/>
    <mergeCell ref="AG31:AH31"/>
  </mergeCells>
  <dataValidations count="2">
    <dataValidation type="list" allowBlank="1" sqref="B29 B95 B62" xr:uid="{00000000-0002-0000-1100-000000000000}">
      <formula1>"SELF,ALL,BAS,DEP,BASMEMBERS,MEMBERS,NOEXPAND,GDEP"</formula1>
    </dataValidation>
    <dataValidation type="list" allowBlank="1" sqref="B28 B94 B61" xr:uid="{00000000-0002-0000-1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2449"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32449" r:id="rId7" name="FPMExcelClientSheetOptionstb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5">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Venue6!N1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788</v>
      </c>
      <c r="C6" s="11" t="str">
        <f>IF(_epmOfflineCondition_,"Venue 6",_xll.EVDES(B6,$B$1))</f>
        <v>Venue 6</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IF(_epmOfflineCondition_,"'Venue6_KPI'!$B$2:$B$10",_xll.EVRNG($B$2:$B$10))</f>
        <v>'Venue6_KPI'!$B$2:$B$10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IF(_epmOfflineCondition_,"'Venue6_KPI'!$O$16:$AI$18",_xll.EVRNG(O16:AI18))</f>
        <v>'Venue6_KPI'!$O$16:$AI$18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IF(_epmOfflineCondition_,"'Venue6_KPI'!$H$35:$H$146",_xll.EVRNG(H35:H146))</f>
        <v>'Venue6_KPI'!$H$35:$H$146</v>
      </c>
      <c r="C19" s="11"/>
      <c r="D19" s="11"/>
      <c r="E19" s="11"/>
      <c r="F19" s="11"/>
      <c r="G19" s="67" t="str">
        <f>$B$6</f>
        <v>D2144</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67" t="str">
        <f>$B$6</f>
        <v>D2144</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IF(_epmOfflineCondition_,"'Venue6_KPI'!$A$37:$B$58",_xll.EVRNG($A$37:$B$58))</f>
        <v>'Venue6_KPI'!$A$37:$B$58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IF(_epmOfflineCondition_,"Venue 6 Department",IF($N$1="",IF(_xll.EVDES(B6,$B$1)="#NODATA","",_xll.EVDES(B6,$B$1)&amp;" Department"),$N$1))</f>
        <v>Venue 6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c r="AH35" s="144" t="str">
        <f>IF(AG35=0,"",IFERROR(AG35/AG$19,""))</f>
        <v/>
      </c>
      <c r="AI35" s="145">
        <f t="shared" ref="AI35:AI42" si="2">IF(AND($AA35="",AG35=""),"",$AA35-AG35)</f>
        <v>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c r="AH39" s="167" t="str">
        <f>IF(AG39=0,"",IFERROR(AG39/AG$19,""))</f>
        <v/>
      </c>
      <c r="AI39" s="168">
        <f t="shared" si="2"/>
        <v>0</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IF(AA41=0,"",IFERROR(AA41/AA$87,""))</f>
        <v/>
      </c>
      <c r="AC41" s="140"/>
      <c r="AD41" s="210"/>
      <c r="AE41" s="211" t="str">
        <f>IF(AD41=0,"",IFERROR(AD41/AD$87,""))</f>
        <v/>
      </c>
      <c r="AF41" s="253">
        <f t="shared" si="1"/>
        <v>0</v>
      </c>
      <c r="AG41" s="210"/>
      <c r="AH41" s="211" t="str">
        <f>IF(AG41=0,"",IFERROR(AG41/AG$87,""))</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c r="Y51" s="210"/>
      <c r="Z51" s="210"/>
      <c r="AA51" s="210">
        <f t="shared" si="5"/>
        <v>0</v>
      </c>
      <c r="AB51" s="211" t="str">
        <f>IF(AA51=0,"",IFERROR(AA51/AA$87,""))</f>
        <v/>
      </c>
      <c r="AC51" s="140"/>
      <c r="AD51" s="210"/>
      <c r="AE51" s="211" t="str">
        <f>IF(AD51=0,"",IFERROR(AD51/AD$87,""))</f>
        <v/>
      </c>
      <c r="AF51" s="253">
        <f t="shared" si="6"/>
        <v>0</v>
      </c>
      <c r="AG51" s="210"/>
      <c r="AH51" s="211" t="str">
        <f>IF(AG51=0,"",IFERROR(AG51/AG$87,""))</f>
        <v/>
      </c>
      <c r="AI51" s="253">
        <f t="shared" si="7"/>
        <v>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IF(AA61=0,"",IFERROR(AA61/AA$87,""))</f>
        <v/>
      </c>
      <c r="AC61" s="140"/>
      <c r="AD61" s="210"/>
      <c r="AE61" s="211" t="str">
        <f>IF(AD61=0,"",IFERROR(AD61/AD$87,""))</f>
        <v/>
      </c>
      <c r="AF61" s="253">
        <f t="shared" si="11"/>
        <v>0</v>
      </c>
      <c r="AG61" s="210"/>
      <c r="AH61" s="211" t="str">
        <f>IF(AG61=0,"",IFERROR(AG61/AG$87,""))</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c r="Q83" s="143"/>
      <c r="R83" s="143"/>
      <c r="S83" s="143"/>
      <c r="T83" s="143"/>
      <c r="U83" s="143"/>
      <c r="V83" s="143"/>
      <c r="W83" s="143"/>
      <c r="X83" s="143"/>
      <c r="Y83" s="143"/>
      <c r="Z83" s="143"/>
      <c r="AA83" s="143">
        <f>SUM(O83:Z83)</f>
        <v>0</v>
      </c>
      <c r="AB83" s="144" t="str">
        <f>IF(AA83=0,"",IFERROR(AA83/AA$19,""))</f>
        <v/>
      </c>
      <c r="AC83" s="140"/>
      <c r="AD83" s="143"/>
      <c r="AE83" s="144" t="str">
        <f>IF(AD83=0,"",IFERROR(AD83/AD$19,""))</f>
        <v/>
      </c>
      <c r="AF83" s="145">
        <f>IF(AND($AA83="",AD83=""),"",$AA83-AD83)</f>
        <v>0</v>
      </c>
      <c r="AG83" s="143"/>
      <c r="AH83" s="144" t="str">
        <f>IF(AG83=0,"",IFERROR(AG83/AG$19,""))</f>
        <v/>
      </c>
      <c r="AI83" s="145">
        <f>IF(AND($AA83="",AG83=""),"",$AA83-AG83)</f>
        <v>0</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c r="AE92" s="144"/>
      <c r="AF92" s="145">
        <f>IF(AND($AA92="",AD92=""),"",$AA92-AD92)</f>
        <v>0</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4" t="str">
        <f>IF(AND($AA94="",AD94=""),"",$AA94-AD94)</f>
        <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c r="W98" s="143"/>
      <c r="X98" s="143"/>
      <c r="Y98" s="143"/>
      <c r="Z98" s="143"/>
      <c r="AA98" s="143">
        <f t="shared" ref="AA98:AA103" si="27">SUM(O98:Z98)</f>
        <v>0</v>
      </c>
      <c r="AB98" s="144" t="str">
        <f t="shared" ref="AB98:AB103" si="28">IF(AA98=0,"",IFERROR(AA98/AA$19,""))</f>
        <v/>
      </c>
      <c r="AC98" s="140"/>
      <c r="AD98" s="143"/>
      <c r="AE98" s="144" t="str">
        <f t="shared" ref="AE98:AE103" si="29">IF(AD98=0,"",IFERROR(AD98/AD$19,""))</f>
        <v/>
      </c>
      <c r="AF98" s="145">
        <f t="shared" ref="AF98:AF103" si="30">IF(AND($AA98="",AD98=""),"",$AA98-AD98)</f>
        <v>0</v>
      </c>
      <c r="AG98" s="143"/>
      <c r="AH98" s="144" t="str">
        <f t="shared" ref="AH98:AH103" si="31">IF(AG98=0,"",IFERROR(AG98/AG$19,""))</f>
        <v/>
      </c>
      <c r="AI98" s="145">
        <f t="shared" ref="AI98:AI103" si="32">IF(AND($AA98="",AG98=""),"",$AA98-AG98)</f>
        <v>0</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c r="V99" s="143"/>
      <c r="W99" s="143"/>
      <c r="X99" s="143"/>
      <c r="Y99" s="143"/>
      <c r="Z99" s="143"/>
      <c r="AA99" s="143">
        <f t="shared" si="27"/>
        <v>0</v>
      </c>
      <c r="AB99" s="144" t="str">
        <f t="shared" si="28"/>
        <v/>
      </c>
      <c r="AC99" s="140"/>
      <c r="AD99" s="143"/>
      <c r="AE99" s="144" t="str">
        <f t="shared" si="29"/>
        <v/>
      </c>
      <c r="AF99" s="145">
        <f t="shared" si="30"/>
        <v>0</v>
      </c>
      <c r="AG99" s="143"/>
      <c r="AH99" s="144" t="str">
        <f t="shared" si="31"/>
        <v/>
      </c>
      <c r="AI99" s="145">
        <f t="shared" si="32"/>
        <v>0</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c r="V100" s="143"/>
      <c r="W100" s="143"/>
      <c r="X100" s="143"/>
      <c r="Y100" s="143"/>
      <c r="Z100" s="143"/>
      <c r="AA100" s="143">
        <f t="shared" si="27"/>
        <v>0</v>
      </c>
      <c r="AB100" s="144" t="str">
        <f t="shared" si="28"/>
        <v/>
      </c>
      <c r="AC100" s="140"/>
      <c r="AD100" s="143"/>
      <c r="AE100" s="144" t="str">
        <f t="shared" si="29"/>
        <v/>
      </c>
      <c r="AF100" s="145">
        <f t="shared" si="30"/>
        <v>0</v>
      </c>
      <c r="AG100" s="143"/>
      <c r="AH100" s="144" t="str">
        <f t="shared" si="31"/>
        <v/>
      </c>
      <c r="AI100" s="145">
        <f t="shared" si="32"/>
        <v>0</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c r="P103" s="166"/>
      <c r="Q103" s="166"/>
      <c r="R103" s="166"/>
      <c r="S103" s="166"/>
      <c r="T103" s="166"/>
      <c r="U103" s="166"/>
      <c r="V103" s="166"/>
      <c r="W103" s="166"/>
      <c r="X103" s="166"/>
      <c r="Y103" s="166"/>
      <c r="Z103" s="166"/>
      <c r="AA103" s="166">
        <f t="shared" si="27"/>
        <v>0</v>
      </c>
      <c r="AB103" s="167" t="str">
        <f t="shared" si="28"/>
        <v/>
      </c>
      <c r="AC103" s="140"/>
      <c r="AD103" s="166"/>
      <c r="AE103" s="167" t="str">
        <f t="shared" si="29"/>
        <v/>
      </c>
      <c r="AF103" s="168">
        <f t="shared" si="30"/>
        <v>0</v>
      </c>
      <c r="AG103" s="166"/>
      <c r="AH103" s="167" t="str">
        <f t="shared" si="31"/>
        <v/>
      </c>
      <c r="AI103" s="168">
        <f t="shared" si="32"/>
        <v>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c r="AE106" s="144" t="str">
        <f t="shared" ref="AE106:AE111" si="35">IF(AD106=0,"",IFERROR(AD106/AD$19,""))</f>
        <v/>
      </c>
      <c r="AF106" s="145">
        <f t="shared" ref="AF106:AF111" si="36">IF(AND($AA106="",AD106=""),"",$AA106-AD106)</f>
        <v>0</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c r="V107" s="143"/>
      <c r="W107" s="143"/>
      <c r="X107" s="143"/>
      <c r="Y107" s="143"/>
      <c r="Z107" s="143"/>
      <c r="AA107" s="143">
        <f t="shared" si="33"/>
        <v>0</v>
      </c>
      <c r="AB107" s="144" t="str">
        <f t="shared" si="34"/>
        <v/>
      </c>
      <c r="AC107" s="140"/>
      <c r="AD107" s="143"/>
      <c r="AE107" s="144" t="str">
        <f t="shared" si="35"/>
        <v/>
      </c>
      <c r="AF107" s="145">
        <f t="shared" si="36"/>
        <v>0</v>
      </c>
      <c r="AG107" s="143"/>
      <c r="AH107" s="144" t="str">
        <f t="shared" si="37"/>
        <v/>
      </c>
      <c r="AI107" s="145">
        <f t="shared" si="38"/>
        <v>0</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c r="W108" s="143"/>
      <c r="X108" s="143"/>
      <c r="Y108" s="143"/>
      <c r="Z108" s="143"/>
      <c r="AA108" s="143">
        <f t="shared" si="33"/>
        <v>0</v>
      </c>
      <c r="AB108" s="144" t="str">
        <f t="shared" si="34"/>
        <v/>
      </c>
      <c r="AC108" s="140"/>
      <c r="AD108" s="143"/>
      <c r="AE108" s="144" t="str">
        <f t="shared" si="35"/>
        <v/>
      </c>
      <c r="AF108" s="145">
        <f t="shared" si="36"/>
        <v>0</v>
      </c>
      <c r="AG108" s="143"/>
      <c r="AH108" s="144" t="str">
        <f t="shared" si="37"/>
        <v/>
      </c>
      <c r="AI108" s="145">
        <f t="shared" si="38"/>
        <v>0</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c r="P111" s="166"/>
      <c r="Q111" s="166"/>
      <c r="R111" s="166"/>
      <c r="S111" s="166"/>
      <c r="T111" s="166"/>
      <c r="U111" s="166"/>
      <c r="V111" s="166"/>
      <c r="W111" s="166"/>
      <c r="X111" s="166"/>
      <c r="Y111" s="166"/>
      <c r="Z111" s="166"/>
      <c r="AA111" s="166">
        <f t="shared" si="33"/>
        <v>0</v>
      </c>
      <c r="AB111" s="167" t="str">
        <f t="shared" si="34"/>
        <v/>
      </c>
      <c r="AC111" s="140"/>
      <c r="AD111" s="166"/>
      <c r="AE111" s="167" t="str">
        <f t="shared" si="35"/>
        <v/>
      </c>
      <c r="AF111" s="168">
        <f t="shared" si="36"/>
        <v>0</v>
      </c>
      <c r="AG111" s="166"/>
      <c r="AH111" s="167" t="str">
        <f t="shared" si="37"/>
        <v/>
      </c>
      <c r="AI111" s="168">
        <f t="shared" si="38"/>
        <v>0</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c r="V114" s="143"/>
      <c r="W114" s="143"/>
      <c r="X114" s="143"/>
      <c r="Y114" s="143"/>
      <c r="Z114" s="143"/>
      <c r="AA114" s="143">
        <f t="shared" ref="AA114:AA119" si="39">SUM(O114:Z114)</f>
        <v>0</v>
      </c>
      <c r="AB114" s="144" t="str">
        <f t="shared" ref="AB114:AB119" si="40">IF(AA114=0,"",IFERROR(AA114/AA$19,""))</f>
        <v/>
      </c>
      <c r="AC114" s="140"/>
      <c r="AD114" s="143"/>
      <c r="AE114" s="144" t="str">
        <f t="shared" ref="AE114:AE119" si="41">IF(AD114=0,"",IFERROR(AD114/AD$19,""))</f>
        <v/>
      </c>
      <c r="AF114" s="145">
        <f t="shared" ref="AF114:AF119" si="42">IF(AND($AA114="",AD114=""),"",$AA114-AD114)</f>
        <v>0</v>
      </c>
      <c r="AG114" s="143"/>
      <c r="AH114" s="144" t="str">
        <f t="shared" ref="AH114:AH119" si="43">IF(AG114=0,"",IFERROR(AG114/AG$19,""))</f>
        <v/>
      </c>
      <c r="AI114" s="145">
        <f t="shared" ref="AI114:AI119" si="44">IF(AND($AA114="",AG114=""),"",$AA114-AG114)</f>
        <v>0</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c r="V115" s="143"/>
      <c r="W115" s="143"/>
      <c r="X115" s="143"/>
      <c r="Y115" s="143"/>
      <c r="Z115" s="143"/>
      <c r="AA115" s="143">
        <f t="shared" si="39"/>
        <v>0</v>
      </c>
      <c r="AB115" s="144" t="str">
        <f t="shared" si="40"/>
        <v/>
      </c>
      <c r="AC115" s="140"/>
      <c r="AD115" s="143"/>
      <c r="AE115" s="144" t="str">
        <f t="shared" si="41"/>
        <v/>
      </c>
      <c r="AF115" s="145">
        <f t="shared" si="42"/>
        <v>0</v>
      </c>
      <c r="AG115" s="143"/>
      <c r="AH115" s="144" t="str">
        <f t="shared" si="43"/>
        <v/>
      </c>
      <c r="AI115" s="145">
        <f t="shared" si="44"/>
        <v>0</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c r="X116" s="143"/>
      <c r="Y116" s="143"/>
      <c r="Z116" s="143"/>
      <c r="AA116" s="143">
        <f t="shared" si="39"/>
        <v>0</v>
      </c>
      <c r="AB116" s="144" t="str">
        <f t="shared" si="40"/>
        <v/>
      </c>
      <c r="AC116" s="140"/>
      <c r="AD116" s="143"/>
      <c r="AE116" s="144" t="str">
        <f t="shared" si="41"/>
        <v/>
      </c>
      <c r="AF116" s="145">
        <f t="shared" si="42"/>
        <v>0</v>
      </c>
      <c r="AG116" s="143"/>
      <c r="AH116" s="144" t="str">
        <f t="shared" si="43"/>
        <v/>
      </c>
      <c r="AI116" s="145">
        <f t="shared" si="44"/>
        <v>0</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c r="P119" s="166"/>
      <c r="Q119" s="166"/>
      <c r="R119" s="166"/>
      <c r="S119" s="166"/>
      <c r="T119" s="166"/>
      <c r="U119" s="166"/>
      <c r="V119" s="166"/>
      <c r="W119" s="166"/>
      <c r="X119" s="166"/>
      <c r="Y119" s="166"/>
      <c r="Z119" s="166"/>
      <c r="AA119" s="166">
        <f t="shared" si="39"/>
        <v>0</v>
      </c>
      <c r="AB119" s="167" t="str">
        <f t="shared" si="40"/>
        <v/>
      </c>
      <c r="AC119" s="140"/>
      <c r="AD119" s="166"/>
      <c r="AE119" s="167" t="str">
        <f t="shared" si="41"/>
        <v/>
      </c>
      <c r="AF119" s="168">
        <f t="shared" si="42"/>
        <v>0</v>
      </c>
      <c r="AG119" s="166"/>
      <c r="AH119" s="167" t="str">
        <f t="shared" si="43"/>
        <v/>
      </c>
      <c r="AI119" s="168">
        <f t="shared" si="44"/>
        <v>0</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0</v>
      </c>
      <c r="AB121" s="144" t="str">
        <f t="shared" ref="AB121:AB126" si="47">IF(AA121=0,"",IFERROR(AA121/AA$19,""))</f>
        <v/>
      </c>
      <c r="AC121" s="140"/>
      <c r="AD121" s="143">
        <f>AD98+AD106+AD114</f>
        <v>0</v>
      </c>
      <c r="AE121" s="144" t="str">
        <f t="shared" ref="AE121:AE126" si="48">IF(AD121=0,"",IFERROR(AD121/AD$19,""))</f>
        <v/>
      </c>
      <c r="AF121" s="145">
        <f t="shared" ref="AF121:AF126" si="49">IF(AND($AA121="",AD121=""),"",$AA121-AD121)</f>
        <v>0</v>
      </c>
      <c r="AG121" s="143">
        <f>AG98+AG106+AG114</f>
        <v>0</v>
      </c>
      <c r="AH121" s="144" t="str">
        <f t="shared" ref="AH121:AH126" si="50">IF(AG121=0,"",IFERROR(AG121/AG$19,""))</f>
        <v/>
      </c>
      <c r="AI121" s="145">
        <f t="shared" ref="AI121:AI126" si="51">IF(AND($AA121="",AG121=""),"",$AA121-AG121)</f>
        <v>0</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0</v>
      </c>
      <c r="AB122" s="144" t="str">
        <f t="shared" si="47"/>
        <v/>
      </c>
      <c r="AC122" s="140"/>
      <c r="AD122" s="143">
        <f>AD99+AD107+AD115</f>
        <v>0</v>
      </c>
      <c r="AE122" s="144" t="str">
        <f t="shared" si="48"/>
        <v/>
      </c>
      <c r="AF122" s="145">
        <f t="shared" si="49"/>
        <v>0</v>
      </c>
      <c r="AG122" s="143">
        <f>AG99+AG107+AG115</f>
        <v>0</v>
      </c>
      <c r="AH122" s="144" t="str">
        <f t="shared" si="50"/>
        <v/>
      </c>
      <c r="AI122" s="145">
        <f t="shared" si="51"/>
        <v>0</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0</v>
      </c>
      <c r="AB123" s="144" t="str">
        <f t="shared" si="47"/>
        <v/>
      </c>
      <c r="AC123" s="140"/>
      <c r="AD123" s="143">
        <f>AD100+AD108+AD116</f>
        <v>0</v>
      </c>
      <c r="AE123" s="144" t="str">
        <f t="shared" si="48"/>
        <v/>
      </c>
      <c r="AF123" s="145">
        <f t="shared" si="49"/>
        <v>0</v>
      </c>
      <c r="AG123" s="143">
        <f>AG100+AG108+AG116</f>
        <v>0</v>
      </c>
      <c r="AH123" s="144" t="str">
        <f t="shared" si="50"/>
        <v/>
      </c>
      <c r="AI123" s="145">
        <f t="shared" si="51"/>
        <v>0</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0</v>
      </c>
      <c r="P126" s="166">
        <f t="shared" si="56"/>
        <v>0</v>
      </c>
      <c r="Q126" s="166">
        <f t="shared" si="56"/>
        <v>0</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0</v>
      </c>
      <c r="AB126" s="167" t="str">
        <f t="shared" si="47"/>
        <v/>
      </c>
      <c r="AC126" s="140"/>
      <c r="AD126" s="166">
        <f>SUM(AD121:AD125)</f>
        <v>0</v>
      </c>
      <c r="AE126" s="167" t="str">
        <f t="shared" si="48"/>
        <v/>
      </c>
      <c r="AF126" s="168">
        <f t="shared" si="49"/>
        <v>0</v>
      </c>
      <c r="AG126" s="166">
        <f>SUM(AG121:AG125)</f>
        <v>0</v>
      </c>
      <c r="AH126" s="167" t="str">
        <f t="shared" si="50"/>
        <v/>
      </c>
      <c r="AI126" s="168">
        <f t="shared" si="51"/>
        <v>0</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c r="P130" s="143"/>
      <c r="Q130" s="143"/>
      <c r="R130" s="143"/>
      <c r="S130" s="143"/>
      <c r="T130" s="143"/>
      <c r="U130" s="143"/>
      <c r="V130" s="143"/>
      <c r="W130" s="143"/>
      <c r="X130" s="143"/>
      <c r="Y130" s="143"/>
      <c r="Z130" s="143"/>
      <c r="AA130" s="143">
        <f>SUM(O130:Z130)</f>
        <v>0</v>
      </c>
      <c r="AB130" s="436" t="str">
        <f>IF(_epmOfflineCondition_,"",IF(AA130=0,"",IFERROR(AA130/_xll.EVGTS($B$1,1,_xll.EVPRO($B$1,$H130,"COSBASIS"),$B$3,$B$5,$B$6,$B$7,$B$9,AA$16,AA$17,AA$11),"")))</f>
        <v/>
      </c>
      <c r="AC130" s="140"/>
      <c r="AD130" s="143"/>
      <c r="AE130" s="436" t="str">
        <f>IF(_epmOfflineCondition_,"",IF(AD130=0,"",IFERROR(AD130/_xll.EVGTS($B$1,1,_xll.EVPRO($B$1,$H130,"COSBASIS"),$B$3,$B$5,$B$6,$B$7,$B$9,AD$16,AD$17,AD$18),"")))</f>
        <v/>
      </c>
      <c r="AF130" s="145">
        <f t="shared" ref="AF130:AF141" si="58">IF(AND($AA130="",AD130=""),"",$AA130-AD130)</f>
        <v>0</v>
      </c>
      <c r="AG130" s="143"/>
      <c r="AH130" s="436" t="str">
        <f>IF(_epmOfflineCondition_,"",IF(AG130=0,"",IFERROR(AG130/_xll.EVGTS($B$1,1,_xll.EVPRO($B$1,$H130,"COSBASIS"),$B$3,$B$5,$B$6,$B$7,$B$9,AG$16,AG$17,AG$18),"")))</f>
        <v/>
      </c>
      <c r="AI130" s="145">
        <f t="shared" ref="AI130:AI141" si="59">IF(AND($AA130="",AG130=""),"",$AA130-AG130)</f>
        <v>0</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36"/>
      <c r="AC131" s="140"/>
      <c r="AD131" s="508"/>
      <c r="AE131" s="436"/>
      <c r="AF131" s="521" t="str">
        <f t="shared" si="58"/>
        <v/>
      </c>
      <c r="AG131" s="508"/>
      <c r="AH131" s="436"/>
      <c r="AI131" s="521" t="str">
        <f t="shared" si="59"/>
        <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c r="P132" s="143"/>
      <c r="Q132" s="143"/>
      <c r="R132" s="143"/>
      <c r="S132" s="143"/>
      <c r="T132" s="143"/>
      <c r="U132" s="143"/>
      <c r="V132" s="143"/>
      <c r="W132" s="143"/>
      <c r="X132" s="143"/>
      <c r="Y132" s="143"/>
      <c r="Z132" s="143"/>
      <c r="AA132" s="143">
        <f>SUM(O132:Z132)</f>
        <v>0</v>
      </c>
      <c r="AB132" s="436" t="str">
        <f>IF(_epmOfflineCondition_,"",IF(AA132=0,"",IFERROR(AA132/_xll.EVGTS($B$1,1,_xll.EVPRO($B$1,$H132,"COSBASIS"),$B$3,$B$5,$B$6,$B$7,$B$9,AA$16,AA$17,AA$11),"")))</f>
        <v/>
      </c>
      <c r="AC132" s="140"/>
      <c r="AD132" s="143"/>
      <c r="AE132" s="436" t="str">
        <f>IF(_epmOfflineCondition_,"",IF(AD132=0,"",IFERROR(AD132/_xll.EVGTS($B$1,1,_xll.EVPRO($B$1,$H132,"COSBASIS"),$B$3,$B$5,$B$6,$B$7,$B$9,AD$16,AD$17,AD$18),"")))</f>
        <v/>
      </c>
      <c r="AF132" s="145">
        <f t="shared" si="58"/>
        <v>0</v>
      </c>
      <c r="AG132" s="143"/>
      <c r="AH132" s="436" t="str">
        <f>IF(_epmOfflineCondition_,"",IF(AG132=0,"",IFERROR(AG132/_xll.EVGTS($B$1,1,_xll.EVPRO($B$1,$H132,"COSBASIS"),$B$3,$B$5,$B$6,$B$7,$B$9,AG$16,AG$17,AG$18),"")))</f>
        <v/>
      </c>
      <c r="AI132" s="145">
        <f t="shared" si="59"/>
        <v>0</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36"/>
      <c r="AC133" s="140"/>
      <c r="AD133" s="508"/>
      <c r="AE133" s="436"/>
      <c r="AF133" s="521" t="str">
        <f t="shared" si="58"/>
        <v/>
      </c>
      <c r="AG133" s="508"/>
      <c r="AH133" s="436"/>
      <c r="AI133" s="521" t="str">
        <f t="shared" si="59"/>
        <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c r="P134" s="143"/>
      <c r="Q134" s="143"/>
      <c r="R134" s="143"/>
      <c r="S134" s="143"/>
      <c r="T134" s="143"/>
      <c r="U134" s="143"/>
      <c r="V134" s="143"/>
      <c r="W134" s="143"/>
      <c r="X134" s="143"/>
      <c r="Y134" s="143"/>
      <c r="Z134" s="143"/>
      <c r="AA134" s="143">
        <f>SUM(O134:Z134)</f>
        <v>0</v>
      </c>
      <c r="AB134" s="436" t="str">
        <f>IF(_epmOfflineCondition_,"",IF(AA134=0,"",IFERROR(AA134/_xll.EVGTS($B$1,1,_xll.EVPRO($B$1,$H134,"COSBASIS"),$B$3,$B$5,$B$6,$B$7,$B$9,AA$16,AA$17,AA$11),"")))</f>
        <v/>
      </c>
      <c r="AC134" s="140"/>
      <c r="AD134" s="143"/>
      <c r="AE134" s="436" t="str">
        <f>IF(_epmOfflineCondition_,"",IF(AD134=0,"",IFERROR(AD134/_xll.EVGTS($B$1,1,_xll.EVPRO($B$1,$H134,"COSBASIS"),$B$3,$B$5,$B$6,$B$7,$B$9,AD$16,AD$17,AD$18),"")))</f>
        <v/>
      </c>
      <c r="AF134" s="145">
        <f t="shared" si="58"/>
        <v>0</v>
      </c>
      <c r="AG134" s="143"/>
      <c r="AH134" s="436" t="str">
        <f>IF(_epmOfflineCondition_,"",IF(AG134=0,"",IFERROR(AG134/_xll.EVGTS($B$1,1,_xll.EVPRO($B$1,$H134,"COSBASIS"),$B$3,$B$5,$B$6,$B$7,$B$9,AG$16,AG$17,AG$18),"")))</f>
        <v/>
      </c>
      <c r="AI134" s="145">
        <f t="shared" si="59"/>
        <v>0</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36"/>
      <c r="AC135" s="140"/>
      <c r="AD135" s="508"/>
      <c r="AE135" s="436"/>
      <c r="AF135" s="521" t="str">
        <f t="shared" si="58"/>
        <v/>
      </c>
      <c r="AG135" s="508"/>
      <c r="AH135" s="436"/>
      <c r="AI135" s="521" t="str">
        <f t="shared" si="59"/>
        <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c r="P136" s="143"/>
      <c r="Q136" s="143"/>
      <c r="R136" s="143"/>
      <c r="S136" s="143"/>
      <c r="T136" s="143"/>
      <c r="U136" s="143"/>
      <c r="V136" s="143"/>
      <c r="W136" s="143"/>
      <c r="X136" s="143"/>
      <c r="Y136" s="143"/>
      <c r="Z136" s="143"/>
      <c r="AA136" s="143">
        <f>SUM(O136:Z136)</f>
        <v>0</v>
      </c>
      <c r="AB136" s="436" t="str">
        <f>IF(_epmOfflineCondition_,"",IF(AA136=0,"",IFERROR(AA136/_xll.EVGTS($B$1,1,_xll.EVPRO($B$1,$H136,"COSBASIS"),$B$3,$B$5,$B$6,$B$7,$B$9,AA$16,AA$17,AA$11),"")))</f>
        <v/>
      </c>
      <c r="AC136" s="140"/>
      <c r="AD136" s="143"/>
      <c r="AE136" s="436" t="str">
        <f>IF(_epmOfflineCondition_,"",IF(AD136=0,"",IFERROR(AD136/_xll.EVGTS($B$1,1,_xll.EVPRO($B$1,$H136,"COSBASIS"),$B$3,$B$5,$B$6,$B$7,$B$9,AD$16,AD$17,AD$18),"")))</f>
        <v/>
      </c>
      <c r="AF136" s="145">
        <f t="shared" si="58"/>
        <v>0</v>
      </c>
      <c r="AG136" s="143"/>
      <c r="AH136" s="436" t="str">
        <f>IF(_epmOfflineCondition_,"",IF(AG136=0,"",IFERROR(AG136/_xll.EVGTS($B$1,1,_xll.EVPRO($B$1,$H136,"COSBASIS"),$B$3,$B$5,$B$6,$B$7,$B$9,AG$16,AG$17,AG$18),"")))</f>
        <v/>
      </c>
      <c r="AI136" s="145">
        <f t="shared" si="59"/>
        <v>0</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36"/>
      <c r="AC137" s="140"/>
      <c r="AD137" s="508"/>
      <c r="AE137" s="436"/>
      <c r="AF137" s="521" t="str">
        <f t="shared" si="58"/>
        <v/>
      </c>
      <c r="AG137" s="508"/>
      <c r="AH137" s="436"/>
      <c r="AI137" s="521" t="str">
        <f t="shared" si="59"/>
        <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c r="P138" s="143"/>
      <c r="Q138" s="143"/>
      <c r="R138" s="143"/>
      <c r="S138" s="143"/>
      <c r="T138" s="143"/>
      <c r="U138" s="143"/>
      <c r="V138" s="143"/>
      <c r="W138" s="143"/>
      <c r="X138" s="143"/>
      <c r="Y138" s="143"/>
      <c r="Z138" s="143"/>
      <c r="AA138" s="143">
        <f>SUM(O138:Z138)</f>
        <v>0</v>
      </c>
      <c r="AB138" s="436" t="str">
        <f>IF(_epmOfflineCondition_,"",IF(AA138=0,"",IFERROR(AA138/_xll.EVGTS($B$1,1,_xll.EVPRO($B$1,$H138,"COSBASIS"),$B$3,$B$5,$B$6,$B$7,$B$9,AA$16,AA$17,AA$11),"")))</f>
        <v/>
      </c>
      <c r="AC138" s="140"/>
      <c r="AD138" s="143"/>
      <c r="AE138" s="436" t="str">
        <f>IF(_epmOfflineCondition_,"",IF(AD138=0,"",IFERROR(AD138/_xll.EVGTS($B$1,1,_xll.EVPRO($B$1,$H138,"COSBASIS"),$B$3,$B$5,$B$6,$B$7,$B$9,AD$16,AD$17,AD$18),"")))</f>
        <v/>
      </c>
      <c r="AF138" s="145">
        <f t="shared" si="58"/>
        <v>0</v>
      </c>
      <c r="AG138" s="143"/>
      <c r="AH138" s="436" t="str">
        <f>IF(_epmOfflineCondition_,"",IF(AG138=0,"",IFERROR(AG138/_xll.EVGTS($B$1,1,_xll.EVPRO($B$1,$H138,"COSBASIS"),$B$3,$B$5,$B$6,$B$7,$B$9,AG$16,AG$17,AG$18),"")))</f>
        <v/>
      </c>
      <c r="AI138" s="145">
        <f t="shared" si="59"/>
        <v>0</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36"/>
      <c r="AC139" s="140"/>
      <c r="AD139" s="508"/>
      <c r="AE139" s="436"/>
      <c r="AF139" s="521" t="str">
        <f t="shared" si="58"/>
        <v/>
      </c>
      <c r="AG139" s="508"/>
      <c r="AH139" s="436"/>
      <c r="AI139" s="521" t="str">
        <f t="shared" si="59"/>
        <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c r="P140" s="143"/>
      <c r="Q140" s="143"/>
      <c r="R140" s="143"/>
      <c r="S140" s="143"/>
      <c r="T140" s="143"/>
      <c r="U140" s="143"/>
      <c r="V140" s="143"/>
      <c r="W140" s="143"/>
      <c r="X140" s="143"/>
      <c r="Y140" s="143"/>
      <c r="Z140" s="143"/>
      <c r="AA140" s="143">
        <f>SUM(O140:Z140)</f>
        <v>0</v>
      </c>
      <c r="AB140" s="436" t="str">
        <f>IF(_epmOfflineCondition_,"",IF(AA140=0,"",IFERROR(AA140/_xll.EVGTS($B$1,1,_xll.EVPRO($B$1,$H140,"COSBASIS"),$B$3,$B$5,$B$6,$B$7,$B$9,AA$16,AA$17,AA$11),"")))</f>
        <v/>
      </c>
      <c r="AC140" s="140"/>
      <c r="AD140" s="143"/>
      <c r="AE140" s="436" t="str">
        <f>IF(_epmOfflineCondition_,"",IF(AD140=0,"",IFERROR(AD140/_xll.EVGTS($B$1,1,_xll.EVPRO($B$1,$H140,"COSBASIS"),$B$3,$B$5,$B$6,$B$7,$B$9,AD$16,AD$17,AD$18),"")))</f>
        <v/>
      </c>
      <c r="AF140" s="145">
        <f t="shared" si="58"/>
        <v>0</v>
      </c>
      <c r="AG140" s="143"/>
      <c r="AH140" s="436" t="str">
        <f>IF(_epmOfflineCondition_,"",IF(AG140=0,"",IFERROR(AG140/_xll.EVGTS($B$1,1,_xll.EVPRO($B$1,$H140,"COSBASIS"),$B$3,$B$5,$B$6,$B$7,$B$9,AG$16,AG$17,AG$18),"")))</f>
        <v/>
      </c>
      <c r="AI140" s="145">
        <f t="shared" si="59"/>
        <v>0</v>
      </c>
    </row>
    <row r="141" spans="1:35" x14ac:dyDescent="0.3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36"/>
      <c r="AC141" s="140"/>
      <c r="AD141" s="508" t="str">
        <f>IFERROR(AD140/AD85,"")</f>
        <v/>
      </c>
      <c r="AE141" s="436"/>
      <c r="AF141" s="521" t="str">
        <f t="shared" si="58"/>
        <v/>
      </c>
      <c r="AG141" s="508" t="str">
        <f>IFERROR(AG140/AG85,"")</f>
        <v/>
      </c>
      <c r="AH141" s="436"/>
      <c r="AI141" s="521" t="str">
        <f t="shared" si="59"/>
        <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4"/>
      <c r="AC145" s="140"/>
      <c r="AD145" s="510" t="e">
        <f>IFERROR(AD$85/AD87,"")-AD88</f>
        <v>#VALUE!</v>
      </c>
      <c r="AE145" s="144"/>
      <c r="AF145" s="143"/>
      <c r="AG145" s="510" t="e">
        <f>IFERROR(AG$85/AG87,"")-AG88</f>
        <v>#VALUE!</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oCwXy3xjzSEN3cfkV+ckMIII0+1JOKSUDNcNX3tAIpXHwT6/fHUEm0L7yMOA82ewgcoOo9Li8CRgINRC1895UQ==" saltValue="ySmSdws4YodZ7gErhVEyfg==" spinCount="100000" sheet="1" scenarios="1"/>
  <mergeCells count="2">
    <mergeCell ref="AD31:AE31"/>
    <mergeCell ref="AG31:AH31"/>
  </mergeCells>
  <conditionalFormatting sqref="AD43 AF43:AG43 O43:AA43">
    <cfRule type="expression" dxfId="80" priority="15">
      <formula>ROUND(O42,2)&lt;&gt;ROUND(O43,2)</formula>
    </cfRule>
  </conditionalFormatting>
  <conditionalFormatting sqref="N43">
    <cfRule type="expression" dxfId="79" priority="14">
      <formula>$G43&lt;&gt;0</formula>
    </cfRule>
  </conditionalFormatting>
  <conditionalFormatting sqref="O53:AA53 AD53 AF53:AG53">
    <cfRule type="expression" dxfId="78" priority="13">
      <formula>ROUND(O52,2)&lt;&gt;ROUND(O53,2)</formula>
    </cfRule>
  </conditionalFormatting>
  <conditionalFormatting sqref="N53">
    <cfRule type="expression" dxfId="77" priority="12">
      <formula>$G53&lt;&gt;0</formula>
    </cfRule>
  </conditionalFormatting>
  <conditionalFormatting sqref="O63:AA63 AD63 AF63:AG63">
    <cfRule type="expression" dxfId="76" priority="11">
      <formula>ROUND(O62,2)&lt;&gt;ROUND(O63,2)</formula>
    </cfRule>
  </conditionalFormatting>
  <conditionalFormatting sqref="N63">
    <cfRule type="expression" dxfId="75" priority="10">
      <formula>$G63&lt;&gt;0</formula>
    </cfRule>
  </conditionalFormatting>
  <conditionalFormatting sqref="O73:AA73 AD73 AF73:AG73">
    <cfRule type="expression" dxfId="74" priority="9">
      <formula>ROUND(O72,2)&lt;&gt;ROUND(O73,2)</formula>
    </cfRule>
  </conditionalFormatting>
  <conditionalFormatting sqref="N73">
    <cfRule type="expression" dxfId="73" priority="8">
      <formula>$G73&lt;&gt;0</formula>
    </cfRule>
  </conditionalFormatting>
  <conditionalFormatting sqref="N82">
    <cfRule type="expression" dxfId="72" priority="7">
      <formula>$G82&lt;&gt;0</formula>
    </cfRule>
  </conditionalFormatting>
  <conditionalFormatting sqref="AD82 AF82:AG82 O82:AA82">
    <cfRule type="expression" dxfId="71" priority="6">
      <formula>ROUND(O81,2)&lt;&gt;ROUND(O82,2)</formula>
    </cfRule>
  </conditionalFormatting>
  <conditionalFormatting sqref="AI43">
    <cfRule type="expression" dxfId="70" priority="5">
      <formula>ROUND(AI42,2)&lt;&gt;ROUND(AI43,2)</formula>
    </cfRule>
  </conditionalFormatting>
  <conditionalFormatting sqref="AI53">
    <cfRule type="expression" dxfId="69" priority="4">
      <formula>ROUND(AI52,2)&lt;&gt;ROUND(AI53,2)</formula>
    </cfRule>
  </conditionalFormatting>
  <conditionalFormatting sqref="AI63">
    <cfRule type="expression" dxfId="68" priority="3">
      <formula>ROUND(AI62,2)&lt;&gt;ROUND(AI63,2)</formula>
    </cfRule>
  </conditionalFormatting>
  <conditionalFormatting sqref="AI73">
    <cfRule type="expression" dxfId="67" priority="2">
      <formula>ROUND(AI72,2)&lt;&gt;ROUND(AI73,2)</formula>
    </cfRule>
  </conditionalFormatting>
  <conditionalFormatting sqref="AI82">
    <cfRule type="expression" dxfId="66" priority="1">
      <formula>ROUND(AI81,2)&lt;&gt;ROUND(AI82,2)</formula>
    </cfRule>
  </conditionalFormatting>
  <dataValidations count="2">
    <dataValidation type="list" allowBlank="1" sqref="B28" xr:uid="{00000000-0002-0000-1200-000000000000}">
      <formula1>"ACCOUNT,BUSINESSUNIT,CATEGORY,DATASRC,DEPARTMENT,INTCO,MEASURES,RPTCURRENCY,TIME"</formula1>
    </dataValidation>
    <dataValidation type="list" allowBlank="1" sqref="B29" xr:uid="{00000000-0002-0000-12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5">
    <tabColor theme="6" tint="0.39997558519241921"/>
    <pageSetUpPr fitToPage="1"/>
  </sheetPr>
  <dimension ref="A1:AO195"/>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IF(_epmOfflineCondition_,"Minnow Bar",IF(OR(_xll.EVCGT($B$1,$B$6,$H$1,$H$2,$H$3,$H$4,$H$5,$H$6,$H$7,$H$8)="#RFR",_xll.EVCGT($B$1,$B$6,$H$1,$H$2,$H$3,$H$4,$H$5,$H$6,$H$7,$H$8)="#NODATA"),"",_xll.EVCGT($B$1,$B$6,$H$1,$H$2,$H$3,$H$4,$H$5,$H$6,$H$7,$H$8)))</f>
        <v>Minnow Bar</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734</v>
      </c>
      <c r="C6" s="11" t="str">
        <f>IF(_epmOfflineCondition_,"Venue (Bar)",_xll.EVDES(B6,$B$1))</f>
        <v>Venue (Bar)</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IF(_epmOfflineCondition_,"'VenueBar'!$B$2:$B$10",_xll.EVRNG($B$2:$B$10))</f>
        <v>'VenueBar'!$B$2:$B$10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IF(_epmOfflineCondition_,"'VenueBar'!$O$16:$AN$18",_xll.EVRNG($O$16:$AN$18))</f>
        <v>'VenueBar'!$O$16:$AN$18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IF(_epmOfflineCondition_,"'VenueBar'!$H$35:$H$58",_xll.EVRNG(H35:H58))</f>
        <v>'VenueBar'!$H$35:$H$58</v>
      </c>
      <c r="C19" s="11"/>
      <c r="D19" s="11"/>
      <c r="E19" s="11"/>
      <c r="F19" s="11"/>
      <c r="G19" s="67" t="str">
        <f>$B$6</f>
        <v>D2146</v>
      </c>
      <c r="H19" s="67">
        <v>400000</v>
      </c>
      <c r="I19" s="68"/>
      <c r="J19" s="68"/>
      <c r="K19" s="67"/>
      <c r="L19" s="67"/>
      <c r="M19" s="67"/>
      <c r="N19" s="67" t="str">
        <f>IF(_epmOfflineCondition_,"Total Revenue",_xll.EVDES(H19))</f>
        <v>Total Revenue</v>
      </c>
      <c r="O19" s="69">
        <f>IF(_epmOfflineCondition_,35415.8,_xll.EVGTS($B$1,1,$B$3,$B$5,$B$7,$B$9,O$16,O$17,O$18,$G$19,$H$19))</f>
        <v>35415.800000000003</v>
      </c>
      <c r="P19" s="69">
        <f>IF(_epmOfflineCondition_,45453.99,_xll.EVGTS($B$1,1,$B$3,$B$5,$B$7,$B$9,P$16,P$17,P$18,$G$19,$H$19))</f>
        <v>45453.99</v>
      </c>
      <c r="Q19" s="69">
        <f>IF(_epmOfflineCondition_,17142.05,_xll.EVGTS($B$1,1,$B$3,$B$5,$B$7,$B$9,Q$16,Q$17,Q$18,$G$19,$H$19))</f>
        <v>17142.05</v>
      </c>
      <c r="R19" s="69">
        <f>IF(_epmOfflineCondition_,0,_xll.EVGTS($B$1,1,$B$3,$B$5,$B$7,$B$9,R$16,R$17,R$18,$G$19,$H$19))</f>
        <v>0</v>
      </c>
      <c r="S19" s="69">
        <f>IF(_epmOfflineCondition_,0,_xll.EVGTS($B$1,1,$B$3,$B$5,$B$7,$B$9,S$16,S$17,S$18,$G$19,$H$19))</f>
        <v>0</v>
      </c>
      <c r="T19" s="69">
        <f>IF(_epmOfflineCondition_,0,_xll.EVGTS($B$1,1,$B$3,$B$5,$B$7,$B$9,T$16,T$17,T$18,$G$19,$H$19))</f>
        <v>0</v>
      </c>
      <c r="U19" s="69">
        <f>IF(_epmOfflineCondition_,4060.78,_xll.EVGTS($B$1,1,$B$3,$B$5,$B$7,$B$9,U$16,U$17,U$18,$G$19,$H$19))</f>
        <v>4060.78</v>
      </c>
      <c r="V19" s="69">
        <f>IF(_epmOfflineCondition_,6197.36,_xll.EVGTS($B$1,1,$B$3,$B$5,$B$7,$B$9,V$16,V$17,V$18,$G$19,$H$19))</f>
        <v>6197.36</v>
      </c>
      <c r="W19" s="69">
        <f>IF(_epmOfflineCondition_,11160.75,_xll.EVGTS($B$1,1,$B$3,$B$5,$B$7,$B$9,W$16,W$17,W$18,$G$19,$H$19))</f>
        <v>11160.75</v>
      </c>
      <c r="X19" s="69">
        <f>IF(_epmOfflineCondition_,19947.18,_xll.EVGTS($B$1,1,$B$3,$B$5,$B$7,$B$9,X$16,X$17,X$18,$G$19,$H$19))</f>
        <v>19947.18</v>
      </c>
      <c r="Y19" s="69">
        <f>IF(_epmOfflineCondition_,15071.45,_xll.EVGTS($B$1,1,$B$3,$B$5,$B$7,$B$9,Y$16,Y$17,Y$18,$G$19,$H$19))</f>
        <v>15071.45</v>
      </c>
      <c r="Z19" s="69">
        <f>IF(_epmOfflineCondition_,23613.98,_xll.EVGTS($B$1,1,$B$3,$B$5,$B$7,$B$9,Z$16,Z$17,Z$18,$G$19,$H$19))</f>
        <v>23613.98</v>
      </c>
      <c r="AA19" s="69">
        <f>SUM(O19:Z19)</f>
        <v>178063.34000000003</v>
      </c>
      <c r="AB19" s="67"/>
      <c r="AC19" s="67"/>
      <c r="AD19" s="69">
        <f>IF(_epmOfflineCondition_,495884.616,_xll.EVGTS($B$1,1,$B$3,$B$5,$B$7,$B$9,AD$16,AD$17,AD$18,$G$19,$H$19))</f>
        <v>495884.61599999998</v>
      </c>
      <c r="AE19" s="67"/>
      <c r="AF19" s="67"/>
      <c r="AG19" s="69">
        <f>IF(_epmOfflineCondition_,444379.77,_xll.EVGTS($B$1,1,$B$3,$B$5,$B$7,$B$9,AG$16,AG$17,AG$18,$G$19,$H$19))</f>
        <v>444379.77</v>
      </c>
      <c r="AH19" s="67"/>
      <c r="AI19" s="67"/>
      <c r="AJ19" s="11"/>
      <c r="AK19" s="11"/>
      <c r="AL19" s="11"/>
      <c r="AM19" s="11"/>
      <c r="AN19" s="11"/>
      <c r="AO19" s="11"/>
    </row>
    <row r="20" spans="1:41" hidden="1" outlineLevel="1" x14ac:dyDescent="0.35">
      <c r="A20" s="65" t="s">
        <v>5</v>
      </c>
      <c r="B20" s="66"/>
      <c r="C20" s="11"/>
      <c r="D20" s="11"/>
      <c r="E20" s="11"/>
      <c r="F20" s="11"/>
      <c r="G20" s="67" t="str">
        <f>$B$6</f>
        <v>D2146</v>
      </c>
      <c r="H20" s="67">
        <v>946000</v>
      </c>
      <c r="I20" s="68"/>
      <c r="J20" s="68"/>
      <c r="K20" s="67"/>
      <c r="L20" s="68"/>
      <c r="M20" s="68"/>
      <c r="N20" s="67" t="str">
        <f>IF(_epmOfflineCondition_,"Total Customers",_xll.EVDES(H20))</f>
        <v>Total Customers</v>
      </c>
      <c r="O20" s="69">
        <f>IF(_epmOfflineCondition_,1325,_xll.EVGTS($B$1,1,$B$3,$B$5,$B$7,$B$9,O$16,O$17,O$18,$G$20,$H$20))</f>
        <v>1325</v>
      </c>
      <c r="P20" s="69">
        <f>IF(_epmOfflineCondition_,1724,_xll.EVGTS($B$1,1,$B$3,$B$5,$B$7,$B$9,P$16,P$17,P$18,$G$20,$H$20))</f>
        <v>1724</v>
      </c>
      <c r="Q20" s="69">
        <f>IF(_epmOfflineCondition_,700,_xll.EVGTS($B$1,1,$B$3,$B$5,$B$7,$B$9,Q$16,Q$17,Q$18,$G$20,$H$20))</f>
        <v>700</v>
      </c>
      <c r="R20" s="69">
        <f>IF(_epmOfflineCondition_,0,_xll.EVGTS($B$1,1,$B$3,$B$5,$B$7,$B$9,R$16,R$17,R$18,$G$20,$H$20))</f>
        <v>0</v>
      </c>
      <c r="S20" s="69">
        <f>IF(_epmOfflineCondition_,0,_xll.EVGTS($B$1,1,$B$3,$B$5,$B$7,$B$9,S$16,S$17,S$18,$G$20,$H$20))</f>
        <v>0</v>
      </c>
      <c r="T20" s="69">
        <f>IF(_epmOfflineCondition_,0,_xll.EVGTS($B$1,1,$B$3,$B$5,$B$7,$B$9,T$16,T$17,T$18,$G$20,$H$20))</f>
        <v>0</v>
      </c>
      <c r="U20" s="69">
        <f>IF(_epmOfflineCondition_,191,_xll.EVGTS($B$1,1,$B$3,$B$5,$B$7,$B$9,U$16,U$17,U$18,$G$20,$H$20))</f>
        <v>191</v>
      </c>
      <c r="V20" s="69">
        <f>IF(_epmOfflineCondition_,269,_xll.EVGTS($B$1,1,$B$3,$B$5,$B$7,$B$9,V$16,V$17,V$18,$G$20,$H$20))</f>
        <v>269</v>
      </c>
      <c r="W20" s="69">
        <f>IF(_epmOfflineCondition_,269,_xll.EVGTS($B$1,1,$B$3,$B$5,$B$7,$B$9,W$16,W$17,W$18,$G$20,$H$20))</f>
        <v>269</v>
      </c>
      <c r="X20" s="69">
        <f>IF(_epmOfflineCondition_,951,_xll.EVGTS($B$1,1,$B$3,$B$5,$B$7,$B$9,X$16,X$17,X$18,$G$20,$H$20))</f>
        <v>951</v>
      </c>
      <c r="Y20" s="69">
        <f>IF(_epmOfflineCondition_,803,_xll.EVGTS($B$1,1,$B$3,$B$5,$B$7,$B$9,Y$16,Y$17,Y$18,$G$20,$H$20))</f>
        <v>803</v>
      </c>
      <c r="Z20" s="69">
        <f>IF(_epmOfflineCondition_,1082,_xll.EVGTS($B$1,1,$B$3,$B$5,$B$7,$B$9,Z$16,Z$17,Z$18,$G$20,$H$20))</f>
        <v>1082</v>
      </c>
      <c r="AA20" s="69">
        <f>SUM(O20:Z20)</f>
        <v>7314</v>
      </c>
      <c r="AB20" s="67"/>
      <c r="AC20" s="67"/>
      <c r="AD20" s="69">
        <f>IF(_epmOfflineCondition_,16966,_xll.EVGTS($B$1,1,$B$3,$B$5,$B$7,$B$9,AD$16,AD$17,AD$18,$G$20,$H$20))</f>
        <v>16966</v>
      </c>
      <c r="AE20" s="67"/>
      <c r="AF20" s="67"/>
      <c r="AG20" s="69">
        <f>IF(_epmOfflineCondition_,23035,_xll.EVGTS($B$1,1,$B$3,$B$5,$B$7,$B$9,AG$16,AG$17,AG$18,$G$20,$H$20))</f>
        <v>23035</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IF(_epmOfflineCondition_,"'VenueBar'!$A$36:$F$44",_xll.EVRNG(A36:F44))</f>
        <v>'VenueBar'!$A$36:$F$44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IF(_epmOfflineCondition_,"'VenueBar'!$A$125:$B$146",_xll.EVRNG($A$125:$B$146))</f>
        <v>'VenueBar'!$A$125:$B$146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IF(_epmOfflineCondition_,"Minnow Bar",IF($N$1="",IF(_xll.EVDES(B6,$B$1)="#NODATA","",_xll.EVDES(B6,$B$1)&amp;" Department"),$N$1))</f>
        <v>Minnow Bar</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35"/>
      <c r="P35" s="250"/>
      <c r="Q35" s="250"/>
      <c r="R35" s="250"/>
      <c r="S35" s="250"/>
      <c r="T35" s="250"/>
      <c r="U35" s="250">
        <v>477</v>
      </c>
      <c r="V35" s="250">
        <v>1075</v>
      </c>
      <c r="W35" s="250">
        <v>1509.5</v>
      </c>
      <c r="X35" s="250">
        <v>1573.85</v>
      </c>
      <c r="Y35" s="250">
        <v>1173.5</v>
      </c>
      <c r="Z35" s="250">
        <v>1216</v>
      </c>
      <c r="AA35" s="250">
        <f t="shared" ref="AA35:AA58" si="1">IF($I35="B1","",SUM(O35:Z35))</f>
        <v>7024.85</v>
      </c>
      <c r="AB35" s="436">
        <f t="shared" ref="AB35:AB58" si="2">IF(AA35=0,"",IFERROR(AA35/AA$19,""))</f>
        <v>3.9451410941746902E-2</v>
      </c>
      <c r="AC35" s="533"/>
      <c r="AD35" s="250"/>
      <c r="AE35" s="436" t="str">
        <f t="shared" ref="AE35:AE58" si="3">IF(AD35=0,"",IFERROR(AD35/AD$19,""))</f>
        <v/>
      </c>
      <c r="AF35" s="438">
        <f t="shared" ref="AF35:AF58" si="4">IF(AND($AA35="",AD35=""),"",$AA35-AD35)</f>
        <v>7024.85</v>
      </c>
      <c r="AG35" s="250">
        <v>121866.36</v>
      </c>
      <c r="AH35" s="436">
        <f t="shared" ref="AH35:AH58" si="5">IF(AG35=0,"",IFERROR(AG35/AG$19,""))</f>
        <v>0.27423921660520234</v>
      </c>
      <c r="AI35" s="439">
        <f t="shared" ref="AI35:AI58" si="6">IF(AND($AA35="",AG35=""),"",$AA35-AG35)</f>
        <v>-114841.51</v>
      </c>
      <c r="AJ35" s="440">
        <f t="shared" ref="AJ35:AJ58" si="7">IFERROR(AA35/AA$20,0)</f>
        <v>0.96046622914957624</v>
      </c>
      <c r="AK35" s="441">
        <f t="shared" ref="AK35:AK58" si="8">IFERROR(AD35/AD$20,0)</f>
        <v>0</v>
      </c>
      <c r="AL35" s="442">
        <f t="shared" ref="AL35:AL58" si="9">IFERROR(AG35/AG$20,0)</f>
        <v>5.2904866507488606</v>
      </c>
      <c r="AM35" s="443">
        <f t="shared" ref="AM35:AM58" si="10">+IFERROR(ROUND(($AB35-AE35)*100,2)&amp;" pts.",0)</f>
        <v>0</v>
      </c>
      <c r="AN35" s="444" t="str">
        <f t="shared" ref="AN35:AN58" si="11">+IFERROR(ROUND(($AB35-AH35)*100,2)&amp;" pts.",0)</f>
        <v>-23.48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35"/>
      <c r="P36" s="250"/>
      <c r="Q36" s="250"/>
      <c r="R36" s="250"/>
      <c r="S36" s="250"/>
      <c r="T36" s="250"/>
      <c r="U36" s="250">
        <v>932</v>
      </c>
      <c r="V36" s="250">
        <v>2994</v>
      </c>
      <c r="W36" s="250">
        <v>3805.02</v>
      </c>
      <c r="X36" s="250">
        <v>3632</v>
      </c>
      <c r="Y36" s="250">
        <v>3152.52</v>
      </c>
      <c r="Z36" s="250">
        <v>6655.5</v>
      </c>
      <c r="AA36" s="250">
        <f t="shared" si="1"/>
        <v>21171.040000000001</v>
      </c>
      <c r="AB36" s="436">
        <f t="shared" si="2"/>
        <v>0.11889611865081268</v>
      </c>
      <c r="AC36" s="533"/>
      <c r="AD36" s="250"/>
      <c r="AE36" s="436" t="str">
        <f t="shared" si="3"/>
        <v/>
      </c>
      <c r="AF36" s="438">
        <f t="shared" si="4"/>
        <v>21171.040000000001</v>
      </c>
      <c r="AG36" s="250"/>
      <c r="AH36" s="436" t="str">
        <f t="shared" si="5"/>
        <v/>
      </c>
      <c r="AI36" s="439">
        <f t="shared" si="6"/>
        <v>21171.040000000001</v>
      </c>
      <c r="AJ36" s="440">
        <f t="shared" si="7"/>
        <v>2.8945911949685534</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35"/>
      <c r="P37" s="250"/>
      <c r="Q37" s="250"/>
      <c r="R37" s="250"/>
      <c r="S37" s="250"/>
      <c r="T37" s="250"/>
      <c r="U37" s="250">
        <v>187</v>
      </c>
      <c r="V37" s="250">
        <v>190</v>
      </c>
      <c r="W37" s="250">
        <v>239</v>
      </c>
      <c r="X37" s="250">
        <v>1479.01</v>
      </c>
      <c r="Y37" s="250">
        <v>205.5</v>
      </c>
      <c r="Z37" s="250"/>
      <c r="AA37" s="250">
        <f t="shared" si="1"/>
        <v>2300.5100000000002</v>
      </c>
      <c r="AB37" s="436">
        <f t="shared" si="2"/>
        <v>1.2919616132102206E-2</v>
      </c>
      <c r="AC37" s="533"/>
      <c r="AD37" s="250"/>
      <c r="AE37" s="436" t="str">
        <f t="shared" si="3"/>
        <v/>
      </c>
      <c r="AF37" s="438">
        <f t="shared" si="4"/>
        <v>2300.5100000000002</v>
      </c>
      <c r="AG37" s="250"/>
      <c r="AH37" s="436" t="str">
        <f t="shared" si="5"/>
        <v/>
      </c>
      <c r="AI37" s="439">
        <f t="shared" si="6"/>
        <v>2300.5100000000002</v>
      </c>
      <c r="AJ37" s="440">
        <f t="shared" si="7"/>
        <v>0.31453513809133171</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35">
        <v>3879.95</v>
      </c>
      <c r="P38" s="250">
        <v>4388.3</v>
      </c>
      <c r="Q38" s="250">
        <v>3685</v>
      </c>
      <c r="R38" s="250"/>
      <c r="S38" s="250"/>
      <c r="T38" s="250"/>
      <c r="U38" s="250"/>
      <c r="V38" s="250"/>
      <c r="W38" s="250"/>
      <c r="X38" s="250"/>
      <c r="Y38" s="250">
        <v>883.75</v>
      </c>
      <c r="Z38" s="250">
        <v>1070.5</v>
      </c>
      <c r="AA38" s="250">
        <f t="shared" si="1"/>
        <v>13907.5</v>
      </c>
      <c r="AB38" s="436">
        <f t="shared" si="2"/>
        <v>7.8104229652212517E-2</v>
      </c>
      <c r="AC38" s="533"/>
      <c r="AD38" s="250">
        <v>96067.138319999998</v>
      </c>
      <c r="AE38" s="436">
        <f t="shared" si="3"/>
        <v>0.19372881355932203</v>
      </c>
      <c r="AF38" s="438">
        <f t="shared" si="4"/>
        <v>-82159.638319999998</v>
      </c>
      <c r="AG38" s="250">
        <v>28077.7</v>
      </c>
      <c r="AH38" s="436">
        <f t="shared" si="5"/>
        <v>6.3184019380540205E-2</v>
      </c>
      <c r="AI38" s="439">
        <f t="shared" si="6"/>
        <v>-14170.2</v>
      </c>
      <c r="AJ38" s="440">
        <f t="shared" si="7"/>
        <v>1.9014902925895543</v>
      </c>
      <c r="AK38" s="441">
        <f t="shared" si="8"/>
        <v>5.6623328020747374</v>
      </c>
      <c r="AL38" s="442">
        <f t="shared" si="9"/>
        <v>1.2189146950293033</v>
      </c>
      <c r="AM38" s="443" t="str">
        <f t="shared" si="10"/>
        <v>-11.56 pts.</v>
      </c>
      <c r="AN38" s="444" t="str">
        <f t="shared" si="11"/>
        <v>1.49 pts.</v>
      </c>
      <c r="AO38" s="11"/>
    </row>
    <row r="39" spans="1:41" x14ac:dyDescent="0.3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45"/>
      <c r="P39" s="251">
        <v>4050</v>
      </c>
      <c r="Q39" s="251"/>
      <c r="R39" s="251"/>
      <c r="S39" s="251"/>
      <c r="T39" s="251"/>
      <c r="U39" s="251"/>
      <c r="V39" s="251"/>
      <c r="W39" s="251"/>
      <c r="X39" s="251"/>
      <c r="Y39" s="251"/>
      <c r="Z39" s="251"/>
      <c r="AA39" s="251">
        <f t="shared" si="1"/>
        <v>4050</v>
      </c>
      <c r="AB39" s="446">
        <f t="shared" si="2"/>
        <v>2.2744715447885002E-2</v>
      </c>
      <c r="AC39" s="437"/>
      <c r="AD39" s="251"/>
      <c r="AE39" s="446" t="str">
        <f t="shared" si="3"/>
        <v/>
      </c>
      <c r="AF39" s="447">
        <f t="shared" si="4"/>
        <v>4050</v>
      </c>
      <c r="AG39" s="251"/>
      <c r="AH39" s="446" t="str">
        <f t="shared" si="5"/>
        <v/>
      </c>
      <c r="AI39" s="448">
        <f t="shared" si="6"/>
        <v>4050</v>
      </c>
      <c r="AJ39" s="449">
        <f t="shared" si="7"/>
        <v>0.55373256767842494</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3879.95</v>
      </c>
      <c r="P40" s="225">
        <v>8438.2999999999993</v>
      </c>
      <c r="Q40" s="225">
        <v>3685</v>
      </c>
      <c r="R40" s="225"/>
      <c r="S40" s="225"/>
      <c r="T40" s="225"/>
      <c r="U40" s="225">
        <v>1596</v>
      </c>
      <c r="V40" s="225">
        <v>4259</v>
      </c>
      <c r="W40" s="225">
        <v>5553.52</v>
      </c>
      <c r="X40" s="225">
        <v>6684.86</v>
      </c>
      <c r="Y40" s="225">
        <v>5415.27</v>
      </c>
      <c r="Z40" s="225">
        <v>8942</v>
      </c>
      <c r="AA40" s="225">
        <f t="shared" si="1"/>
        <v>48453.899999999994</v>
      </c>
      <c r="AB40" s="226">
        <f t="shared" si="2"/>
        <v>0.27211609082475924</v>
      </c>
      <c r="AC40" s="227"/>
      <c r="AD40" s="225">
        <v>96067.138319999998</v>
      </c>
      <c r="AE40" s="226">
        <f t="shared" si="3"/>
        <v>0.19372881355932203</v>
      </c>
      <c r="AF40" s="228">
        <f t="shared" si="4"/>
        <v>-47613.238320000004</v>
      </c>
      <c r="AG40" s="225">
        <v>149944.06</v>
      </c>
      <c r="AH40" s="226">
        <f t="shared" si="5"/>
        <v>0.33742323598574253</v>
      </c>
      <c r="AI40" s="455">
        <f t="shared" si="6"/>
        <v>-101490.16</v>
      </c>
      <c r="AJ40" s="229">
        <f t="shared" si="7"/>
        <v>6.6248154224774396</v>
      </c>
      <c r="AK40" s="230">
        <f t="shared" si="8"/>
        <v>5.6623328020747374</v>
      </c>
      <c r="AL40" s="232">
        <f t="shared" si="9"/>
        <v>6.5094013457781639</v>
      </c>
      <c r="AM40" s="427" t="str">
        <f t="shared" si="10"/>
        <v>7.84 pts.</v>
      </c>
      <c r="AN40" s="456" t="str">
        <f t="shared" si="11"/>
        <v>-6.53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57"/>
      <c r="P41" s="252"/>
      <c r="Q41" s="252"/>
      <c r="R41" s="252"/>
      <c r="S41" s="252"/>
      <c r="T41" s="252"/>
      <c r="U41" s="252"/>
      <c r="V41" s="252"/>
      <c r="W41" s="252"/>
      <c r="X41" s="252"/>
      <c r="Y41" s="252"/>
      <c r="Z41" s="252"/>
      <c r="AA41" s="252" t="str">
        <f t="shared" si="1"/>
        <v/>
      </c>
      <c r="AB41" s="458" t="str">
        <f t="shared" si="2"/>
        <v/>
      </c>
      <c r="AC41" s="534"/>
      <c r="AD41" s="252"/>
      <c r="AE41" s="458" t="str">
        <f t="shared" si="3"/>
        <v/>
      </c>
      <c r="AF41" s="460" t="str">
        <f t="shared" si="4"/>
        <v/>
      </c>
      <c r="AG41" s="252"/>
      <c r="AH41" s="458" t="str">
        <f t="shared" si="5"/>
        <v/>
      </c>
      <c r="AI41" s="461"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35"/>
      <c r="P42" s="250"/>
      <c r="Q42" s="250"/>
      <c r="R42" s="250"/>
      <c r="S42" s="250"/>
      <c r="T42" s="250"/>
      <c r="U42" s="250">
        <v>42</v>
      </c>
      <c r="V42" s="250">
        <v>25</v>
      </c>
      <c r="W42" s="250">
        <v>224</v>
      </c>
      <c r="X42" s="250">
        <v>297</v>
      </c>
      <c r="Y42" s="250">
        <v>221</v>
      </c>
      <c r="Z42" s="250">
        <v>207</v>
      </c>
      <c r="AA42" s="250">
        <f t="shared" si="1"/>
        <v>1016</v>
      </c>
      <c r="AB42" s="436">
        <f t="shared" si="2"/>
        <v>5.7058347889015213E-3</v>
      </c>
      <c r="AC42" s="533"/>
      <c r="AD42" s="250"/>
      <c r="AE42" s="436" t="str">
        <f t="shared" si="3"/>
        <v/>
      </c>
      <c r="AF42" s="438">
        <f t="shared" si="4"/>
        <v>1016</v>
      </c>
      <c r="AG42" s="250">
        <v>2858</v>
      </c>
      <c r="AH42" s="436">
        <f t="shared" si="5"/>
        <v>6.4314358864716098E-3</v>
      </c>
      <c r="AI42" s="439">
        <f t="shared" si="6"/>
        <v>-1842</v>
      </c>
      <c r="AJ42" s="440">
        <f t="shared" si="7"/>
        <v>0.13891167623735301</v>
      </c>
      <c r="AK42" s="441">
        <f t="shared" si="8"/>
        <v>0</v>
      </c>
      <c r="AL42" s="442">
        <f t="shared" si="9"/>
        <v>0.12407206425005426</v>
      </c>
      <c r="AM42" s="443">
        <f t="shared" si="10"/>
        <v>0</v>
      </c>
      <c r="AN42" s="444" t="str">
        <f t="shared" si="11"/>
        <v>-0.07 pts.</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35"/>
      <c r="P43" s="250"/>
      <c r="Q43" s="250"/>
      <c r="R43" s="250"/>
      <c r="S43" s="250"/>
      <c r="T43" s="250"/>
      <c r="U43" s="250">
        <v>1191</v>
      </c>
      <c r="V43" s="250">
        <v>822</v>
      </c>
      <c r="W43" s="250">
        <v>3189.28</v>
      </c>
      <c r="X43" s="250">
        <v>4330.72</v>
      </c>
      <c r="Y43" s="250">
        <v>4911</v>
      </c>
      <c r="Z43" s="250">
        <v>6343</v>
      </c>
      <c r="AA43" s="250">
        <f t="shared" si="1"/>
        <v>20787</v>
      </c>
      <c r="AB43" s="436">
        <f t="shared" si="2"/>
        <v>0.11673935802844088</v>
      </c>
      <c r="AC43" s="533"/>
      <c r="AD43" s="250"/>
      <c r="AE43" s="436" t="str">
        <f t="shared" si="3"/>
        <v/>
      </c>
      <c r="AF43" s="438">
        <f t="shared" si="4"/>
        <v>20787</v>
      </c>
      <c r="AG43" s="250"/>
      <c r="AH43" s="436" t="str">
        <f t="shared" si="5"/>
        <v/>
      </c>
      <c r="AI43" s="439">
        <f t="shared" si="6"/>
        <v>20787</v>
      </c>
      <c r="AJ43" s="440">
        <f t="shared" si="7"/>
        <v>2.8420836751435603</v>
      </c>
      <c r="AK43" s="441">
        <f t="shared" si="8"/>
        <v>0</v>
      </c>
      <c r="AL43" s="442">
        <f t="shared" si="9"/>
        <v>0</v>
      </c>
      <c r="AM43" s="443">
        <f t="shared" si="10"/>
        <v>0</v>
      </c>
      <c r="AN43" s="444">
        <f t="shared" si="11"/>
        <v>0</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35"/>
      <c r="P44" s="250"/>
      <c r="Q44" s="250"/>
      <c r="R44" s="250"/>
      <c r="S44" s="250"/>
      <c r="T44" s="250"/>
      <c r="U44" s="250">
        <v>616</v>
      </c>
      <c r="V44" s="250">
        <v>146</v>
      </c>
      <c r="W44" s="250">
        <v>479</v>
      </c>
      <c r="X44" s="250">
        <v>5714</v>
      </c>
      <c r="Y44" s="250">
        <v>663</v>
      </c>
      <c r="Z44" s="250"/>
      <c r="AA44" s="250">
        <f t="shared" si="1"/>
        <v>7618</v>
      </c>
      <c r="AB44" s="436">
        <f t="shared" si="2"/>
        <v>4.2782528958515545E-2</v>
      </c>
      <c r="AC44" s="533"/>
      <c r="AD44" s="250"/>
      <c r="AE44" s="436" t="str">
        <f t="shared" si="3"/>
        <v/>
      </c>
      <c r="AF44" s="438">
        <f t="shared" si="4"/>
        <v>7618</v>
      </c>
      <c r="AG44" s="250"/>
      <c r="AH44" s="436" t="str">
        <f t="shared" si="5"/>
        <v/>
      </c>
      <c r="AI44" s="439">
        <f t="shared" si="6"/>
        <v>7618</v>
      </c>
      <c r="AJ44" s="440">
        <f t="shared" si="7"/>
        <v>1.041564123598578</v>
      </c>
      <c r="AK44" s="441">
        <f t="shared" si="8"/>
        <v>0</v>
      </c>
      <c r="AL44" s="442">
        <f t="shared" si="9"/>
        <v>0</v>
      </c>
      <c r="AM44" s="443">
        <f t="shared" si="10"/>
        <v>0</v>
      </c>
      <c r="AN44" s="444">
        <f t="shared" si="11"/>
        <v>0</v>
      </c>
      <c r="AO44" s="11"/>
    </row>
    <row r="45" spans="1:41" x14ac:dyDescent="0.3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35">
        <v>25861.3</v>
      </c>
      <c r="P45" s="250">
        <v>26563.4</v>
      </c>
      <c r="Q45" s="250">
        <v>10741.6</v>
      </c>
      <c r="R45" s="250"/>
      <c r="S45" s="250"/>
      <c r="T45" s="250"/>
      <c r="U45" s="250"/>
      <c r="V45" s="250"/>
      <c r="W45" s="250"/>
      <c r="X45" s="250"/>
      <c r="Y45" s="250">
        <v>1606.04</v>
      </c>
      <c r="Z45" s="250">
        <v>4540.7</v>
      </c>
      <c r="AA45" s="250">
        <f t="shared" si="1"/>
        <v>69313.039999999994</v>
      </c>
      <c r="AB45" s="436">
        <f t="shared" si="2"/>
        <v>0.38926058558712862</v>
      </c>
      <c r="AC45" s="533"/>
      <c r="AD45" s="250">
        <v>324174.06167999998</v>
      </c>
      <c r="AE45" s="436">
        <f t="shared" si="3"/>
        <v>0.653728813559322</v>
      </c>
      <c r="AF45" s="438">
        <f t="shared" si="4"/>
        <v>-254861.02168000001</v>
      </c>
      <c r="AG45" s="250">
        <v>221006.18</v>
      </c>
      <c r="AH45" s="436">
        <f t="shared" si="5"/>
        <v>0.49733627613156195</v>
      </c>
      <c r="AI45" s="439">
        <f t="shared" si="6"/>
        <v>-151693.14000000001</v>
      </c>
      <c r="AJ45" s="440">
        <f t="shared" si="7"/>
        <v>9.4767623735302156</v>
      </c>
      <c r="AK45" s="441">
        <f t="shared" si="8"/>
        <v>19.107277005776258</v>
      </c>
      <c r="AL45" s="442">
        <f t="shared" si="9"/>
        <v>9.5943642283481658</v>
      </c>
      <c r="AM45" s="443" t="str">
        <f t="shared" si="10"/>
        <v>-26.45 pts.</v>
      </c>
      <c r="AN45" s="444" t="str">
        <f t="shared" si="11"/>
        <v>-10.81 pts.</v>
      </c>
      <c r="AO45" s="11"/>
    </row>
    <row r="46" spans="1:41" x14ac:dyDescent="0.3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45"/>
      <c r="P46" s="251">
        <v>3002</v>
      </c>
      <c r="Q46" s="251"/>
      <c r="R46" s="251"/>
      <c r="S46" s="251"/>
      <c r="T46" s="251"/>
      <c r="U46" s="251"/>
      <c r="V46" s="251"/>
      <c r="W46" s="251"/>
      <c r="X46" s="251"/>
      <c r="Y46" s="251"/>
      <c r="Z46" s="251"/>
      <c r="AA46" s="251">
        <f t="shared" si="1"/>
        <v>3002</v>
      </c>
      <c r="AB46" s="446">
        <f t="shared" si="2"/>
        <v>1.6859169327049575E-2</v>
      </c>
      <c r="AC46" s="437"/>
      <c r="AD46" s="251"/>
      <c r="AE46" s="446" t="str">
        <f t="shared" si="3"/>
        <v/>
      </c>
      <c r="AF46" s="447">
        <f t="shared" si="4"/>
        <v>3002</v>
      </c>
      <c r="AG46" s="251"/>
      <c r="AH46" s="446" t="str">
        <f t="shared" si="5"/>
        <v/>
      </c>
      <c r="AI46" s="448">
        <f t="shared" si="6"/>
        <v>3002</v>
      </c>
      <c r="AJ46" s="449">
        <f t="shared" si="7"/>
        <v>0.41044572053595846</v>
      </c>
      <c r="AK46" s="450">
        <f t="shared" si="8"/>
        <v>0</v>
      </c>
      <c r="AL46" s="451">
        <f t="shared" si="9"/>
        <v>0</v>
      </c>
      <c r="AM46" s="452">
        <f t="shared" si="10"/>
        <v>0</v>
      </c>
      <c r="AN46" s="453">
        <f t="shared" si="11"/>
        <v>0</v>
      </c>
      <c r="AO46" s="11"/>
    </row>
    <row r="47" spans="1:41" x14ac:dyDescent="0.3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54">
        <v>25861.3</v>
      </c>
      <c r="P47" s="225">
        <v>29565.4</v>
      </c>
      <c r="Q47" s="225">
        <v>10741.6</v>
      </c>
      <c r="R47" s="225"/>
      <c r="S47" s="225"/>
      <c r="T47" s="225"/>
      <c r="U47" s="225">
        <v>1849</v>
      </c>
      <c r="V47" s="225">
        <v>993</v>
      </c>
      <c r="W47" s="225">
        <v>3892.28</v>
      </c>
      <c r="X47" s="225">
        <v>10341.719999999999</v>
      </c>
      <c r="Y47" s="225">
        <v>7401.04</v>
      </c>
      <c r="Z47" s="225">
        <v>11090.7</v>
      </c>
      <c r="AA47" s="225">
        <f t="shared" si="1"/>
        <v>101736.04</v>
      </c>
      <c r="AB47" s="226">
        <f t="shared" si="2"/>
        <v>0.57134747669003616</v>
      </c>
      <c r="AC47" s="227"/>
      <c r="AD47" s="225">
        <v>324174.06167999998</v>
      </c>
      <c r="AE47" s="226">
        <f t="shared" si="3"/>
        <v>0.653728813559322</v>
      </c>
      <c r="AF47" s="228">
        <f t="shared" si="4"/>
        <v>-222438.02168000001</v>
      </c>
      <c r="AG47" s="225">
        <v>223864.18</v>
      </c>
      <c r="AH47" s="226">
        <f t="shared" si="5"/>
        <v>0.5037677120180335</v>
      </c>
      <c r="AI47" s="455">
        <f t="shared" si="6"/>
        <v>-122128.14</v>
      </c>
      <c r="AJ47" s="229">
        <f t="shared" si="7"/>
        <v>13.909767569045664</v>
      </c>
      <c r="AK47" s="230">
        <f t="shared" si="8"/>
        <v>19.107277005776258</v>
      </c>
      <c r="AL47" s="232">
        <f t="shared" si="9"/>
        <v>9.7184362925982199</v>
      </c>
      <c r="AM47" s="427" t="str">
        <f t="shared" si="10"/>
        <v>-8.24 pts.</v>
      </c>
      <c r="AN47" s="456" t="str">
        <f t="shared" si="11"/>
        <v>6.76 pts.</v>
      </c>
      <c r="AO47" s="11"/>
    </row>
    <row r="48" spans="1:41" x14ac:dyDescent="0.3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5"/>
      <c r="P48" s="216">
        <v>-92.16</v>
      </c>
      <c r="Q48" s="216">
        <v>-212.7</v>
      </c>
      <c r="R48" s="216"/>
      <c r="S48" s="216"/>
      <c r="T48" s="216"/>
      <c r="U48" s="216"/>
      <c r="V48" s="216"/>
      <c r="W48" s="216"/>
      <c r="X48" s="216">
        <v>-105.72</v>
      </c>
      <c r="Y48" s="216">
        <v>-33.020000000000003</v>
      </c>
      <c r="Z48" s="216"/>
      <c r="AA48" s="216">
        <f t="shared" si="1"/>
        <v>-443.6</v>
      </c>
      <c r="AB48" s="218">
        <f t="shared" si="2"/>
        <v>-2.4912483389337749E-3</v>
      </c>
      <c r="AC48" s="459"/>
      <c r="AD48" s="216"/>
      <c r="AE48" s="218" t="str">
        <f t="shared" si="3"/>
        <v/>
      </c>
      <c r="AF48" s="233">
        <f t="shared" si="4"/>
        <v>-443.6</v>
      </c>
      <c r="AG48" s="216">
        <v>-361.71</v>
      </c>
      <c r="AH48" s="218">
        <f t="shared" si="5"/>
        <v>-8.1396594628958916E-4</v>
      </c>
      <c r="AI48" s="536">
        <f t="shared" si="6"/>
        <v>-81.890000000000043</v>
      </c>
      <c r="AJ48" s="537">
        <f t="shared" si="7"/>
        <v>-6.0650806672135633E-2</v>
      </c>
      <c r="AK48" s="538">
        <f t="shared" si="8"/>
        <v>0</v>
      </c>
      <c r="AL48" s="539">
        <f t="shared" si="9"/>
        <v>-1.5702626438029086E-2</v>
      </c>
      <c r="AM48" s="540">
        <f t="shared" si="10"/>
        <v>0</v>
      </c>
      <c r="AN48" s="541" t="str">
        <f t="shared" si="11"/>
        <v>-0.17 pts.</v>
      </c>
      <c r="AO48" s="11"/>
    </row>
    <row r="49" spans="1:41" x14ac:dyDescent="0.3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54">
        <v>29741.25</v>
      </c>
      <c r="P49" s="225">
        <v>37911.54</v>
      </c>
      <c r="Q49" s="225">
        <v>14213.9</v>
      </c>
      <c r="R49" s="225"/>
      <c r="S49" s="225"/>
      <c r="T49" s="225"/>
      <c r="U49" s="225">
        <v>3445</v>
      </c>
      <c r="V49" s="225">
        <v>5252</v>
      </c>
      <c r="W49" s="225">
        <v>9445.7999999999993</v>
      </c>
      <c r="X49" s="225">
        <v>16920.86</v>
      </c>
      <c r="Y49" s="225">
        <v>12783.29</v>
      </c>
      <c r="Z49" s="225">
        <v>20032.7</v>
      </c>
      <c r="AA49" s="225">
        <f t="shared" si="1"/>
        <v>149746.34000000003</v>
      </c>
      <c r="AB49" s="226">
        <f t="shared" si="2"/>
        <v>0.84097231917586179</v>
      </c>
      <c r="AC49" s="227"/>
      <c r="AD49" s="225">
        <v>420241.2</v>
      </c>
      <c r="AE49" s="226">
        <f t="shared" si="3"/>
        <v>0.84745762711864414</v>
      </c>
      <c r="AF49" s="228">
        <f t="shared" si="4"/>
        <v>-270494.86</v>
      </c>
      <c r="AG49" s="225">
        <v>373446.53</v>
      </c>
      <c r="AH49" s="226">
        <f t="shared" si="5"/>
        <v>0.84037698205748657</v>
      </c>
      <c r="AI49" s="455">
        <f t="shared" si="6"/>
        <v>-223700.19</v>
      </c>
      <c r="AJ49" s="229">
        <f t="shared" si="7"/>
        <v>20.473932184850973</v>
      </c>
      <c r="AK49" s="230">
        <f t="shared" si="8"/>
        <v>24.769609807850998</v>
      </c>
      <c r="AL49" s="232">
        <f t="shared" si="9"/>
        <v>16.212135011938354</v>
      </c>
      <c r="AM49" s="427" t="str">
        <f t="shared" si="10"/>
        <v>-0.65 pts.</v>
      </c>
      <c r="AN49" s="456" t="str">
        <f t="shared" si="11"/>
        <v>0.06 pts.</v>
      </c>
      <c r="AO49" s="11"/>
    </row>
    <row r="50" spans="1:41" x14ac:dyDescent="0.35">
      <c r="A50" s="65" t="s">
        <v>2</v>
      </c>
      <c r="B50" s="66" t="str">
        <f>IF(_epmOfflineCondition_,"'VenueBar'!$B$2:$B$10",_xll.EVRNG($B$2:$B$10))</f>
        <v>'VenueBar'!$B$2:$B$10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57"/>
      <c r="P50" s="252"/>
      <c r="Q50" s="252"/>
      <c r="R50" s="252"/>
      <c r="S50" s="252"/>
      <c r="T50" s="252"/>
      <c r="U50" s="252"/>
      <c r="V50" s="252"/>
      <c r="W50" s="252"/>
      <c r="X50" s="252"/>
      <c r="Y50" s="252"/>
      <c r="Z50" s="252"/>
      <c r="AA50" s="252" t="str">
        <f t="shared" si="1"/>
        <v/>
      </c>
      <c r="AB50" s="458" t="str">
        <f t="shared" si="2"/>
        <v/>
      </c>
      <c r="AC50" s="534"/>
      <c r="AD50" s="252"/>
      <c r="AE50" s="458" t="str">
        <f t="shared" si="3"/>
        <v/>
      </c>
      <c r="AF50" s="460" t="str">
        <f t="shared" si="4"/>
        <v/>
      </c>
      <c r="AG50" s="252"/>
      <c r="AH50" s="458" t="str">
        <f t="shared" si="5"/>
        <v/>
      </c>
      <c r="AI50" s="461" t="str">
        <f t="shared" si="6"/>
        <v/>
      </c>
      <c r="AJ50" s="234">
        <f t="shared" si="7"/>
        <v>0</v>
      </c>
      <c r="AK50" s="235">
        <f t="shared" si="8"/>
        <v>0</v>
      </c>
      <c r="AL50" s="237">
        <f t="shared" si="9"/>
        <v>0</v>
      </c>
      <c r="AM50" s="429">
        <f t="shared" si="10"/>
        <v>0</v>
      </c>
      <c r="AN50" s="462">
        <f t="shared" si="11"/>
        <v>0</v>
      </c>
      <c r="AO50" s="11"/>
    </row>
    <row r="51" spans="1:41" x14ac:dyDescent="0.35">
      <c r="A51" s="65" t="s">
        <v>3</v>
      </c>
      <c r="B51" s="66" t="str">
        <f>IF(_epmOfflineCondition_,"'VenueBar'!$O$16:$AN$18",_xll.EVRNG($O$16:$AN$18))</f>
        <v>'VenueBar'!$O$16:$AN$18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35"/>
      <c r="P51" s="250"/>
      <c r="Q51" s="250"/>
      <c r="R51" s="250"/>
      <c r="S51" s="250"/>
      <c r="T51" s="250"/>
      <c r="U51" s="250"/>
      <c r="V51" s="250"/>
      <c r="W51" s="250"/>
      <c r="X51" s="250"/>
      <c r="Y51" s="250"/>
      <c r="Z51" s="250"/>
      <c r="AA51" s="250">
        <f t="shared" si="1"/>
        <v>0</v>
      </c>
      <c r="AB51" s="436" t="str">
        <f t="shared" si="2"/>
        <v/>
      </c>
      <c r="AC51" s="533"/>
      <c r="AD51" s="250"/>
      <c r="AE51" s="436" t="str">
        <f t="shared" si="3"/>
        <v/>
      </c>
      <c r="AF51" s="438">
        <f t="shared" si="4"/>
        <v>0</v>
      </c>
      <c r="AG51" s="250"/>
      <c r="AH51" s="436" t="str">
        <f t="shared" si="5"/>
        <v/>
      </c>
      <c r="AI51" s="439">
        <f t="shared" si="6"/>
        <v>0</v>
      </c>
      <c r="AJ51" s="440">
        <f t="shared" si="7"/>
        <v>0</v>
      </c>
      <c r="AK51" s="441">
        <f t="shared" si="8"/>
        <v>0</v>
      </c>
      <c r="AL51" s="442">
        <f t="shared" si="9"/>
        <v>0</v>
      </c>
      <c r="AM51" s="443">
        <f t="shared" si="10"/>
        <v>0</v>
      </c>
      <c r="AN51" s="444">
        <f t="shared" si="11"/>
        <v>0</v>
      </c>
      <c r="AO51" s="11"/>
    </row>
    <row r="52" spans="1:41" x14ac:dyDescent="0.35">
      <c r="A52" s="65" t="s">
        <v>4</v>
      </c>
      <c r="B52" s="66" t="str">
        <f>IF(_epmOfflineCondition_,"'VenueBar'!$H$62:$H$70",_xll.EVRNG(H62:H70))</f>
        <v>'VenueBar'!$H$62:$H$70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35"/>
      <c r="P52" s="250"/>
      <c r="Q52" s="250"/>
      <c r="R52" s="250"/>
      <c r="S52" s="250"/>
      <c r="T52" s="250"/>
      <c r="U52" s="250"/>
      <c r="V52" s="250"/>
      <c r="W52" s="250"/>
      <c r="X52" s="250"/>
      <c r="Y52" s="250"/>
      <c r="Z52" s="250"/>
      <c r="AA52" s="250">
        <f t="shared" si="1"/>
        <v>0</v>
      </c>
      <c r="AB52" s="436" t="str">
        <f t="shared" si="2"/>
        <v/>
      </c>
      <c r="AC52" s="533"/>
      <c r="AD52" s="250"/>
      <c r="AE52" s="436" t="str">
        <f t="shared" si="3"/>
        <v/>
      </c>
      <c r="AF52" s="438">
        <f t="shared" si="4"/>
        <v>0</v>
      </c>
      <c r="AG52" s="250"/>
      <c r="AH52" s="436" t="str">
        <f t="shared" si="5"/>
        <v/>
      </c>
      <c r="AI52" s="439">
        <f t="shared" si="6"/>
        <v>0</v>
      </c>
      <c r="AJ52" s="440">
        <f t="shared" si="7"/>
        <v>0</v>
      </c>
      <c r="AK52" s="441">
        <f t="shared" si="8"/>
        <v>0</v>
      </c>
      <c r="AL52" s="442">
        <f t="shared" si="9"/>
        <v>0</v>
      </c>
      <c r="AM52" s="443">
        <f t="shared" si="10"/>
        <v>0</v>
      </c>
      <c r="AN52" s="444">
        <f t="shared" si="11"/>
        <v>0</v>
      </c>
      <c r="AO52" s="11"/>
    </row>
    <row r="53" spans="1:41" x14ac:dyDescent="0.3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35"/>
      <c r="P53" s="250"/>
      <c r="Q53" s="250"/>
      <c r="R53" s="250"/>
      <c r="S53" s="250"/>
      <c r="T53" s="250"/>
      <c r="U53" s="250"/>
      <c r="V53" s="250"/>
      <c r="W53" s="250"/>
      <c r="X53" s="250"/>
      <c r="Y53" s="250"/>
      <c r="Z53" s="250"/>
      <c r="AA53" s="250">
        <f t="shared" si="1"/>
        <v>0</v>
      </c>
      <c r="AB53" s="436" t="str">
        <f t="shared" si="2"/>
        <v/>
      </c>
      <c r="AC53" s="533"/>
      <c r="AD53" s="250"/>
      <c r="AE53" s="436" t="str">
        <f t="shared" si="3"/>
        <v/>
      </c>
      <c r="AF53" s="438">
        <f t="shared" si="4"/>
        <v>0</v>
      </c>
      <c r="AG53" s="250"/>
      <c r="AH53" s="436" t="str">
        <f t="shared" si="5"/>
        <v/>
      </c>
      <c r="AI53" s="439">
        <f t="shared" si="6"/>
        <v>0</v>
      </c>
      <c r="AJ53" s="440">
        <f t="shared" si="7"/>
        <v>0</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35">
        <v>5674.55</v>
      </c>
      <c r="P54" s="250">
        <v>7092.45</v>
      </c>
      <c r="Q54" s="250">
        <v>2928.15</v>
      </c>
      <c r="R54" s="250"/>
      <c r="S54" s="250"/>
      <c r="T54" s="250"/>
      <c r="U54" s="250">
        <v>615.78</v>
      </c>
      <c r="V54" s="250">
        <v>945.36</v>
      </c>
      <c r="W54" s="250">
        <v>1714.95</v>
      </c>
      <c r="X54" s="250">
        <v>3026.32</v>
      </c>
      <c r="Y54" s="250">
        <v>2288.16</v>
      </c>
      <c r="Z54" s="250">
        <v>3581.28</v>
      </c>
      <c r="AA54" s="250">
        <f t="shared" si="1"/>
        <v>27867</v>
      </c>
      <c r="AB54" s="436">
        <f t="shared" si="2"/>
        <v>0.15650049021881762</v>
      </c>
      <c r="AC54" s="533"/>
      <c r="AD54" s="250">
        <v>75643.415999999997</v>
      </c>
      <c r="AE54" s="436">
        <f t="shared" si="3"/>
        <v>0.15254237288135594</v>
      </c>
      <c r="AF54" s="438">
        <f t="shared" si="4"/>
        <v>-47776.415999999997</v>
      </c>
      <c r="AG54" s="250">
        <v>70259.240000000005</v>
      </c>
      <c r="AH54" s="436">
        <f t="shared" si="5"/>
        <v>0.15810629723310762</v>
      </c>
      <c r="AI54" s="439">
        <f t="shared" si="6"/>
        <v>-42392.240000000005</v>
      </c>
      <c r="AJ54" s="440">
        <f t="shared" si="7"/>
        <v>3.8100902378999182</v>
      </c>
      <c r="AK54" s="441">
        <f t="shared" si="8"/>
        <v>4.4585297654131795</v>
      </c>
      <c r="AL54" s="442">
        <f t="shared" si="9"/>
        <v>3.0501080963750815</v>
      </c>
      <c r="AM54" s="443" t="str">
        <f t="shared" si="10"/>
        <v>0.4 pts.</v>
      </c>
      <c r="AN54" s="444" t="str">
        <f t="shared" si="11"/>
        <v>-0.16 pts.</v>
      </c>
      <c r="AO54" s="11"/>
    </row>
    <row r="55" spans="1:41" x14ac:dyDescent="0.35">
      <c r="A55" s="65" t="s">
        <v>7</v>
      </c>
      <c r="B55" s="66" t="str">
        <f>IF(_epmOfflineCondition_,"'VenueBar'!$A$69:$F$77",_xll.EVRNG(A69:F77))</f>
        <v>'VenueBar'!$A$69:$F$77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35"/>
      <c r="P55" s="250">
        <v>450</v>
      </c>
      <c r="Q55" s="250"/>
      <c r="R55" s="250"/>
      <c r="S55" s="250"/>
      <c r="T55" s="250"/>
      <c r="U55" s="250"/>
      <c r="V55" s="250"/>
      <c r="W55" s="250"/>
      <c r="X55" s="250"/>
      <c r="Y55" s="250"/>
      <c r="Z55" s="250"/>
      <c r="AA55" s="250">
        <f t="shared" si="1"/>
        <v>450</v>
      </c>
      <c r="AB55" s="436">
        <f t="shared" si="2"/>
        <v>2.5271906053205557E-3</v>
      </c>
      <c r="AC55" s="533"/>
      <c r="AD55" s="250"/>
      <c r="AE55" s="436" t="str">
        <f t="shared" si="3"/>
        <v/>
      </c>
      <c r="AF55" s="438">
        <f t="shared" si="4"/>
        <v>450</v>
      </c>
      <c r="AG55" s="250">
        <v>674</v>
      </c>
      <c r="AH55" s="436">
        <f t="shared" si="5"/>
        <v>1.516720709405831E-3</v>
      </c>
      <c r="AI55" s="439">
        <f t="shared" si="6"/>
        <v>-224</v>
      </c>
      <c r="AJ55" s="440">
        <f t="shared" si="7"/>
        <v>6.1525840853158327E-2</v>
      </c>
      <c r="AK55" s="441">
        <f t="shared" si="8"/>
        <v>0</v>
      </c>
      <c r="AL55" s="442">
        <f t="shared" si="9"/>
        <v>2.9259822009984806E-2</v>
      </c>
      <c r="AM55" s="443">
        <f t="shared" si="10"/>
        <v>0</v>
      </c>
      <c r="AN55" s="444" t="str">
        <f t="shared" si="11"/>
        <v>0.1 pts.</v>
      </c>
      <c r="AO55" s="11"/>
    </row>
    <row r="56" spans="1:41" x14ac:dyDescent="0.35">
      <c r="A56" s="65" t="s">
        <v>47</v>
      </c>
      <c r="B56" s="66" t="str">
        <f>IF(_epmOfflineCondition_,"'VenueBar'!$A$125:$B$146",_xll.EVRNG($A$125:$B$146))</f>
        <v>'VenueBar'!$A$125:$B$146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45"/>
      <c r="P56" s="251"/>
      <c r="Q56" s="251"/>
      <c r="R56" s="251"/>
      <c r="S56" s="251"/>
      <c r="T56" s="251"/>
      <c r="U56" s="251"/>
      <c r="V56" s="251"/>
      <c r="W56" s="251"/>
      <c r="X56" s="251"/>
      <c r="Y56" s="251"/>
      <c r="Z56" s="251"/>
      <c r="AA56" s="251">
        <f t="shared" si="1"/>
        <v>0</v>
      </c>
      <c r="AB56" s="446" t="str">
        <f t="shared" si="2"/>
        <v/>
      </c>
      <c r="AC56" s="437"/>
      <c r="AD56" s="251"/>
      <c r="AE56" s="446" t="str">
        <f t="shared" si="3"/>
        <v/>
      </c>
      <c r="AF56" s="447">
        <f t="shared" si="4"/>
        <v>0</v>
      </c>
      <c r="AG56" s="251"/>
      <c r="AH56" s="446" t="str">
        <f t="shared" si="5"/>
        <v/>
      </c>
      <c r="AI56" s="448">
        <f t="shared" si="6"/>
        <v>0</v>
      </c>
      <c r="AJ56" s="449">
        <f t="shared" si="7"/>
        <v>0</v>
      </c>
      <c r="AK56" s="450">
        <f t="shared" si="8"/>
        <v>0</v>
      </c>
      <c r="AL56" s="451">
        <f t="shared" si="9"/>
        <v>0</v>
      </c>
      <c r="AM56" s="452">
        <f t="shared" si="10"/>
        <v>0</v>
      </c>
      <c r="AN56" s="453">
        <f t="shared" si="11"/>
        <v>0</v>
      </c>
      <c r="AO56" s="11"/>
    </row>
    <row r="57" spans="1:41" x14ac:dyDescent="0.3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63">
        <v>5674.55</v>
      </c>
      <c r="P57" s="238">
        <v>7542.45</v>
      </c>
      <c r="Q57" s="238">
        <v>2928.15</v>
      </c>
      <c r="R57" s="238"/>
      <c r="S57" s="238"/>
      <c r="T57" s="238"/>
      <c r="U57" s="238">
        <v>615.78</v>
      </c>
      <c r="V57" s="238">
        <v>945.36</v>
      </c>
      <c r="W57" s="238">
        <v>1714.95</v>
      </c>
      <c r="X57" s="238">
        <v>3026.32</v>
      </c>
      <c r="Y57" s="238">
        <v>2288.16</v>
      </c>
      <c r="Z57" s="238">
        <v>3581.28</v>
      </c>
      <c r="AA57" s="238">
        <f t="shared" si="1"/>
        <v>28317</v>
      </c>
      <c r="AB57" s="239">
        <f t="shared" si="2"/>
        <v>0.15902768082413818</v>
      </c>
      <c r="AC57" s="240"/>
      <c r="AD57" s="238">
        <v>75643.415999999997</v>
      </c>
      <c r="AE57" s="239">
        <f t="shared" si="3"/>
        <v>0.15254237288135594</v>
      </c>
      <c r="AF57" s="241">
        <f t="shared" si="4"/>
        <v>-47326.415999999997</v>
      </c>
      <c r="AG57" s="238">
        <v>70933.240000000005</v>
      </c>
      <c r="AH57" s="239">
        <f t="shared" si="5"/>
        <v>0.15962301794251346</v>
      </c>
      <c r="AI57" s="464">
        <f t="shared" si="6"/>
        <v>-42616.240000000005</v>
      </c>
      <c r="AJ57" s="242">
        <f t="shared" si="7"/>
        <v>3.8716160787530765</v>
      </c>
      <c r="AK57" s="243">
        <f t="shared" si="8"/>
        <v>4.4585297654131795</v>
      </c>
      <c r="AL57" s="245">
        <f t="shared" si="9"/>
        <v>3.0793679183850666</v>
      </c>
      <c r="AM57" s="431" t="str">
        <f t="shared" si="10"/>
        <v>0.65 pts.</v>
      </c>
      <c r="AN57" s="465" t="str">
        <f t="shared" si="11"/>
        <v>-0.06 pts.</v>
      </c>
      <c r="AO57" s="11"/>
    </row>
    <row r="58" spans="1:41" x14ac:dyDescent="0.3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54">
        <v>35415.800000000003</v>
      </c>
      <c r="P58" s="225">
        <v>45453.99</v>
      </c>
      <c r="Q58" s="225">
        <v>17142.05</v>
      </c>
      <c r="R58" s="225"/>
      <c r="S58" s="225"/>
      <c r="T58" s="225"/>
      <c r="U58" s="225">
        <v>4060.78</v>
      </c>
      <c r="V58" s="225">
        <v>6197.36</v>
      </c>
      <c r="W58" s="225">
        <v>11160.75</v>
      </c>
      <c r="X58" s="225">
        <v>19947.18</v>
      </c>
      <c r="Y58" s="225">
        <v>15071.45</v>
      </c>
      <c r="Z58" s="225">
        <v>23613.98</v>
      </c>
      <c r="AA58" s="225">
        <f t="shared" si="1"/>
        <v>178063.34000000003</v>
      </c>
      <c r="AB58" s="226">
        <f t="shared" si="2"/>
        <v>1</v>
      </c>
      <c r="AC58" s="227"/>
      <c r="AD58" s="225">
        <v>495884.61599999998</v>
      </c>
      <c r="AE58" s="226">
        <f t="shared" si="3"/>
        <v>1</v>
      </c>
      <c r="AF58" s="228">
        <f t="shared" si="4"/>
        <v>-317821.27599999995</v>
      </c>
      <c r="AG58" s="225">
        <v>444379.77</v>
      </c>
      <c r="AH58" s="226">
        <f t="shared" si="5"/>
        <v>1</v>
      </c>
      <c r="AI58" s="455">
        <f t="shared" si="6"/>
        <v>-266316.43</v>
      </c>
      <c r="AJ58" s="229">
        <f t="shared" si="7"/>
        <v>24.345548263604051</v>
      </c>
      <c r="AK58" s="230">
        <f t="shared" si="8"/>
        <v>29.228139573264173</v>
      </c>
      <c r="AL58" s="232">
        <f t="shared" si="9"/>
        <v>19.291502930323421</v>
      </c>
      <c r="AM58" s="427" t="str">
        <f t="shared" si="10"/>
        <v>0 pts.</v>
      </c>
      <c r="AN58" s="456" t="str">
        <f t="shared" si="11"/>
        <v>0 pts.</v>
      </c>
      <c r="AO58" s="11"/>
    </row>
    <row r="59" spans="1:41" x14ac:dyDescent="0.3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3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3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3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35">
        <v>1078.6400000000001</v>
      </c>
      <c r="P62" s="250">
        <v>2345.7600000000002</v>
      </c>
      <c r="Q62" s="250">
        <v>1024.82</v>
      </c>
      <c r="R62" s="250"/>
      <c r="S62" s="250"/>
      <c r="T62" s="250"/>
      <c r="U62" s="250">
        <v>850.8</v>
      </c>
      <c r="V62" s="250">
        <v>1575.21</v>
      </c>
      <c r="W62" s="250">
        <v>2152.37</v>
      </c>
      <c r="X62" s="250">
        <v>2726.88</v>
      </c>
      <c r="Y62" s="250">
        <v>-367.65</v>
      </c>
      <c r="Z62" s="250">
        <v>-55</v>
      </c>
      <c r="AA62" s="250">
        <f t="shared" ref="AA62:AA70" si="13">IF($I62="B1","",SUM(O62:Z62))</f>
        <v>11331.83</v>
      </c>
      <c r="AB62" s="436">
        <f>IF(_epmOfflineCondition_,0.233868274793154,IF(AA62=0,"",IFERROR(AA62/_xll.EVGTS($B$1,1,_xll.EVPRO($B$1,$H62,"COSBASIS"),$B$3,$B$5,$B$6,$B$7,$B$9,AA$16,AA$17,AA$11),"")))</f>
        <v>0.233868274793154</v>
      </c>
      <c r="AC62" s="533"/>
      <c r="AD62" s="250">
        <v>26706.81</v>
      </c>
      <c r="AE62" s="436">
        <f>IF(_epmOfflineCondition_,0.278001515055435,IF(AD62=0,"",IFERROR(AD62/_xll.EVGTS($B$1,1,_xll.EVPRO($B$1,$H62,"COSBASIS"),$B$3,$B$5,$B$6,$B$7,$B$9,AD$16,AD$17,AD$18),"")))</f>
        <v>0.27800151505543502</v>
      </c>
      <c r="AF62" s="438">
        <f t="shared" ref="AF62:AF72" si="14">IF(AND($AA62="",AD62=""),"",$AA62-AD62)</f>
        <v>-15374.980000000001</v>
      </c>
      <c r="AG62" s="250">
        <v>97457.71</v>
      </c>
      <c r="AH62" s="436">
        <f>IF(_epmOfflineCondition_,0.649960458587022,IF(AG62=0,"",IFERROR(AG62/_xll.EVGTS($B$1,1,_xll.EVPRO($B$1,$H62,"COSBASIS"),$B$3,$B$5,$B$6,$B$7,$B$9,AG$16,AG$17,AG$18),"")))</f>
        <v>0.64996045858702201</v>
      </c>
      <c r="AI62" s="439">
        <f t="shared" ref="AI62:AI72" si="15">IF(AND($AA62="",AG62=""),"",$AA62-AG62)</f>
        <v>-86125.88</v>
      </c>
      <c r="AJ62" s="440">
        <f t="shared" ref="AJ62:AJ72" si="16">IFERROR(AA62/AA$20,0)</f>
        <v>1.549334153677878</v>
      </c>
      <c r="AK62" s="441">
        <f t="shared" ref="AK62:AK72" si="17">IFERROR(AD62/AD$20,0)</f>
        <v>1.5741370977248617</v>
      </c>
      <c r="AL62" s="442">
        <f t="shared" ref="AL62:AL72" si="18">IFERROR(AG62/AG$20,0)</f>
        <v>4.2308534838289562</v>
      </c>
      <c r="AM62" s="443" t="str">
        <f t="shared" ref="AM62:AM72" si="19">+IFERROR(ROUND(($AB62-AE62)*100,2)&amp;" pts.",0)</f>
        <v>-4.41 pts.</v>
      </c>
      <c r="AN62" s="444" t="str">
        <f t="shared" ref="AN62:AN72" si="20">+IFERROR(ROUND(($AB62-AH62)*100,2)&amp;" pts.",0)</f>
        <v>-41.61 pts.</v>
      </c>
      <c r="AO62" s="11"/>
    </row>
    <row r="63" spans="1:41" x14ac:dyDescent="0.3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45">
        <v>5291.54</v>
      </c>
      <c r="P63" s="251">
        <v>5984.77</v>
      </c>
      <c r="Q63" s="251">
        <v>2210.36</v>
      </c>
      <c r="R63" s="251"/>
      <c r="S63" s="251"/>
      <c r="T63" s="251"/>
      <c r="U63" s="251">
        <v>825.01</v>
      </c>
      <c r="V63" s="251">
        <v>408.41</v>
      </c>
      <c r="W63" s="251">
        <v>2003.51</v>
      </c>
      <c r="X63" s="251">
        <v>3086.37</v>
      </c>
      <c r="Y63" s="251">
        <v>2251</v>
      </c>
      <c r="Z63" s="251">
        <v>6.59</v>
      </c>
      <c r="AA63" s="251">
        <f t="shared" si="13"/>
        <v>22067.56</v>
      </c>
      <c r="AB63" s="446">
        <f>IF(_epmOfflineCondition_,0.216909956393034,IF(AA63=0,"",IFERROR(AA63/_xll.EVGTS($B$1,1,_xll.EVPRO($B$1,$H63,"COSBASIS"),$B$3,$B$5,$B$6,$B$7,$B$9,AA$16,AA$17,AA$11),"")))</f>
        <v>0.21690995639303401</v>
      </c>
      <c r="AC63" s="437"/>
      <c r="AD63" s="251">
        <v>69108.05</v>
      </c>
      <c r="AE63" s="446">
        <f>IF(_epmOfflineCondition_,0.213181923445245,IF(AD63=0,"",IFERROR(AD63/_xll.EVGTS($B$1,1,_xll.EVPRO($B$1,$H63,"COSBASIS"),$B$3,$B$5,$B$6,$B$7,$B$9,AD$16,AD$17,AD$18),"")))</f>
        <v>0.213181923445245</v>
      </c>
      <c r="AF63" s="447">
        <f t="shared" si="14"/>
        <v>-47040.490000000005</v>
      </c>
      <c r="AG63" s="251">
        <v>49131.79</v>
      </c>
      <c r="AH63" s="446">
        <f>IF(_epmOfflineCondition_,0.219471422359754,IF(AG63=0,"",IFERROR(AG63/_xll.EVGTS($B$1,1,_xll.EVPRO($B$1,$H63,"COSBASIS"),$B$3,$B$5,$B$6,$B$7,$B$9,AG$16,AG$17,AG$18),"")))</f>
        <v>0.219471422359754</v>
      </c>
      <c r="AI63" s="448">
        <f t="shared" si="15"/>
        <v>-27064.23</v>
      </c>
      <c r="AJ63" s="449">
        <f t="shared" si="16"/>
        <v>3.0171670768389394</v>
      </c>
      <c r="AK63" s="450">
        <f t="shared" si="17"/>
        <v>4.0733260638924911</v>
      </c>
      <c r="AL63" s="451">
        <f t="shared" si="18"/>
        <v>2.1329190362491861</v>
      </c>
      <c r="AM63" s="452" t="str">
        <f t="shared" si="19"/>
        <v>0.37 pts.</v>
      </c>
      <c r="AN63" s="453" t="str">
        <f t="shared" si="20"/>
        <v>-0.26 pts.</v>
      </c>
      <c r="AO63" s="11"/>
    </row>
    <row r="64" spans="1:41" x14ac:dyDescent="0.3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54">
        <v>6370.18</v>
      </c>
      <c r="P64" s="225">
        <v>8330.5300000000007</v>
      </c>
      <c r="Q64" s="225">
        <v>3235.18</v>
      </c>
      <c r="R64" s="225"/>
      <c r="S64" s="225"/>
      <c r="T64" s="225"/>
      <c r="U64" s="225">
        <v>1675.81</v>
      </c>
      <c r="V64" s="225">
        <v>1983.62</v>
      </c>
      <c r="W64" s="225">
        <v>4155.88</v>
      </c>
      <c r="X64" s="225">
        <v>5813.25</v>
      </c>
      <c r="Y64" s="225">
        <v>1883.35</v>
      </c>
      <c r="Z64" s="225">
        <v>-48.41</v>
      </c>
      <c r="AA64" s="225">
        <f t="shared" si="13"/>
        <v>33399.39</v>
      </c>
      <c r="AB64" s="226">
        <f>IF(_epmOfflineCondition_,0.223039775129062,IF(AA64=0,"",IFERROR(AA64/_xll.EVGTS($B$1,1,_xll.EVPRO($B$1,$H64,"COSBASIS"),$B$3,$B$5,$B$6,$B$7,$B$9,AA$16,AA$17,AA$11),"")))</f>
        <v>0.22303977512906201</v>
      </c>
      <c r="AC64" s="227"/>
      <c r="AD64" s="225">
        <v>95814.86</v>
      </c>
      <c r="AE64" s="226">
        <f>IF(_epmOfflineCondition_,0.227999682087335,IF(AD64=0,"",IFERROR(AD64/_xll.EVGTS($B$1,1,_xll.EVPRO($B$1,$H64,"COSBASIS"),$B$3,$B$5,$B$6,$B$7,$B$9,AD$16,AD$17,AD$18),"")))</f>
        <v>0.22799968208733501</v>
      </c>
      <c r="AF64" s="228">
        <f t="shared" si="14"/>
        <v>-62415.47</v>
      </c>
      <c r="AG64" s="225">
        <v>146589.5</v>
      </c>
      <c r="AH64" s="226">
        <f>IF(_epmOfflineCondition_,0.392531428796513,IF(AG64=0,"",IFERROR(AG64/_xll.EVGTS($B$1,1,_xll.EVPRO($B$1,$H64,"COSBASIS"),$B$3,$B$5,$B$6,$B$7,$B$9,AG$16,AG$17,AG$18),"")))</f>
        <v>0.39253142879651298</v>
      </c>
      <c r="AI64" s="455">
        <f t="shared" si="15"/>
        <v>-113190.11</v>
      </c>
      <c r="AJ64" s="229">
        <f t="shared" si="16"/>
        <v>4.5665012305168169</v>
      </c>
      <c r="AK64" s="230">
        <f t="shared" si="17"/>
        <v>5.6474631616173525</v>
      </c>
      <c r="AL64" s="232">
        <f t="shared" si="18"/>
        <v>6.3637725200781423</v>
      </c>
      <c r="AM64" s="427" t="str">
        <f t="shared" si="19"/>
        <v>-0.5 pts.</v>
      </c>
      <c r="AN64" s="456" t="str">
        <f t="shared" si="20"/>
        <v>-16.95 pts.</v>
      </c>
      <c r="AO64" s="11"/>
    </row>
    <row r="65" spans="1:41" x14ac:dyDescent="0.3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57"/>
      <c r="P65" s="252"/>
      <c r="Q65" s="252"/>
      <c r="R65" s="252"/>
      <c r="S65" s="252"/>
      <c r="T65" s="252"/>
      <c r="U65" s="252"/>
      <c r="V65" s="252"/>
      <c r="W65" s="252"/>
      <c r="X65" s="252"/>
      <c r="Y65" s="252"/>
      <c r="Z65" s="252"/>
      <c r="AA65" s="252" t="str">
        <f t="shared" si="13"/>
        <v/>
      </c>
      <c r="AB65" s="458" t="str">
        <f>IF(_epmOfflineCondition_,"",IF(AA65=0,"",IFERROR(AA65/_xll.EVGTS($B$1,1,_xll.EVPRO($B$1,$H65,"COSBASIS"),$B$3,$B$5,$B$6,$B$7,$B$9,AA$16,AA$17,AA$11),"")))</f>
        <v/>
      </c>
      <c r="AC65" s="534"/>
      <c r="AD65" s="252"/>
      <c r="AE65" s="458" t="str">
        <f>IF(_epmOfflineCondition_,"",IF(AD65=0,"",IFERROR(AD65/_xll.EVGTS($B$1,1,_xll.EVPRO($B$1,$H65,"COSBASIS"),$B$3,$B$5,$B$6,$B$7,$B$9,AD$16,AD$17,AD$18),"")))</f>
        <v/>
      </c>
      <c r="AF65" s="460" t="str">
        <f t="shared" si="14"/>
        <v/>
      </c>
      <c r="AG65" s="252"/>
      <c r="AH65" s="458" t="str">
        <f>IF(_epmOfflineCondition_,"",IF(AG65=0,"",IFERROR(AG65/_xll.EVGTS($B$1,1,_xll.EVPRO($B$1,$H65,"COSBASIS"),$B$3,$B$5,$B$6,$B$7,$B$9,AG$16,AG$17,AG$18),"")))</f>
        <v/>
      </c>
      <c r="AI65" s="461" t="str">
        <f t="shared" si="15"/>
        <v/>
      </c>
      <c r="AJ65" s="234">
        <f t="shared" si="16"/>
        <v>0</v>
      </c>
      <c r="AK65" s="235">
        <f t="shared" si="17"/>
        <v>0</v>
      </c>
      <c r="AL65" s="237">
        <f t="shared" si="18"/>
        <v>0</v>
      </c>
      <c r="AM65" s="429">
        <f t="shared" si="19"/>
        <v>0</v>
      </c>
      <c r="AN65" s="462">
        <f t="shared" si="20"/>
        <v>0</v>
      </c>
      <c r="AO65" s="11"/>
    </row>
    <row r="66" spans="1:41" x14ac:dyDescent="0.3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35"/>
      <c r="P66" s="250"/>
      <c r="Q66" s="250"/>
      <c r="R66" s="250"/>
      <c r="S66" s="250"/>
      <c r="T66" s="250"/>
      <c r="U66" s="250"/>
      <c r="V66" s="250"/>
      <c r="W66" s="250"/>
      <c r="X66" s="250"/>
      <c r="Y66" s="250"/>
      <c r="Z66" s="250"/>
      <c r="AA66" s="250">
        <f t="shared" si="13"/>
        <v>0</v>
      </c>
      <c r="AB66" s="436" t="str">
        <f>IF(_epmOfflineCondition_,"",IF(AA66=0,"",IFERROR(AA66/_xll.EVGTS($B$1,1,_xll.EVPRO($B$1,$H66,"COSBASIS"),$B$3,$B$5,$B$6,$B$7,$B$9,AA$16,AA$17,AA$11),"")))</f>
        <v/>
      </c>
      <c r="AC66" s="533"/>
      <c r="AD66" s="250"/>
      <c r="AE66" s="436" t="str">
        <f>IF(_epmOfflineCondition_,"",IF(AD66=0,"",IFERROR(AD66/_xll.EVGTS($B$1,1,_xll.EVPRO($B$1,$H66,"COSBASIS"),$B$3,$B$5,$B$6,$B$7,$B$9,AD$16,AD$17,AD$18),"")))</f>
        <v/>
      </c>
      <c r="AF66" s="438">
        <f t="shared" si="14"/>
        <v>0</v>
      </c>
      <c r="AG66" s="250"/>
      <c r="AH66" s="436" t="str">
        <f>IF(_epmOfflineCondition_,"",IF(AG66=0,"",IFERROR(AG66/_xll.EVGTS($B$1,1,_xll.EVPRO($B$1,$H66,"COSBASIS"),$B$3,$B$5,$B$6,$B$7,$B$9,AG$16,AG$17,AG$18),"")))</f>
        <v/>
      </c>
      <c r="AI66" s="439">
        <f t="shared" si="15"/>
        <v>0</v>
      </c>
      <c r="AJ66" s="440">
        <f t="shared" si="16"/>
        <v>0</v>
      </c>
      <c r="AK66" s="441">
        <f t="shared" si="17"/>
        <v>0</v>
      </c>
      <c r="AL66" s="442">
        <f t="shared" si="18"/>
        <v>0</v>
      </c>
      <c r="AM66" s="443">
        <f t="shared" si="19"/>
        <v>0</v>
      </c>
      <c r="AN66" s="444">
        <f t="shared" si="20"/>
        <v>0</v>
      </c>
      <c r="AO66" s="11"/>
    </row>
    <row r="67" spans="1:41" x14ac:dyDescent="0.3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35"/>
      <c r="P67" s="250"/>
      <c r="Q67" s="250"/>
      <c r="R67" s="250"/>
      <c r="S67" s="250"/>
      <c r="T67" s="250"/>
      <c r="U67" s="250"/>
      <c r="V67" s="250"/>
      <c r="W67" s="250"/>
      <c r="X67" s="250"/>
      <c r="Y67" s="250"/>
      <c r="Z67" s="250"/>
      <c r="AA67" s="250">
        <f t="shared" si="13"/>
        <v>0</v>
      </c>
      <c r="AB67" s="436" t="str">
        <f>IF(_epmOfflineCondition_,"",IF(AA67=0,"",IFERROR(AA67/_xll.EVGTS($B$1,1,_xll.EVPRO($B$1,$H67,"COSBASIS"),$B$3,$B$5,$B$6,$B$7,$B$9,AA$16,AA$17,AA$11),"")))</f>
        <v/>
      </c>
      <c r="AC67" s="533"/>
      <c r="AD67" s="250"/>
      <c r="AE67" s="436" t="str">
        <f>IF(_epmOfflineCondition_,"",IF(AD67=0,"",IFERROR(AD67/_xll.EVGTS($B$1,1,_xll.EVPRO($B$1,$H67,"COSBASIS"),$B$3,$B$5,$B$6,$B$7,$B$9,AD$16,AD$17,AD$18),"")))</f>
        <v/>
      </c>
      <c r="AF67" s="438">
        <f t="shared" si="14"/>
        <v>0</v>
      </c>
      <c r="AG67" s="250"/>
      <c r="AH67" s="436" t="str">
        <f>IF(_epmOfflineCondition_,"",IF(AG67=0,"",IFERROR(AG67/_xll.EVGTS($B$1,1,_xll.EVPRO($B$1,$H67,"COSBASIS"),$B$3,$B$5,$B$6,$B$7,$B$9,AG$16,AG$17,AG$18),"")))</f>
        <v/>
      </c>
      <c r="AI67" s="439">
        <f t="shared" si="15"/>
        <v>0</v>
      </c>
      <c r="AJ67" s="440">
        <f t="shared" si="16"/>
        <v>0</v>
      </c>
      <c r="AK67" s="441">
        <f t="shared" si="17"/>
        <v>0</v>
      </c>
      <c r="AL67" s="442">
        <f t="shared" si="18"/>
        <v>0</v>
      </c>
      <c r="AM67" s="443">
        <f t="shared" si="19"/>
        <v>0</v>
      </c>
      <c r="AN67" s="444">
        <f t="shared" si="20"/>
        <v>0</v>
      </c>
      <c r="AO67" s="11"/>
    </row>
    <row r="68" spans="1:41" x14ac:dyDescent="0.3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45"/>
      <c r="P68" s="251"/>
      <c r="Q68" s="251"/>
      <c r="R68" s="251"/>
      <c r="S68" s="251"/>
      <c r="T68" s="251"/>
      <c r="U68" s="251"/>
      <c r="V68" s="251"/>
      <c r="W68" s="251"/>
      <c r="X68" s="251"/>
      <c r="Y68" s="251"/>
      <c r="Z68" s="251"/>
      <c r="AA68" s="251">
        <f t="shared" si="13"/>
        <v>0</v>
      </c>
      <c r="AB68" s="446" t="str">
        <f>IF(_epmOfflineCondition_,"",IF(AA68=0,"",IFERROR(AA68/_xll.EVGTS($B$1,1,_xll.EVPRO($B$1,$H68,"COSBASIS"),$B$3,$B$5,$B$6,$B$7,$B$9,AA$16,AA$17,AA$11),"")))</f>
        <v/>
      </c>
      <c r="AC68" s="437"/>
      <c r="AD68" s="251"/>
      <c r="AE68" s="446" t="str">
        <f>IF(_epmOfflineCondition_,"",IF(AD68=0,"",IFERROR(AD68/_xll.EVGTS($B$1,1,_xll.EVPRO($B$1,$H68,"COSBASIS"),$B$3,$B$5,$B$6,$B$7,$B$9,AD$16,AD$17,AD$18),"")))</f>
        <v/>
      </c>
      <c r="AF68" s="447">
        <f t="shared" si="14"/>
        <v>0</v>
      </c>
      <c r="AG68" s="251"/>
      <c r="AH68" s="446" t="str">
        <f>IF(_epmOfflineCondition_,"",IF(AG68=0,"",IFERROR(AG68/_xll.EVGTS($B$1,1,_xll.EVPRO($B$1,$H68,"COSBASIS"),$B$3,$B$5,$B$6,$B$7,$B$9,AG$16,AG$17,AG$18),"")))</f>
        <v/>
      </c>
      <c r="AI68" s="448">
        <f t="shared" si="15"/>
        <v>0</v>
      </c>
      <c r="AJ68" s="449">
        <f t="shared" si="16"/>
        <v>0</v>
      </c>
      <c r="AK68" s="450">
        <f t="shared" si="17"/>
        <v>0</v>
      </c>
      <c r="AL68" s="451">
        <f t="shared" si="18"/>
        <v>0</v>
      </c>
      <c r="AM68" s="452">
        <f t="shared" si="19"/>
        <v>0</v>
      </c>
      <c r="AN68" s="453">
        <f t="shared" si="20"/>
        <v>0</v>
      </c>
      <c r="AO68" s="11"/>
    </row>
    <row r="69" spans="1:41" x14ac:dyDescent="0.3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63"/>
      <c r="P69" s="238"/>
      <c r="Q69" s="238"/>
      <c r="R69" s="238"/>
      <c r="S69" s="238"/>
      <c r="T69" s="238"/>
      <c r="U69" s="238"/>
      <c r="V69" s="238"/>
      <c r="W69" s="238"/>
      <c r="X69" s="238"/>
      <c r="Y69" s="238"/>
      <c r="Z69" s="238"/>
      <c r="AA69" s="238">
        <f t="shared" si="13"/>
        <v>0</v>
      </c>
      <c r="AB69" s="239" t="str">
        <f>IF(_epmOfflineCondition_,"",IF(AA69=0,"",IFERROR(AA69/_xll.EVGTS($B$1,1,_xll.EVPRO($B$1,$H69,"COSBASIS"),$B$3,$B$5,$B$6,$B$7,$B$9,AA$16,AA$17,AA$11),"")))</f>
        <v/>
      </c>
      <c r="AC69" s="240"/>
      <c r="AD69" s="238"/>
      <c r="AE69" s="239" t="str">
        <f>IF(_epmOfflineCondition_,"",IF(AD69=0,"",IFERROR(AD69/_xll.EVGTS($B$1,1,_xll.EVPRO($B$1,$H69,"COSBASIS"),$B$3,$B$5,$B$6,$B$7,$B$9,AD$16,AD$17,AD$18),"")))</f>
        <v/>
      </c>
      <c r="AF69" s="241">
        <f t="shared" si="14"/>
        <v>0</v>
      </c>
      <c r="AG69" s="238"/>
      <c r="AH69" s="239" t="str">
        <f>IF(_epmOfflineCondition_,"",IF(AG69=0,"",IFERROR(AG69/_xll.EVGTS($B$1,1,_xll.EVPRO($B$1,$H69,"COSBASIS"),$B$3,$B$5,$B$6,$B$7,$B$9,AG$16,AG$17,AG$18),"")))</f>
        <v/>
      </c>
      <c r="AI69" s="464">
        <f t="shared" si="15"/>
        <v>0</v>
      </c>
      <c r="AJ69" s="242">
        <f t="shared" si="16"/>
        <v>0</v>
      </c>
      <c r="AK69" s="243">
        <f t="shared" si="17"/>
        <v>0</v>
      </c>
      <c r="AL69" s="245">
        <f t="shared" si="18"/>
        <v>0</v>
      </c>
      <c r="AM69" s="431">
        <f t="shared" si="19"/>
        <v>0</v>
      </c>
      <c r="AN69" s="465">
        <f t="shared" si="20"/>
        <v>0</v>
      </c>
      <c r="AO69" s="11"/>
    </row>
    <row r="70" spans="1:41" x14ac:dyDescent="0.3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54">
        <v>6370.18</v>
      </c>
      <c r="P70" s="225">
        <v>8330.5300000000007</v>
      </c>
      <c r="Q70" s="225">
        <v>3235.18</v>
      </c>
      <c r="R70" s="225"/>
      <c r="S70" s="225"/>
      <c r="T70" s="225"/>
      <c r="U70" s="225">
        <v>1675.81</v>
      </c>
      <c r="V70" s="225">
        <v>1983.62</v>
      </c>
      <c r="W70" s="225">
        <v>4155.88</v>
      </c>
      <c r="X70" s="225">
        <v>5813.25</v>
      </c>
      <c r="Y70" s="225">
        <v>1883.35</v>
      </c>
      <c r="Z70" s="225">
        <v>-48.41</v>
      </c>
      <c r="AA70" s="225">
        <f t="shared" si="13"/>
        <v>33399.39</v>
      </c>
      <c r="AB70" s="226">
        <f>IF(_epmOfflineCondition_,0.18757027695875,IF(AA70=0,"",IFERROR(AA70/_xll.EVGTS($B$1,1,_xll.EVPRO($B$1,$H70,"COSBASIS"),$B$3,$B$5,$B$6,$B$7,$B$9,AA$16,AA$17,AA$11),"")))</f>
        <v>0.18757027695875</v>
      </c>
      <c r="AC70" s="227"/>
      <c r="AD70" s="225">
        <v>95814.86</v>
      </c>
      <c r="AE70" s="226">
        <f>IF(_epmOfflineCondition_,0.193220069565538,IF(AD70=0,"",IFERROR(AD70/_xll.EVGTS($B$1,1,_xll.EVPRO($B$1,$H70,"COSBASIS"),$B$3,$B$5,$B$6,$B$7,$B$9,AD$16,AD$17,AD$18),"")))</f>
        <v>0.193220069565538</v>
      </c>
      <c r="AF70" s="228">
        <f t="shared" si="14"/>
        <v>-62415.47</v>
      </c>
      <c r="AG70" s="225">
        <v>146589.5</v>
      </c>
      <c r="AH70" s="226">
        <f>IF(_epmOfflineCondition_,0.329874377494727,IF(AG70=0,"",IFERROR(AG70/_xll.EVGTS($B$1,1,_xll.EVPRO($B$1,$H70,"COSBASIS"),$B$3,$B$5,$B$6,$B$7,$B$9,AG$16,AG$17,AG$18),"")))</f>
        <v>0.32987437749472698</v>
      </c>
      <c r="AI70" s="455">
        <f t="shared" si="15"/>
        <v>-113190.11</v>
      </c>
      <c r="AJ70" s="229">
        <f t="shared" si="16"/>
        <v>4.5665012305168169</v>
      </c>
      <c r="AK70" s="230">
        <f t="shared" si="17"/>
        <v>5.6474631616173525</v>
      </c>
      <c r="AL70" s="232">
        <f t="shared" si="18"/>
        <v>6.3637725200781423</v>
      </c>
      <c r="AM70" s="427" t="str">
        <f t="shared" si="19"/>
        <v>-0.56 pts.</v>
      </c>
      <c r="AN70" s="456" t="str">
        <f t="shared" si="20"/>
        <v>-14.23 pts.</v>
      </c>
      <c r="AO70" s="11"/>
    </row>
    <row r="71" spans="1:41" x14ac:dyDescent="0.3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523">
        <f t="shared" si="16"/>
        <v>0</v>
      </c>
      <c r="AK71" s="524">
        <f t="shared" si="17"/>
        <v>0</v>
      </c>
      <c r="AL71" s="525">
        <f t="shared" si="18"/>
        <v>0</v>
      </c>
      <c r="AM71" s="526">
        <f t="shared" si="19"/>
        <v>0</v>
      </c>
      <c r="AN71" s="527">
        <f t="shared" si="20"/>
        <v>0</v>
      </c>
      <c r="AO71" s="11"/>
    </row>
    <row r="72" spans="1:41" x14ac:dyDescent="0.3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29045.620000000003</v>
      </c>
      <c r="P72" s="123">
        <f t="shared" si="21"/>
        <v>37123.46</v>
      </c>
      <c r="Q72" s="123">
        <f t="shared" si="21"/>
        <v>13906.869999999999</v>
      </c>
      <c r="R72" s="123">
        <f t="shared" si="21"/>
        <v>0</v>
      </c>
      <c r="S72" s="123">
        <f t="shared" si="21"/>
        <v>0</v>
      </c>
      <c r="T72" s="123">
        <f t="shared" si="21"/>
        <v>0</v>
      </c>
      <c r="U72" s="123">
        <f t="shared" si="21"/>
        <v>2384.9700000000003</v>
      </c>
      <c r="V72" s="123">
        <f t="shared" si="21"/>
        <v>4213.74</v>
      </c>
      <c r="W72" s="123">
        <f t="shared" si="21"/>
        <v>7004.87</v>
      </c>
      <c r="X72" s="123">
        <f t="shared" si="21"/>
        <v>14133.93</v>
      </c>
      <c r="Y72" s="123">
        <f t="shared" si="21"/>
        <v>13188.1</v>
      </c>
      <c r="Z72" s="123">
        <f t="shared" si="21"/>
        <v>23662.39</v>
      </c>
      <c r="AA72" s="191">
        <f>IF($I72="B1","",SUM(O72:Z72))</f>
        <v>144663.95000000001</v>
      </c>
      <c r="AB72" s="192">
        <f>IF(AA72=0,"",IFERROR(AA72/AA$19,""))</f>
        <v>0.81242972304125027</v>
      </c>
      <c r="AC72" s="11"/>
      <c r="AD72" s="123">
        <f>SUMIF($H$35:$H$70,"400000",AD35:AD70)-SUMIF($H$35:$H$70,"500001",AD35:AD70)</f>
        <v>400069.75599999999</v>
      </c>
      <c r="AE72" s="192">
        <f>IF(AD72=0,"",IFERROR(AD72/AD$19,""))</f>
        <v>0.80677993043446217</v>
      </c>
      <c r="AF72" s="125">
        <f t="shared" si="14"/>
        <v>-255405.80599999998</v>
      </c>
      <c r="AG72" s="123">
        <f>SUMIF($H$35:$H$70,"400000",AG35:AG70)-SUMIF($H$35:$H$70,"500001",AG35:AG70)</f>
        <v>297790.27</v>
      </c>
      <c r="AH72" s="192">
        <f>IF(AG72=0,"",IFERROR(AG72/AG$19,""))</f>
        <v>0.67012562250527297</v>
      </c>
      <c r="AI72" s="125">
        <f t="shared" si="15"/>
        <v>-153126.32</v>
      </c>
      <c r="AJ72" s="388">
        <f t="shared" si="16"/>
        <v>19.779047033087231</v>
      </c>
      <c r="AK72" s="389">
        <f t="shared" si="17"/>
        <v>23.580676411646824</v>
      </c>
      <c r="AL72" s="390">
        <f t="shared" si="18"/>
        <v>12.92773041024528</v>
      </c>
      <c r="AM72" s="391" t="str">
        <f t="shared" si="19"/>
        <v>0.56 pts.</v>
      </c>
      <c r="AN72" s="544" t="str">
        <f t="shared" si="20"/>
        <v>14.23 pts.</v>
      </c>
      <c r="AO72" s="11"/>
    </row>
    <row r="73" spans="1:41" x14ac:dyDescent="0.3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3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3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3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 t="shared" ref="K76:K90" si="22">IF(AND(I76&gt;="T3"),"&gt;","")</f>
        <v/>
      </c>
      <c r="L76" s="90" t="str">
        <f>IF(_epmOfflineCondition_,"",_xll.EVPRO($B$1,H76,"JDEID"))</f>
        <v/>
      </c>
      <c r="M76" s="90" t="str">
        <f>IF(_epmOfflineCondition_,"",IF(AND(I76="N",J76="N"),_xll.EVPRO($B$1,H76,"PSFTID"),""))</f>
        <v/>
      </c>
      <c r="N76" s="90" t="str">
        <f>IF(_epmOfflineCondition_,"",IF(_xll.EVDES(H76,$B$1)="#NODATA","",_xll.EVDES(H76,$B$1)))</f>
        <v/>
      </c>
      <c r="O76" s="210"/>
      <c r="P76" s="210"/>
      <c r="Q76" s="210"/>
      <c r="R76" s="210"/>
      <c r="S76" s="210"/>
      <c r="T76" s="210"/>
      <c r="U76" s="210"/>
      <c r="V76" s="210"/>
      <c r="W76" s="210"/>
      <c r="X76" s="210"/>
      <c r="Y76" s="210"/>
      <c r="Z76" s="210"/>
      <c r="AA76" s="250">
        <f t="shared" ref="AA76:AA90" si="23">IF($I76="B1","",SUM(O76:Z76))</f>
        <v>0</v>
      </c>
      <c r="AB76" s="211" t="str">
        <f t="shared" ref="AB76:AB90" si="24">IF(AA76=0,"",IFERROR(AA76/AA$19,""))</f>
        <v/>
      </c>
      <c r="AC76" s="140"/>
      <c r="AD76" s="210"/>
      <c r="AE76" s="211" t="str">
        <f t="shared" ref="AE76:AE90" si="25">IF(AD76=0,"",IFERROR(AD76/AD$19,""))</f>
        <v/>
      </c>
      <c r="AF76" s="253">
        <f t="shared" ref="AF76:AF90" si="26">IF(AND($AA76="",AD76=""),"",$AA76-AD76)</f>
        <v>0</v>
      </c>
      <c r="AG76" s="210"/>
      <c r="AH76" s="211" t="str">
        <f t="shared" ref="AH76:AH90" si="27">IF(AG76=0,"",IFERROR(AG76/AG$19,""))</f>
        <v/>
      </c>
      <c r="AI76" s="253">
        <f t="shared" ref="AI76:AI90" si="28">IF(AND($AA76="",AG76=""),"",$AA76-AG76)</f>
        <v>0</v>
      </c>
      <c r="AJ76" s="440">
        <f t="shared" ref="AJ76:AJ90" si="29">IFERROR(AA76/AA$20,0)</f>
        <v>0</v>
      </c>
      <c r="AK76" s="441">
        <f t="shared" ref="AK76:AK90" si="30">IFERROR(AD76/AD$20,0)</f>
        <v>0</v>
      </c>
      <c r="AL76" s="442">
        <f t="shared" ref="AL76:AL90" si="31">IFERROR(AG76/AG$20,0)</f>
        <v>0</v>
      </c>
      <c r="AM76" s="443">
        <f t="shared" ref="AM76:AM90" si="32">+IFERROR(ROUND(($AB76-AE76)*100,2)&amp;" pts.",0)</f>
        <v>0</v>
      </c>
      <c r="AN76" s="444">
        <f t="shared" ref="AN76:AN90" si="33">+IFERROR(ROUND(($AB76-AH76)*100,2)&amp;" pts.",0)</f>
        <v>0</v>
      </c>
      <c r="AO76" s="11"/>
    </row>
    <row r="77" spans="1:41" hidden="1" x14ac:dyDescent="0.35">
      <c r="A77" s="11" t="s">
        <v>108</v>
      </c>
      <c r="B77" s="11"/>
      <c r="C77" s="196" t="s">
        <v>101</v>
      </c>
      <c r="D77" s="11" t="s">
        <v>107</v>
      </c>
      <c r="E77" s="11"/>
      <c r="F77" s="11" t="s">
        <v>99</v>
      </c>
      <c r="G77" s="11"/>
      <c r="H77" s="185"/>
      <c r="I77" s="122" t="str">
        <f>IF(_epmOfflineCondition_,"",_xll.EVPRO($B$1,$H77,"STYLE"))</f>
        <v/>
      </c>
      <c r="J77" s="122" t="str">
        <f>IF(_epmOfflineCondition_,"",_xll.EVPRO($B$1,$H77,"CALC"))</f>
        <v/>
      </c>
      <c r="K77" s="179" t="str">
        <f t="shared" si="22"/>
        <v/>
      </c>
      <c r="L77" s="90" t="str">
        <f>IF(_epmOfflineCondition_,"",_xll.EVPRO($B$1,H77,"JDEID"))</f>
        <v/>
      </c>
      <c r="M77" s="90" t="str">
        <f>IF(_epmOfflineCondition_,"",IF(AND(I77="N",J77="N"),_xll.EVPRO($B$1,H77,"PSFTID"),""))</f>
        <v/>
      </c>
      <c r="N77" s="90" t="str">
        <f>IF(_epmOfflineCondition_,"",IF(_xll.EVDES(H77,$B$1)="#NODATA","",_xll.EVDES(H77,$B$1)))</f>
        <v/>
      </c>
      <c r="O77" s="210"/>
      <c r="P77" s="210"/>
      <c r="Q77" s="210"/>
      <c r="R77" s="210"/>
      <c r="S77" s="210"/>
      <c r="T77" s="210"/>
      <c r="U77" s="210"/>
      <c r="V77" s="210"/>
      <c r="W77" s="210"/>
      <c r="X77" s="210"/>
      <c r="Y77" s="210"/>
      <c r="Z77" s="210"/>
      <c r="AA77" s="250">
        <f t="shared" si="23"/>
        <v>0</v>
      </c>
      <c r="AB77" s="211" t="str">
        <f t="shared" si="24"/>
        <v/>
      </c>
      <c r="AC77" s="140"/>
      <c r="AD77" s="210"/>
      <c r="AE77" s="211" t="str">
        <f t="shared" si="25"/>
        <v/>
      </c>
      <c r="AF77" s="253">
        <f t="shared" si="26"/>
        <v>0</v>
      </c>
      <c r="AG77" s="210"/>
      <c r="AH77" s="211" t="str">
        <f t="shared" si="27"/>
        <v/>
      </c>
      <c r="AI77" s="253">
        <f t="shared" si="28"/>
        <v>0</v>
      </c>
      <c r="AJ77" s="440">
        <f t="shared" si="29"/>
        <v>0</v>
      </c>
      <c r="AK77" s="441">
        <f t="shared" si="30"/>
        <v>0</v>
      </c>
      <c r="AL77" s="442">
        <f t="shared" si="31"/>
        <v>0</v>
      </c>
      <c r="AM77" s="443">
        <f t="shared" si="32"/>
        <v>0</v>
      </c>
      <c r="AN77" s="444">
        <f t="shared" si="33"/>
        <v>0</v>
      </c>
      <c r="AO77" s="11"/>
    </row>
    <row r="78" spans="1:41" x14ac:dyDescent="0.3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 t="shared" si="23"/>
        <v/>
      </c>
      <c r="AB78" s="198" t="str">
        <f t="shared" si="24"/>
        <v/>
      </c>
      <c r="AC78" s="11"/>
      <c r="AD78" s="197"/>
      <c r="AE78" s="198" t="str">
        <f t="shared" si="25"/>
        <v/>
      </c>
      <c r="AF78" s="199" t="str">
        <f t="shared" si="26"/>
        <v/>
      </c>
      <c r="AG78" s="197"/>
      <c r="AH78" s="198" t="str">
        <f t="shared" si="27"/>
        <v/>
      </c>
      <c r="AI78" s="199" t="str">
        <f t="shared" si="28"/>
        <v/>
      </c>
      <c r="AJ78" s="397">
        <f t="shared" si="29"/>
        <v>0</v>
      </c>
      <c r="AK78" s="398">
        <f t="shared" si="30"/>
        <v>0</v>
      </c>
      <c r="AL78" s="399">
        <f t="shared" si="31"/>
        <v>0</v>
      </c>
      <c r="AM78" s="400">
        <f t="shared" si="32"/>
        <v>0</v>
      </c>
      <c r="AN78" s="401">
        <f t="shared" si="33"/>
        <v>0</v>
      </c>
      <c r="AO78" s="11"/>
    </row>
    <row r="79" spans="1:41" x14ac:dyDescent="0.35">
      <c r="A79" s="11"/>
      <c r="B79" s="11"/>
      <c r="C79" s="208"/>
      <c r="D79" s="11"/>
      <c r="E79" s="11"/>
      <c r="F79" s="11"/>
      <c r="G79" s="11"/>
      <c r="H79" s="88" t="s">
        <v>871</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Kitchen",IF(_xll.EVDES(H79,$B$1)="#NODATA","",_xll.EVDES(H79,$B$1)))</f>
        <v>F&amp;B Kitchen</v>
      </c>
      <c r="O79" s="216">
        <v>718</v>
      </c>
      <c r="P79" s="216">
        <v>1095</v>
      </c>
      <c r="Q79" s="216">
        <v>437</v>
      </c>
      <c r="R79" s="216"/>
      <c r="S79" s="216"/>
      <c r="T79" s="216"/>
      <c r="U79" s="216"/>
      <c r="V79" s="216"/>
      <c r="W79" s="216"/>
      <c r="X79" s="216">
        <v>1280</v>
      </c>
      <c r="Y79" s="216"/>
      <c r="Z79" s="216">
        <v>1005.72</v>
      </c>
      <c r="AA79" s="251">
        <f t="shared" si="23"/>
        <v>4535.72</v>
      </c>
      <c r="AB79" s="218">
        <f t="shared" si="24"/>
        <v>2.5472508827476783E-2</v>
      </c>
      <c r="AC79" s="140"/>
      <c r="AD79" s="216">
        <v>15447.6785714289</v>
      </c>
      <c r="AE79" s="218">
        <f t="shared" si="25"/>
        <v>3.1151760052642773E-2</v>
      </c>
      <c r="AF79" s="233">
        <f t="shared" si="26"/>
        <v>-10911.958571428899</v>
      </c>
      <c r="AG79" s="216">
        <v>68605.45</v>
      </c>
      <c r="AH79" s="218">
        <f t="shared" si="27"/>
        <v>0.15438472817968288</v>
      </c>
      <c r="AI79" s="233">
        <f t="shared" si="28"/>
        <v>-64069.729999999996</v>
      </c>
      <c r="AJ79" s="449">
        <f t="shared" si="29"/>
        <v>0.6201421930544162</v>
      </c>
      <c r="AK79" s="450">
        <f t="shared" si="30"/>
        <v>0.91050799077147826</v>
      </c>
      <c r="AL79" s="451">
        <f t="shared" si="31"/>
        <v>2.978313436075537</v>
      </c>
      <c r="AM79" s="452" t="str">
        <f t="shared" si="32"/>
        <v>-0.57 pts.</v>
      </c>
      <c r="AN79" s="453" t="str">
        <f t="shared" si="33"/>
        <v>-12.89 pts.</v>
      </c>
      <c r="AO79" s="11"/>
    </row>
    <row r="80" spans="1:41" x14ac:dyDescent="0.35">
      <c r="A80" s="61" t="str">
        <f>IF(_epmOfflineCondition_,"Evdre:Ok",_xll.EVDRE($B$1,A83:B90,A93:B99))</f>
        <v>Evdre:Ok</v>
      </c>
      <c r="B80" s="11"/>
      <c r="C80" s="11"/>
      <c r="D80" s="11"/>
      <c r="E80" s="11"/>
      <c r="F80" s="11"/>
      <c r="G80" s="11"/>
      <c r="H80" s="88" t="s">
        <v>872</v>
      </c>
      <c r="I80" s="122" t="str">
        <f>IF(_epmOfflineCondition_,"T3",_xll.EVPRO($B$1,$H80,"STYLE"))</f>
        <v>T3</v>
      </c>
      <c r="J80" s="122" t="str">
        <f>IF(_epmOfflineCondition_,"Y",_xll.EVPRO($B$1,$H80,"CALC"))</f>
        <v>Y</v>
      </c>
      <c r="K80" s="179" t="str">
        <f t="shared" si="22"/>
        <v>&gt;</v>
      </c>
      <c r="L80" s="90" t="str">
        <f>IF(_epmOfflineCondition_,"",_xll.EVPRO($B$1,H80,"JDEID"))</f>
        <v/>
      </c>
      <c r="M80" s="90" t="str">
        <f>IF(_epmOfflineCondition_,"",IF(AND(I80="N",J80="N"),_xll.EVPRO($B$1,H80,"PSFTID"),""))</f>
        <v/>
      </c>
      <c r="N80" s="90" t="str">
        <f>IF(_epmOfflineCondition_,"F&amp;B Venues",IF(_xll.EVDES(H80,$B$1)="#NODATA","",_xll.EVDES(H80,$B$1)))</f>
        <v>F&amp;B Venues</v>
      </c>
      <c r="O80" s="216">
        <v>2552.5100000000002</v>
      </c>
      <c r="P80" s="216">
        <v>2989.94</v>
      </c>
      <c r="Q80" s="216">
        <v>1401.91</v>
      </c>
      <c r="R80" s="216"/>
      <c r="S80" s="216"/>
      <c r="T80" s="216"/>
      <c r="U80" s="216"/>
      <c r="V80" s="216"/>
      <c r="W80" s="216"/>
      <c r="X80" s="216">
        <v>4986.22</v>
      </c>
      <c r="Y80" s="216"/>
      <c r="Z80" s="216">
        <v>1171.2</v>
      </c>
      <c r="AA80" s="251">
        <f t="shared" si="23"/>
        <v>13101.780000000002</v>
      </c>
      <c r="AB80" s="218">
        <f t="shared" si="24"/>
        <v>7.3579322953281678E-2</v>
      </c>
      <c r="AC80" s="140"/>
      <c r="AD80" s="216">
        <v>44931.428571429002</v>
      </c>
      <c r="AE80" s="218">
        <f t="shared" si="25"/>
        <v>9.0608635802948576E-2</v>
      </c>
      <c r="AF80" s="233">
        <f t="shared" si="26"/>
        <v>-31829.648571428999</v>
      </c>
      <c r="AG80" s="216">
        <v>90455.05</v>
      </c>
      <c r="AH80" s="218">
        <f t="shared" si="27"/>
        <v>0.20355348309397611</v>
      </c>
      <c r="AI80" s="233">
        <f t="shared" si="28"/>
        <v>-77353.27</v>
      </c>
      <c r="AJ80" s="449">
        <f t="shared" si="29"/>
        <v>1.7913289581624285</v>
      </c>
      <c r="AK80" s="450">
        <f t="shared" si="30"/>
        <v>2.6483218537916424</v>
      </c>
      <c r="AL80" s="451">
        <f t="shared" si="31"/>
        <v>3.9268526155849797</v>
      </c>
      <c r="AM80" s="452" t="str">
        <f t="shared" si="32"/>
        <v>-1.7 pts.</v>
      </c>
      <c r="AN80" s="453" t="str">
        <f t="shared" si="33"/>
        <v>-13 pts.</v>
      </c>
      <c r="AO80" s="11"/>
    </row>
    <row r="81" spans="1:41" x14ac:dyDescent="0.35">
      <c r="A81" s="11"/>
      <c r="B81" s="11"/>
      <c r="C81" s="11"/>
      <c r="D81" s="11"/>
      <c r="E81" s="11"/>
      <c r="F81" s="11"/>
      <c r="G81" s="11"/>
      <c r="H81" s="88" t="s">
        <v>852</v>
      </c>
      <c r="I81" s="188" t="str">
        <f>IF(_epmOfflineCondition_,"T2",_xll.EVPRO($B$1,$H81,"STYLE"))</f>
        <v>T2</v>
      </c>
      <c r="J81" s="188" t="str">
        <f>IF(_epmOfflineCondition_,"Y",_xll.EVPRO($B$1,$H81,"CALC"))</f>
        <v>Y</v>
      </c>
      <c r="K81" s="189" t="str">
        <f t="shared" si="22"/>
        <v/>
      </c>
      <c r="L81" s="190" t="str">
        <f>IF(_epmOfflineCondition_,"",_xll.EVPRO($B$1,H81,"JDEID"))</f>
        <v/>
      </c>
      <c r="M81" s="190" t="str">
        <f>IF(_epmOfflineCondition_,"",IF(AND(I81="N",J81="N"),_xll.EVPRO($B$1,H81,"PSFTID"),""))</f>
        <v/>
      </c>
      <c r="N81" s="190" t="str">
        <f>IF(_epmOfflineCondition_,"Total Salaries and Wages",IF(_xll.EVDES(H81,$B$1)="#NODATA","",_xll.EVDES(H81,$B$1)))</f>
        <v>Total Salaries and Wages</v>
      </c>
      <c r="O81" s="225">
        <v>3270.51</v>
      </c>
      <c r="P81" s="225">
        <v>4084.94</v>
      </c>
      <c r="Q81" s="225">
        <v>1838.91</v>
      </c>
      <c r="R81" s="225"/>
      <c r="S81" s="225"/>
      <c r="T81" s="225"/>
      <c r="U81" s="225"/>
      <c r="V81" s="225"/>
      <c r="W81" s="225"/>
      <c r="X81" s="225">
        <v>6266.22</v>
      </c>
      <c r="Y81" s="225"/>
      <c r="Z81" s="225">
        <v>2176.92</v>
      </c>
      <c r="AA81" s="225">
        <f t="shared" si="23"/>
        <v>17637.5</v>
      </c>
      <c r="AB81" s="226">
        <f t="shared" si="24"/>
        <v>9.9051831780758451E-2</v>
      </c>
      <c r="AC81" s="227"/>
      <c r="AD81" s="225">
        <v>60379.107142857902</v>
      </c>
      <c r="AE81" s="226">
        <f t="shared" si="25"/>
        <v>0.12176039585559134</v>
      </c>
      <c r="AF81" s="228">
        <f t="shared" si="26"/>
        <v>-42741.607142857902</v>
      </c>
      <c r="AG81" s="225">
        <v>159060.5</v>
      </c>
      <c r="AH81" s="226">
        <f t="shared" si="27"/>
        <v>0.35793821127365899</v>
      </c>
      <c r="AI81" s="228">
        <f t="shared" si="28"/>
        <v>-141423</v>
      </c>
      <c r="AJ81" s="229">
        <f t="shared" si="29"/>
        <v>2.4114711512168445</v>
      </c>
      <c r="AK81" s="230">
        <f t="shared" si="30"/>
        <v>3.5588298445631206</v>
      </c>
      <c r="AL81" s="232">
        <f t="shared" si="31"/>
        <v>6.9051660516605162</v>
      </c>
      <c r="AM81" s="427" t="str">
        <f t="shared" si="32"/>
        <v>-2.27 pts.</v>
      </c>
      <c r="AN81" s="456" t="str">
        <f t="shared" si="33"/>
        <v>-25.89 pts.</v>
      </c>
      <c r="AO81" s="11"/>
    </row>
    <row r="82" spans="1:41" x14ac:dyDescent="0.35">
      <c r="A82" s="62" t="s">
        <v>0</v>
      </c>
      <c r="B82" s="63" t="s">
        <v>1</v>
      </c>
      <c r="C82" s="11"/>
      <c r="D82" s="11"/>
      <c r="E82" s="11"/>
      <c r="F82" s="11"/>
      <c r="G82" s="11"/>
      <c r="H82" s="88" t="s">
        <v>873</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IF(_epmOfflineCondition_,"Service Charge Distribution",IF(_xll.EVDES(H82,$B$1)="#NODATA","",_xll.EVDES(H82,$B$1)))</f>
        <v>Service Charge Distribution</v>
      </c>
      <c r="O82" s="216">
        <v>5674.55</v>
      </c>
      <c r="P82" s="216">
        <v>7092.45</v>
      </c>
      <c r="Q82" s="216"/>
      <c r="R82" s="216"/>
      <c r="S82" s="216"/>
      <c r="T82" s="216"/>
      <c r="U82" s="216"/>
      <c r="V82" s="216"/>
      <c r="W82" s="216"/>
      <c r="X82" s="216">
        <v>6288.28</v>
      </c>
      <c r="Y82" s="216"/>
      <c r="Z82" s="216">
        <v>5869.44</v>
      </c>
      <c r="AA82" s="216">
        <f t="shared" si="23"/>
        <v>24924.719999999998</v>
      </c>
      <c r="AB82" s="218">
        <f t="shared" si="24"/>
        <v>0.13997670716498969</v>
      </c>
      <c r="AC82" s="140"/>
      <c r="AD82" s="216">
        <v>75643.415999999997</v>
      </c>
      <c r="AE82" s="218">
        <f t="shared" si="25"/>
        <v>0.15254237288135594</v>
      </c>
      <c r="AF82" s="233">
        <f t="shared" si="26"/>
        <v>-50718.695999999996</v>
      </c>
      <c r="AG82" s="216">
        <v>70270.38</v>
      </c>
      <c r="AH82" s="218">
        <f t="shared" si="27"/>
        <v>0.1581313658810346</v>
      </c>
      <c r="AI82" s="233">
        <f t="shared" si="28"/>
        <v>-45345.66</v>
      </c>
      <c r="AJ82" s="537">
        <f t="shared" si="29"/>
        <v>3.4078096800656272</v>
      </c>
      <c r="AK82" s="538">
        <f t="shared" si="30"/>
        <v>4.4585297654131795</v>
      </c>
      <c r="AL82" s="539">
        <f t="shared" si="31"/>
        <v>3.0505917082700242</v>
      </c>
      <c r="AM82" s="540" t="str">
        <f t="shared" si="32"/>
        <v>-1.26 pts.</v>
      </c>
      <c r="AN82" s="541" t="str">
        <f t="shared" si="33"/>
        <v>-1.82 pts.</v>
      </c>
      <c r="AO82" s="11"/>
    </row>
    <row r="83" spans="1:41" x14ac:dyDescent="0.35">
      <c r="A83" s="65" t="s">
        <v>2</v>
      </c>
      <c r="B83" s="66" t="str">
        <f>IF(_epmOfflineCondition_,"'VenueBar'!$B$2:$B$10",_xll.EVRNG($B$2:$B$10))</f>
        <v>'VenueBar'!$B$2:$B$10</v>
      </c>
      <c r="C83" s="11"/>
      <c r="D83" s="11"/>
      <c r="E83" s="11"/>
      <c r="F83" s="11"/>
      <c r="G83" s="11"/>
      <c r="H83" s="88" t="s">
        <v>874</v>
      </c>
      <c r="I83" s="122" t="str">
        <f>IF(_epmOfflineCondition_,"T3",_xll.EVPRO($B$1,$H83,"STYLE"))</f>
        <v>T3</v>
      </c>
      <c r="J83" s="122" t="str">
        <f>IF(_epmOfflineCondition_,"Y",_xll.EVPRO($B$1,$H83,"CALC"))</f>
        <v>Y</v>
      </c>
      <c r="K83" s="179" t="str">
        <f t="shared" si="22"/>
        <v>&gt;</v>
      </c>
      <c r="L83" s="90" t="str">
        <f>IF(_epmOfflineCondition_,"",_xll.EVPRO($B$1,H83,"JDEID"))</f>
        <v/>
      </c>
      <c r="M83" s="90" t="str">
        <f>IF(_epmOfflineCondition_,"",IF(AND(I83="N",J83="N"),_xll.EVPRO($B$1,H83,"PSFTID"),""))</f>
        <v/>
      </c>
      <c r="N83" s="90" t="str">
        <f>IF(_epmOfflineCondition_,"Contracted &amp; Leased Labor",IF(_xll.EVDES(H83,$B$1)="#NODATA","",_xll.EVDES(H83,$B$1)))</f>
        <v>Contracted &amp; Leased Labor</v>
      </c>
      <c r="O83" s="216"/>
      <c r="P83" s="216"/>
      <c r="Q83" s="216"/>
      <c r="R83" s="216"/>
      <c r="S83" s="216"/>
      <c r="T83" s="216"/>
      <c r="U83" s="216"/>
      <c r="V83" s="216"/>
      <c r="W83" s="216"/>
      <c r="X83" s="216">
        <v>350</v>
      </c>
      <c r="Y83" s="216">
        <v>603.08000000000004</v>
      </c>
      <c r="Z83" s="216">
        <v>-603.08000000000004</v>
      </c>
      <c r="AA83" s="251">
        <f t="shared" si="23"/>
        <v>350</v>
      </c>
      <c r="AB83" s="218">
        <f t="shared" si="24"/>
        <v>1.9655926930270988E-3</v>
      </c>
      <c r="AC83" s="140"/>
      <c r="AD83" s="216"/>
      <c r="AE83" s="218" t="str">
        <f t="shared" si="25"/>
        <v/>
      </c>
      <c r="AF83" s="233">
        <f t="shared" si="26"/>
        <v>350</v>
      </c>
      <c r="AG83" s="216"/>
      <c r="AH83" s="218" t="str">
        <f t="shared" si="27"/>
        <v/>
      </c>
      <c r="AI83" s="233">
        <f t="shared" si="28"/>
        <v>350</v>
      </c>
      <c r="AJ83" s="449">
        <f t="shared" si="29"/>
        <v>4.7853431774678698E-2</v>
      </c>
      <c r="AK83" s="450">
        <f t="shared" si="30"/>
        <v>0</v>
      </c>
      <c r="AL83" s="451">
        <f t="shared" si="31"/>
        <v>0</v>
      </c>
      <c r="AM83" s="452">
        <f t="shared" si="32"/>
        <v>0</v>
      </c>
      <c r="AN83" s="453">
        <f t="shared" si="33"/>
        <v>0</v>
      </c>
      <c r="AO83" s="11"/>
    </row>
    <row r="84" spans="1:41" x14ac:dyDescent="0.35">
      <c r="A84" s="65" t="s">
        <v>3</v>
      </c>
      <c r="B84" s="66" t="str">
        <f>IF(_epmOfflineCondition_,"'VenueBar'!$O$16:$AN$18",_xll.EVRNG($O$16:$AN$18))</f>
        <v>'VenueBar'!$O$16:$AN$18</v>
      </c>
      <c r="C84" s="11"/>
      <c r="D84" s="11"/>
      <c r="E84" s="11"/>
      <c r="F84" s="11"/>
      <c r="G84" s="11"/>
      <c r="H84" s="88" t="s">
        <v>853</v>
      </c>
      <c r="I84" s="122" t="str">
        <f>IF(_epmOfflineCondition_,"T3",_xll.EVPRO($B$1,$H84,"STYLE"))</f>
        <v>T3</v>
      </c>
      <c r="J84" s="122" t="str">
        <f>IF(_epmOfflineCondition_,"Y",_xll.EVPRO($B$1,$H84,"CALC"))</f>
        <v>Y</v>
      </c>
      <c r="K84" s="179" t="str">
        <f t="shared" si="22"/>
        <v>&gt;</v>
      </c>
      <c r="L84" s="90" t="str">
        <f>IF(_epmOfflineCondition_,"",_xll.EVPRO($B$1,H84,"JDEID"))</f>
        <v/>
      </c>
      <c r="M84" s="90" t="str">
        <f>IF(_epmOfflineCondition_,"",IF(AND(I84="N",J84="N"),_xll.EVPRO($B$1,H84,"PSFTID"),""))</f>
        <v/>
      </c>
      <c r="N84" s="90" t="str">
        <f>IF(_epmOfflineCondition_,"Bonuses &amp; Incentives",IF(_xll.EVDES(H84,$B$1)="#NODATA","",_xll.EVDES(H84,$B$1)))</f>
        <v>Bonuses &amp; Incentives</v>
      </c>
      <c r="O84" s="216"/>
      <c r="P84" s="216"/>
      <c r="Q84" s="216"/>
      <c r="R84" s="216"/>
      <c r="S84" s="216"/>
      <c r="T84" s="216"/>
      <c r="U84" s="216"/>
      <c r="V84" s="216"/>
      <c r="W84" s="216"/>
      <c r="X84" s="216"/>
      <c r="Y84" s="216"/>
      <c r="Z84" s="216"/>
      <c r="AA84" s="251">
        <f t="shared" si="23"/>
        <v>0</v>
      </c>
      <c r="AB84" s="218" t="str">
        <f t="shared" si="24"/>
        <v/>
      </c>
      <c r="AC84" s="140"/>
      <c r="AD84" s="216"/>
      <c r="AE84" s="218" t="str">
        <f t="shared" si="25"/>
        <v/>
      </c>
      <c r="AF84" s="233">
        <f t="shared" si="26"/>
        <v>0</v>
      </c>
      <c r="AG84" s="216">
        <v>284.37</v>
      </c>
      <c r="AH84" s="218">
        <f t="shared" si="27"/>
        <v>6.3992562037646316E-4</v>
      </c>
      <c r="AI84" s="233">
        <f t="shared" si="28"/>
        <v>-284.37</v>
      </c>
      <c r="AJ84" s="449">
        <f t="shared" si="29"/>
        <v>0</v>
      </c>
      <c r="AK84" s="450">
        <f t="shared" si="30"/>
        <v>0</v>
      </c>
      <c r="AL84" s="451">
        <f t="shared" si="31"/>
        <v>1.2345126980681572E-2</v>
      </c>
      <c r="AM84" s="452">
        <f t="shared" si="32"/>
        <v>0</v>
      </c>
      <c r="AN84" s="453">
        <f t="shared" si="33"/>
        <v>0</v>
      </c>
      <c r="AO84" s="11"/>
    </row>
    <row r="85" spans="1:41" x14ac:dyDescent="0.35">
      <c r="A85" s="65" t="s">
        <v>4</v>
      </c>
      <c r="B85" s="66" t="str">
        <f>IF(_epmOfflineCondition_,"'VenueBar'!$H$76:$H$77,'VenueBar'!$H$79:$H$90,'VenueBar'!$H$93:$H$114",_xll.EVRNG(H76:H77,H79:H90,H93:H114))</f>
        <v>'VenueBar'!$H$76:$H$77,'VenueBar'!$H$79:$H$90,'VenueBar'!$H$93:$H$114</v>
      </c>
      <c r="C85" s="11"/>
      <c r="D85" s="11"/>
      <c r="E85" s="11"/>
      <c r="F85" s="11"/>
      <c r="G85" s="11"/>
      <c r="H85" s="88" t="s">
        <v>854</v>
      </c>
      <c r="I85" s="188" t="str">
        <f>IF(_epmOfflineCondition_,"T2",_xll.EVPRO($B$1,$H85,"STYLE"))</f>
        <v>T2</v>
      </c>
      <c r="J85" s="188" t="str">
        <f>IF(_epmOfflineCondition_,"Y",_xll.EVPRO($B$1,$H85,"CALC"))</f>
        <v>Y</v>
      </c>
      <c r="K85" s="189" t="str">
        <f t="shared" si="22"/>
        <v/>
      </c>
      <c r="L85" s="190" t="str">
        <f>IF(_epmOfflineCondition_,"",_xll.EVPRO($B$1,H85,"JDEID"))</f>
        <v/>
      </c>
      <c r="M85" s="190" t="str">
        <f>IF(_epmOfflineCondition_,"",IF(AND(I85="N",J85="N"),_xll.EVPRO($B$1,H85,"PSFTID"),""))</f>
        <v/>
      </c>
      <c r="N85" s="190" t="str">
        <f>IF(_epmOfflineCondition_,"Total Labor Expense",IF(_xll.EVDES(H85,$B$1)="#NODATA","",_xll.EVDES(H85,$B$1)))</f>
        <v>Total Labor Expense</v>
      </c>
      <c r="O85" s="225">
        <v>8945.06</v>
      </c>
      <c r="P85" s="225">
        <v>11177.39</v>
      </c>
      <c r="Q85" s="225">
        <v>1838.91</v>
      </c>
      <c r="R85" s="225"/>
      <c r="S85" s="225"/>
      <c r="T85" s="225"/>
      <c r="U85" s="225"/>
      <c r="V85" s="225"/>
      <c r="W85" s="225"/>
      <c r="X85" s="225">
        <v>12904.5</v>
      </c>
      <c r="Y85" s="225">
        <v>603.08000000000004</v>
      </c>
      <c r="Z85" s="225">
        <v>7443.28</v>
      </c>
      <c r="AA85" s="225">
        <f t="shared" si="23"/>
        <v>42912.22</v>
      </c>
      <c r="AB85" s="226">
        <f t="shared" si="24"/>
        <v>0.24099413163877526</v>
      </c>
      <c r="AC85" s="227"/>
      <c r="AD85" s="225">
        <v>136022.523142858</v>
      </c>
      <c r="AE85" s="226">
        <f t="shared" si="25"/>
        <v>0.27430276873694748</v>
      </c>
      <c r="AF85" s="228">
        <f t="shared" si="26"/>
        <v>-93110.303142858</v>
      </c>
      <c r="AG85" s="225">
        <v>229615.25</v>
      </c>
      <c r="AH85" s="226">
        <f t="shared" si="27"/>
        <v>0.51670950277507</v>
      </c>
      <c r="AI85" s="228">
        <f t="shared" si="28"/>
        <v>-186703.03</v>
      </c>
      <c r="AJ85" s="229">
        <f t="shared" si="29"/>
        <v>5.8671342630571512</v>
      </c>
      <c r="AK85" s="230">
        <f t="shared" si="30"/>
        <v>8.0173596099763049</v>
      </c>
      <c r="AL85" s="232">
        <f t="shared" si="31"/>
        <v>9.9681028869112218</v>
      </c>
      <c r="AM85" s="427" t="str">
        <f t="shared" si="32"/>
        <v>-3.33 pts.</v>
      </c>
      <c r="AN85" s="456" t="str">
        <f t="shared" si="33"/>
        <v>-27.57 pts.</v>
      </c>
      <c r="AO85" s="11"/>
    </row>
    <row r="86" spans="1:41" x14ac:dyDescent="0.35">
      <c r="A86" s="65" t="s">
        <v>5</v>
      </c>
      <c r="B86" s="66"/>
      <c r="C86" s="11"/>
      <c r="D86" s="11"/>
      <c r="E86" s="11"/>
      <c r="F86" s="11"/>
      <c r="G86" s="11"/>
      <c r="H86" s="88" t="s">
        <v>855</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IF(_epmOfflineCondition_,"Payroll Taxes",IF(_xll.EVDES(H86,$B$1)="#NODATA","",_xll.EVDES(H86,$B$1)))</f>
        <v>Payroll Taxes</v>
      </c>
      <c r="O86" s="216">
        <v>213.13</v>
      </c>
      <c r="P86" s="216">
        <v>236.7</v>
      </c>
      <c r="Q86" s="216">
        <v>106.31</v>
      </c>
      <c r="R86" s="216"/>
      <c r="S86" s="216"/>
      <c r="T86" s="216"/>
      <c r="U86" s="216"/>
      <c r="V86" s="216"/>
      <c r="W86" s="216"/>
      <c r="X86" s="216"/>
      <c r="Y86" s="216">
        <v>15.61</v>
      </c>
      <c r="Z86" s="216"/>
      <c r="AA86" s="216">
        <f t="shared" si="23"/>
        <v>571.75</v>
      </c>
      <c r="AB86" s="218">
        <f t="shared" si="24"/>
        <v>3.2109360635378397E-3</v>
      </c>
      <c r="AC86" s="140"/>
      <c r="AD86" s="216">
        <v>10647.9812186155</v>
      </c>
      <c r="AE86" s="218">
        <f t="shared" si="25"/>
        <v>2.1472699243034191E-2</v>
      </c>
      <c r="AF86" s="233">
        <f t="shared" si="26"/>
        <v>-10076.2312186155</v>
      </c>
      <c r="AG86" s="216">
        <v>14049.33</v>
      </c>
      <c r="AH86" s="218">
        <f t="shared" si="27"/>
        <v>3.1615593122072141E-2</v>
      </c>
      <c r="AI86" s="233">
        <f t="shared" si="28"/>
        <v>-13477.58</v>
      </c>
      <c r="AJ86" s="537">
        <f t="shared" si="29"/>
        <v>7.8171998906207268E-2</v>
      </c>
      <c r="AK86" s="538">
        <f t="shared" si="30"/>
        <v>0.62760705049012733</v>
      </c>
      <c r="AL86" s="539">
        <f t="shared" si="31"/>
        <v>0.60991230735836766</v>
      </c>
      <c r="AM86" s="540" t="str">
        <f t="shared" si="32"/>
        <v>-1.83 pts.</v>
      </c>
      <c r="AN86" s="541" t="str">
        <f t="shared" si="33"/>
        <v>-2.84 pts.</v>
      </c>
      <c r="AO86" s="11"/>
    </row>
    <row r="87" spans="1:41" x14ac:dyDescent="0.35">
      <c r="A87" s="65" t="s">
        <v>6</v>
      </c>
      <c r="B87" s="66"/>
      <c r="C87" s="11"/>
      <c r="D87" s="11"/>
      <c r="E87" s="11"/>
      <c r="F87" s="11"/>
      <c r="G87" s="11"/>
      <c r="H87" s="88" t="s">
        <v>856</v>
      </c>
      <c r="I87" s="122" t="str">
        <f>IF(_epmOfflineCondition_,"T3",_xll.EVPRO($B$1,$H87,"STYLE"))</f>
        <v>T3</v>
      </c>
      <c r="J87" s="122" t="str">
        <f>IF(_epmOfflineCondition_,"Y",_xll.EVPRO($B$1,$H87,"CALC"))</f>
        <v>Y</v>
      </c>
      <c r="K87" s="179" t="str">
        <f t="shared" si="22"/>
        <v>&gt;</v>
      </c>
      <c r="L87" s="90" t="str">
        <f>IF(_epmOfflineCondition_,"",_xll.EVPRO($B$1,H87,"JDEID"))</f>
        <v/>
      </c>
      <c r="M87" s="90" t="str">
        <f>IF(_epmOfflineCondition_,"",IF(AND(I87="N",J87="N"),_xll.EVPRO($B$1,H87,"PSFTID"),""))</f>
        <v/>
      </c>
      <c r="N87" s="90" t="str">
        <f>IF(_epmOfflineCondition_,"Supplemental Pay",IF(_xll.EVDES(H87,$B$1)="#NODATA","",_xll.EVDES(H87,$B$1)))</f>
        <v>Supplemental Pay</v>
      </c>
      <c r="O87" s="216">
        <v>468.43</v>
      </c>
      <c r="P87" s="216"/>
      <c r="Q87" s="216"/>
      <c r="R87" s="216"/>
      <c r="S87" s="216"/>
      <c r="T87" s="216"/>
      <c r="U87" s="216"/>
      <c r="V87" s="216"/>
      <c r="W87" s="216"/>
      <c r="X87" s="216"/>
      <c r="Y87" s="216"/>
      <c r="Z87" s="216"/>
      <c r="AA87" s="251">
        <f t="shared" si="23"/>
        <v>468.43</v>
      </c>
      <c r="AB87" s="218">
        <f t="shared" si="24"/>
        <v>2.6306931005562399E-3</v>
      </c>
      <c r="AC87" s="140"/>
      <c r="AD87" s="216">
        <v>1984.6806413213999</v>
      </c>
      <c r="AE87" s="218">
        <f t="shared" si="25"/>
        <v>4.0023033126750599E-3</v>
      </c>
      <c r="AF87" s="233">
        <f t="shared" si="26"/>
        <v>-1516.2506413213998</v>
      </c>
      <c r="AG87" s="216">
        <v>2091.6</v>
      </c>
      <c r="AH87" s="218">
        <f t="shared" si="27"/>
        <v>4.706784919574534E-3</v>
      </c>
      <c r="AI87" s="233">
        <f t="shared" si="28"/>
        <v>-1623.1699999999998</v>
      </c>
      <c r="AJ87" s="449">
        <f t="shared" si="29"/>
        <v>6.4045665846322125E-2</v>
      </c>
      <c r="AK87" s="450">
        <f t="shared" si="30"/>
        <v>0.11697987983740421</v>
      </c>
      <c r="AL87" s="451">
        <f t="shared" si="31"/>
        <v>9.0800955068374212E-2</v>
      </c>
      <c r="AM87" s="452" t="str">
        <f t="shared" si="32"/>
        <v>-0.14 pts.</v>
      </c>
      <c r="AN87" s="453" t="str">
        <f t="shared" si="33"/>
        <v>-0.21 pts.</v>
      </c>
      <c r="AO87" s="11"/>
    </row>
    <row r="88" spans="1:41" x14ac:dyDescent="0.35">
      <c r="A88" s="65" t="s">
        <v>7</v>
      </c>
      <c r="B88" s="66" t="str">
        <f>IF(_epmOfflineCondition_,"'VenueBar'!$A$102:$F$108",_xll.EVRNG(A102:F108))</f>
        <v>'VenueBar'!$A$102:$F$108</v>
      </c>
      <c r="C88" s="11"/>
      <c r="D88" s="11"/>
      <c r="E88" s="11"/>
      <c r="F88" s="11"/>
      <c r="G88" s="11"/>
      <c r="H88" s="88" t="s">
        <v>857</v>
      </c>
      <c r="I88" s="122" t="str">
        <f>IF(_epmOfflineCondition_,"T3",_xll.EVPRO($B$1,$H88,"STYLE"))</f>
        <v>T3</v>
      </c>
      <c r="J88" s="122" t="str">
        <f>IF(_epmOfflineCondition_,"Y",_xll.EVPRO($B$1,$H88,"CALC"))</f>
        <v>Y</v>
      </c>
      <c r="K88" s="179" t="str">
        <f t="shared" si="22"/>
        <v>&gt;</v>
      </c>
      <c r="L88" s="90" t="str">
        <f>IF(_epmOfflineCondition_,"",_xll.EVPRO($B$1,H88,"JDEID"))</f>
        <v/>
      </c>
      <c r="M88" s="90" t="str">
        <f>IF(_epmOfflineCondition_,"",IF(AND(I88="N",J88="N"),_xll.EVPRO($B$1,H88,"PSFTID"),""))</f>
        <v/>
      </c>
      <c r="N88" s="90" t="str">
        <f>IF(_epmOfflineCondition_,"Employee Benefits",IF(_xll.EVDES(H88,$B$1)="#NODATA","",_xll.EVDES(H88,$B$1)))</f>
        <v>Employee Benefits</v>
      </c>
      <c r="O88" s="216">
        <v>707.91</v>
      </c>
      <c r="P88" s="216">
        <v>655.14</v>
      </c>
      <c r="Q88" s="216">
        <v>-483.77</v>
      </c>
      <c r="R88" s="216">
        <v>188.81</v>
      </c>
      <c r="S88" s="216">
        <v>188.81</v>
      </c>
      <c r="T88" s="216">
        <v>188.81</v>
      </c>
      <c r="U88" s="216">
        <v>91.71</v>
      </c>
      <c r="V88" s="216">
        <v>140.26</v>
      </c>
      <c r="W88" s="216">
        <v>-58.14</v>
      </c>
      <c r="X88" s="216">
        <v>330.12</v>
      </c>
      <c r="Y88" s="216">
        <v>984.17</v>
      </c>
      <c r="Z88" s="216"/>
      <c r="AA88" s="251">
        <f t="shared" si="23"/>
        <v>2933.83</v>
      </c>
      <c r="AB88" s="218">
        <f t="shared" si="24"/>
        <v>1.6476328030239126E-2</v>
      </c>
      <c r="AC88" s="140"/>
      <c r="AD88" s="216">
        <v>5694.2075871124998</v>
      </c>
      <c r="AE88" s="218">
        <f t="shared" si="25"/>
        <v>1.1482928494624846E-2</v>
      </c>
      <c r="AF88" s="233">
        <f t="shared" si="26"/>
        <v>-2760.3775871124999</v>
      </c>
      <c r="AG88" s="216">
        <v>12935.77</v>
      </c>
      <c r="AH88" s="218">
        <f t="shared" si="27"/>
        <v>2.910971847345796E-2</v>
      </c>
      <c r="AI88" s="233">
        <f t="shared" si="28"/>
        <v>-10001.94</v>
      </c>
      <c r="AJ88" s="449">
        <f t="shared" si="29"/>
        <v>0.40112523926715887</v>
      </c>
      <c r="AK88" s="450">
        <f t="shared" si="30"/>
        <v>0.33562463675070731</v>
      </c>
      <c r="AL88" s="451">
        <f t="shared" si="31"/>
        <v>0.56157021923160411</v>
      </c>
      <c r="AM88" s="452" t="str">
        <f t="shared" si="32"/>
        <v>0.5 pts.</v>
      </c>
      <c r="AN88" s="453" t="str">
        <f t="shared" si="33"/>
        <v>-1.26 pts.</v>
      </c>
      <c r="AO88" s="11"/>
    </row>
    <row r="89" spans="1:41" x14ac:dyDescent="0.35">
      <c r="A89" s="65" t="s">
        <v>47</v>
      </c>
      <c r="B89" s="66" t="str">
        <f>IF(_epmOfflineCondition_,"'VenueBar'!$A$125:$B$146",_xll.EVRNG($A$125:$B$146))</f>
        <v>'VenueBar'!$A$125:$B$146</v>
      </c>
      <c r="C89" s="11"/>
      <c r="D89" s="11"/>
      <c r="E89" s="11"/>
      <c r="F89" s="11"/>
      <c r="G89" s="11"/>
      <c r="H89" s="88" t="s">
        <v>858</v>
      </c>
      <c r="I89" s="188" t="str">
        <f>IF(_epmOfflineCondition_,"T2",_xll.EVPRO($B$1,$H89,"STYLE"))</f>
        <v>T2</v>
      </c>
      <c r="J89" s="188" t="str">
        <f>IF(_epmOfflineCondition_,"Y",_xll.EVPRO($B$1,$H89,"CALC"))</f>
        <v>Y</v>
      </c>
      <c r="K89" s="189" t="str">
        <f t="shared" si="22"/>
        <v/>
      </c>
      <c r="L89" s="190" t="str">
        <f>IF(_epmOfflineCondition_,"",_xll.EVPRO($B$1,H89,"JDEID"))</f>
        <v/>
      </c>
      <c r="M89" s="190" t="str">
        <f>IF(_epmOfflineCondition_,"",IF(AND(I89="N",J89="N"),_xll.EVPRO($B$1,H89,"PSFTID"),""))</f>
        <v/>
      </c>
      <c r="N89" s="190" t="str">
        <f>IF(_epmOfflineCondition_,"Total Payroll Related",IF(_xll.EVDES(H89,$B$1)="#NODATA","",_xll.EVDES(H89,$B$1)))</f>
        <v>Total Payroll Related</v>
      </c>
      <c r="O89" s="238">
        <v>1389.47</v>
      </c>
      <c r="P89" s="238">
        <v>891.84</v>
      </c>
      <c r="Q89" s="238">
        <v>-377.46</v>
      </c>
      <c r="R89" s="238">
        <v>188.81</v>
      </c>
      <c r="S89" s="238">
        <v>188.81</v>
      </c>
      <c r="T89" s="238">
        <v>188.81</v>
      </c>
      <c r="U89" s="238">
        <v>91.71</v>
      </c>
      <c r="V89" s="238">
        <v>140.26</v>
      </c>
      <c r="W89" s="238">
        <v>-58.14</v>
      </c>
      <c r="X89" s="238">
        <v>330.12</v>
      </c>
      <c r="Y89" s="238">
        <v>999.78</v>
      </c>
      <c r="Z89" s="238"/>
      <c r="AA89" s="238">
        <f t="shared" si="23"/>
        <v>3974.01</v>
      </c>
      <c r="AB89" s="239">
        <f t="shared" si="24"/>
        <v>2.2317957194333205E-2</v>
      </c>
      <c r="AC89" s="240"/>
      <c r="AD89" s="238">
        <v>18326.869447049401</v>
      </c>
      <c r="AE89" s="239">
        <f t="shared" si="25"/>
        <v>3.6957931050334097E-2</v>
      </c>
      <c r="AF89" s="241">
        <f t="shared" si="26"/>
        <v>-14352.859447049401</v>
      </c>
      <c r="AG89" s="238">
        <v>29076.7</v>
      </c>
      <c r="AH89" s="239">
        <f t="shared" si="27"/>
        <v>6.5432096515104635E-2</v>
      </c>
      <c r="AI89" s="241">
        <f t="shared" si="28"/>
        <v>-25102.690000000002</v>
      </c>
      <c r="AJ89" s="242">
        <f t="shared" si="29"/>
        <v>0.54334290401968832</v>
      </c>
      <c r="AK89" s="243">
        <f t="shared" si="30"/>
        <v>1.0802115670782388</v>
      </c>
      <c r="AL89" s="245">
        <f t="shared" si="31"/>
        <v>1.2622834816583459</v>
      </c>
      <c r="AM89" s="431" t="str">
        <f t="shared" si="32"/>
        <v>-1.46 pts.</v>
      </c>
      <c r="AN89" s="465" t="str">
        <f t="shared" si="33"/>
        <v>-4.31 pts.</v>
      </c>
      <c r="AO89" s="11"/>
    </row>
    <row r="90" spans="1:41" x14ac:dyDescent="0.35">
      <c r="A90" s="65" t="s">
        <v>8</v>
      </c>
      <c r="B90" s="66"/>
      <c r="C90" s="11"/>
      <c r="D90" s="11"/>
      <c r="E90" s="11"/>
      <c r="F90" s="11"/>
      <c r="G90" s="11"/>
      <c r="H90" s="88" t="s">
        <v>76</v>
      </c>
      <c r="I90" s="188" t="str">
        <f>IF(_epmOfflineCondition_,"T1",_xll.EVPRO($B$1,$H90,"STYLE"))</f>
        <v>T1</v>
      </c>
      <c r="J90" s="188" t="str">
        <f>IF(_epmOfflineCondition_,"Y",_xll.EVPRO($B$1,$H90,"CALC"))</f>
        <v>Y</v>
      </c>
      <c r="K90" s="189" t="str">
        <f t="shared" si="22"/>
        <v/>
      </c>
      <c r="L90" s="190" t="str">
        <f>IF(_epmOfflineCondition_,"600000",_xll.EVPRO($B$1,H90,"JDEID"))</f>
        <v>600000</v>
      </c>
      <c r="M90" s="190" t="str">
        <f>IF(_epmOfflineCondition_,"",IF(AND(I90="N",J90="N"),_xll.EVPRO($B$1,H90,"PSFTID"),""))</f>
        <v/>
      </c>
      <c r="N90" s="190" t="str">
        <f>IF(_epmOfflineCondition_,"Total Labor &amp; Related Exp",IF(_xll.EVDES(H90,$B$1)="#NODATA","",_xll.EVDES(H90,$B$1)))</f>
        <v>Total Labor &amp; Related Exp</v>
      </c>
      <c r="O90" s="238">
        <v>10334.530000000001</v>
      </c>
      <c r="P90" s="238">
        <v>12069.23</v>
      </c>
      <c r="Q90" s="238">
        <v>1461.45</v>
      </c>
      <c r="R90" s="238">
        <v>188.81</v>
      </c>
      <c r="S90" s="238">
        <v>188.81</v>
      </c>
      <c r="T90" s="238">
        <v>188.81</v>
      </c>
      <c r="U90" s="238">
        <v>91.71</v>
      </c>
      <c r="V90" s="238">
        <v>140.26</v>
      </c>
      <c r="W90" s="238">
        <v>-58.14</v>
      </c>
      <c r="X90" s="238">
        <v>13234.62</v>
      </c>
      <c r="Y90" s="238">
        <v>1602.86</v>
      </c>
      <c r="Z90" s="238">
        <v>7443.28</v>
      </c>
      <c r="AA90" s="238">
        <f t="shared" si="23"/>
        <v>46886.23</v>
      </c>
      <c r="AB90" s="239">
        <f t="shared" si="24"/>
        <v>0.26331208883310847</v>
      </c>
      <c r="AC90" s="240"/>
      <c r="AD90" s="238">
        <v>154349.39258990699</v>
      </c>
      <c r="AE90" s="239">
        <f t="shared" si="25"/>
        <v>0.31126069978728077</v>
      </c>
      <c r="AF90" s="241">
        <f t="shared" si="26"/>
        <v>-107463.16258990698</v>
      </c>
      <c r="AG90" s="238">
        <v>258691.95</v>
      </c>
      <c r="AH90" s="239">
        <f t="shared" si="27"/>
        <v>0.58214159929017473</v>
      </c>
      <c r="AI90" s="241">
        <f t="shared" si="28"/>
        <v>-211805.72</v>
      </c>
      <c r="AJ90" s="242">
        <f t="shared" si="29"/>
        <v>6.4104771670768397</v>
      </c>
      <c r="AK90" s="243">
        <f t="shared" si="30"/>
        <v>9.0975711770545207</v>
      </c>
      <c r="AL90" s="245">
        <f t="shared" si="31"/>
        <v>11.230386368569569</v>
      </c>
      <c r="AM90" s="431" t="str">
        <f t="shared" si="32"/>
        <v>-4.79 pts.</v>
      </c>
      <c r="AN90" s="465" t="str">
        <f t="shared" si="33"/>
        <v>-31.88 pts.</v>
      </c>
      <c r="AO90" s="11"/>
    </row>
    <row r="91" spans="1:41" x14ac:dyDescent="0.35">
      <c r="A91" s="11"/>
      <c r="B91" s="11"/>
      <c r="C91" s="11"/>
      <c r="D91" s="11"/>
      <c r="E91" s="11"/>
      <c r="F91" s="11"/>
      <c r="G91" s="76"/>
      <c r="H91" s="11"/>
      <c r="I91" s="59"/>
      <c r="J91" s="59"/>
      <c r="K91" s="11"/>
      <c r="L91" s="11"/>
      <c r="M91" s="11"/>
      <c r="N91" s="11"/>
      <c r="O91" s="129"/>
      <c r="P91" s="130"/>
      <c r="Q91" s="130"/>
      <c r="R91" s="130"/>
      <c r="S91" s="130"/>
      <c r="T91" s="130"/>
      <c r="U91" s="130"/>
      <c r="V91" s="130"/>
      <c r="W91" s="130"/>
      <c r="X91" s="130"/>
      <c r="Y91" s="130"/>
      <c r="Z91" s="130"/>
      <c r="AA91" s="130"/>
      <c r="AB91" s="131"/>
      <c r="AC91" s="11"/>
      <c r="AD91" s="129"/>
      <c r="AE91" s="130"/>
      <c r="AF91" s="131"/>
      <c r="AG91" s="129"/>
      <c r="AH91" s="130"/>
      <c r="AI91" s="131"/>
      <c r="AJ91" s="11"/>
      <c r="AK91" s="11"/>
      <c r="AL91" s="11"/>
      <c r="AM91" s="11"/>
      <c r="AN91" s="11"/>
      <c r="AO91" s="11"/>
    </row>
    <row r="92" spans="1:41" x14ac:dyDescent="0.35">
      <c r="A92" s="62" t="s">
        <v>9</v>
      </c>
      <c r="B92" s="63" t="s">
        <v>10</v>
      </c>
      <c r="C92" s="11"/>
      <c r="D92" s="11"/>
      <c r="E92" s="11"/>
      <c r="F92" s="11"/>
      <c r="G92" s="11"/>
      <c r="H92" s="11" t="s">
        <v>82</v>
      </c>
      <c r="I92" s="59" t="str">
        <f>IF(_epmOfflineCondition_,"B1",_xll.EVPRO($B$1,$H92,"STYLE"))</f>
        <v>B1</v>
      </c>
      <c r="J92" s="59" t="str">
        <f>IF(_epmOfflineCondition_,"Y",_xll.EVPRO($B$1,$H92,"CALC"))</f>
        <v>Y</v>
      </c>
      <c r="K92" s="11"/>
      <c r="L92" s="11"/>
      <c r="M92" s="11"/>
      <c r="N92" s="105" t="str">
        <f>IF(_epmOfflineCondition_,"Other Expenses",IF(_xll.EVDES(H92,$B$1)="#NODATA","",_xll.EVDES(H92,$B$1)))</f>
        <v>Other Expenses</v>
      </c>
      <c r="O92" s="119"/>
      <c r="P92" s="120"/>
      <c r="Q92" s="120"/>
      <c r="R92" s="120"/>
      <c r="S92" s="120"/>
      <c r="T92" s="120"/>
      <c r="U92" s="120"/>
      <c r="V92" s="120"/>
      <c r="W92" s="120"/>
      <c r="X92" s="120"/>
      <c r="Y92" s="120"/>
      <c r="Z92" s="120"/>
      <c r="AA92" s="120"/>
      <c r="AB92" s="121"/>
      <c r="AC92" s="11"/>
      <c r="AD92" s="119"/>
      <c r="AE92" s="120"/>
      <c r="AF92" s="121"/>
      <c r="AG92" s="119"/>
      <c r="AH92" s="120"/>
      <c r="AI92" s="121"/>
      <c r="AJ92" s="11"/>
      <c r="AK92" s="11"/>
      <c r="AL92" s="11"/>
      <c r="AM92" s="11"/>
      <c r="AN92" s="11"/>
      <c r="AO92" s="11"/>
    </row>
    <row r="93" spans="1:41" x14ac:dyDescent="0.35">
      <c r="A93" s="65" t="s">
        <v>11</v>
      </c>
      <c r="B93" s="66" t="s">
        <v>21</v>
      </c>
      <c r="C93" s="11"/>
      <c r="D93" s="11"/>
      <c r="E93" s="11"/>
      <c r="F93" s="11"/>
      <c r="G93" s="11"/>
      <c r="H93" s="88" t="s">
        <v>826</v>
      </c>
      <c r="I93" s="122" t="str">
        <f>IF(_epmOfflineCondition_,"N",_xll.EVPRO($B$1,$H93,"STYLE"))</f>
        <v>N</v>
      </c>
      <c r="J93" s="122" t="str">
        <f>IF(_epmOfflineCondition_,"N",_xll.EVPRO($B$1,$H93,"CALC"))</f>
        <v>N</v>
      </c>
      <c r="K93" s="179" t="str">
        <f t="shared" ref="K93:K114" si="34">IF(AND(I93&lt;&gt;"B1",J93="Y"),"&gt;","")</f>
        <v/>
      </c>
      <c r="L93" s="90" t="str">
        <f>IF(_epmOfflineCondition_,"701100",_xll.EVPRO($B$1,H93,"JDEID"))</f>
        <v>701100</v>
      </c>
      <c r="M93" s="90" t="str">
        <f>IF(_epmOfflineCondition_,"690015",IF(AND(I93="N",J93="N"),_xll.EVPRO($B$1,H93,"PSFTID"),""))</f>
        <v>690015</v>
      </c>
      <c r="N93" s="90" t="str">
        <f>IF(_epmOfflineCondition_,"Dues and Subscriptions",IF(_xll.EVDES(H93,$B$1)="#NODATA","",_xll.EVDES(H93,$B$1)))</f>
        <v>Dues and Subscriptions</v>
      </c>
      <c r="O93" s="143"/>
      <c r="P93" s="143"/>
      <c r="Q93" s="143"/>
      <c r="R93" s="143"/>
      <c r="S93" s="143"/>
      <c r="T93" s="143"/>
      <c r="U93" s="143"/>
      <c r="V93" s="143"/>
      <c r="W93" s="143"/>
      <c r="X93" s="143"/>
      <c r="Y93" s="143"/>
      <c r="Z93" s="143"/>
      <c r="AA93" s="250">
        <f t="shared" ref="AA93:AA115" si="35">IF($I93="B1","",SUM(O93:Z93))</f>
        <v>0</v>
      </c>
      <c r="AB93" s="144" t="str">
        <f t="shared" ref="AB93:AB115" si="36">IF(AA93=0,"",IFERROR(AA93/AA$19,""))</f>
        <v/>
      </c>
      <c r="AC93" s="140"/>
      <c r="AD93" s="143">
        <v>5925</v>
      </c>
      <c r="AE93" s="144">
        <f t="shared" ref="AE93:AE115" si="37">IF(AD93=0,"",IFERROR(AD93/AD$19,""))</f>
        <v>1.1948344047841968E-2</v>
      </c>
      <c r="AF93" s="145">
        <f t="shared" ref="AF93:AF115" si="38">IF(AND($AA93="",AD93=""),"",$AA93-AD93)</f>
        <v>-5925</v>
      </c>
      <c r="AG93" s="143">
        <v>180</v>
      </c>
      <c r="AH93" s="144">
        <f t="shared" ref="AH93:AH115" si="39">IF(AG93=0,"",IFERROR(AG93/AG$19,""))</f>
        <v>4.0505894316476197E-4</v>
      </c>
      <c r="AI93" s="145">
        <f t="shared" ref="AI93:AI115" si="40">IF(AND($AA93="",AG93=""),"",$AA93-AG93)</f>
        <v>-180</v>
      </c>
      <c r="AJ93" s="440">
        <f t="shared" ref="AJ93:AJ115" si="41">IFERROR(AA93/AA$20,0)</f>
        <v>0</v>
      </c>
      <c r="AK93" s="441">
        <f t="shared" ref="AK93:AK115" si="42">IFERROR(AD93/AD$20,0)</f>
        <v>0.3492278674997053</v>
      </c>
      <c r="AL93" s="442">
        <f t="shared" ref="AL93:AL115" si="43">IFERROR(AG93/AG$20,0)</f>
        <v>7.8141957890167143E-3</v>
      </c>
      <c r="AM93" s="443">
        <f t="shared" ref="AM93:AM115" si="44">+IFERROR(ROUND(($AB93-AE93)*100,2)&amp;" pts.",0)</f>
        <v>0</v>
      </c>
      <c r="AN93" s="444">
        <f t="shared" ref="AN93:AN115" si="45">+IFERROR(ROUND(($AB93-AH93)*100,2)&amp;" pts.",0)</f>
        <v>0</v>
      </c>
      <c r="AO93" s="11"/>
    </row>
    <row r="94" spans="1:41" x14ac:dyDescent="0.35">
      <c r="A94" s="65" t="s">
        <v>12</v>
      </c>
      <c r="B94" s="66" t="s">
        <v>22</v>
      </c>
      <c r="C94" s="11"/>
      <c r="D94" s="11"/>
      <c r="E94" s="11"/>
      <c r="F94" s="11"/>
      <c r="G94" s="11"/>
      <c r="H94" s="88" t="s">
        <v>860</v>
      </c>
      <c r="I94" s="122" t="str">
        <f>IF(_epmOfflineCondition_,"N",_xll.EVPRO($B$1,$H94,"STYLE"))</f>
        <v>N</v>
      </c>
      <c r="J94" s="122" t="str">
        <f>IF(_epmOfflineCondition_,"N",_xll.EVPRO($B$1,$H94,"CALC"))</f>
        <v>N</v>
      </c>
      <c r="K94" s="179" t="str">
        <f t="shared" si="34"/>
        <v/>
      </c>
      <c r="L94" s="90" t="str">
        <f>IF(_epmOfflineCondition_,"701300",_xll.EVPRO($B$1,H94,"JDEID"))</f>
        <v>701300</v>
      </c>
      <c r="M94" s="90" t="str">
        <f>IF(_epmOfflineCondition_,"690205",IF(AND(I94="N",J94="N"),_xll.EVPRO($B$1,H94,"PSFTID"),""))</f>
        <v>690205</v>
      </c>
      <c r="N94" s="90" t="str">
        <f>IF(_epmOfflineCondition_,"Printing &amp; Stationery",IF(_xll.EVDES(H94,$B$1)="#NODATA","",_xll.EVDES(H94,$B$1)))</f>
        <v>Printing &amp; Stationery</v>
      </c>
      <c r="O94" s="143"/>
      <c r="P94" s="143"/>
      <c r="Q94" s="143"/>
      <c r="R94" s="143"/>
      <c r="S94" s="143"/>
      <c r="T94" s="143"/>
      <c r="U94" s="143"/>
      <c r="V94" s="143"/>
      <c r="W94" s="143"/>
      <c r="X94" s="143"/>
      <c r="Y94" s="143"/>
      <c r="Z94" s="143"/>
      <c r="AA94" s="250">
        <f t="shared" si="35"/>
        <v>0</v>
      </c>
      <c r="AB94" s="144" t="str">
        <f t="shared" si="36"/>
        <v/>
      </c>
      <c r="AC94" s="140"/>
      <c r="AD94" s="143">
        <v>678.64</v>
      </c>
      <c r="AE94" s="144">
        <f t="shared" si="37"/>
        <v>1.3685441695573794E-3</v>
      </c>
      <c r="AF94" s="145">
        <f t="shared" si="38"/>
        <v>-678.64</v>
      </c>
      <c r="AG94" s="143">
        <v>981.18</v>
      </c>
      <c r="AH94" s="144">
        <f t="shared" si="39"/>
        <v>2.2079762991911171E-3</v>
      </c>
      <c r="AI94" s="145">
        <f t="shared" si="40"/>
        <v>-981.18</v>
      </c>
      <c r="AJ94" s="440">
        <f t="shared" si="41"/>
        <v>0</v>
      </c>
      <c r="AK94" s="441">
        <f t="shared" si="42"/>
        <v>0.04</v>
      </c>
      <c r="AL94" s="442">
        <f t="shared" si="43"/>
        <v>4.2595181245930105E-2</v>
      </c>
      <c r="AM94" s="443">
        <f t="shared" si="44"/>
        <v>0</v>
      </c>
      <c r="AN94" s="444">
        <f t="shared" si="45"/>
        <v>0</v>
      </c>
      <c r="AO94" s="11"/>
    </row>
    <row r="95" spans="1:41" x14ac:dyDescent="0.35">
      <c r="A95" s="65" t="s">
        <v>13</v>
      </c>
      <c r="B95" s="66" t="s">
        <v>737</v>
      </c>
      <c r="C95" s="11"/>
      <c r="D95" s="11"/>
      <c r="E95" s="11"/>
      <c r="F95" s="11"/>
      <c r="G95" s="11"/>
      <c r="H95" s="88" t="s">
        <v>830</v>
      </c>
      <c r="I95" s="122" t="str">
        <f>IF(_epmOfflineCondition_,"T4",_xll.EVPRO($B$1,$H95,"STYLE"))</f>
        <v>T4</v>
      </c>
      <c r="J95" s="122" t="str">
        <f>IF(_epmOfflineCondition_,"Y",_xll.EVPRO($B$1,$H95,"CALC"))</f>
        <v>Y</v>
      </c>
      <c r="K95" s="179" t="str">
        <f t="shared" si="34"/>
        <v>&gt;</v>
      </c>
      <c r="L95" s="90" t="str">
        <f>IF(_epmOfflineCondition_,"701500",_xll.EVPRO($B$1,H95,"JDEID"))</f>
        <v>701500</v>
      </c>
      <c r="M95" s="90" t="str">
        <f>IF(_epmOfflineCondition_,"",IF(AND(I95="N",J95="N"),_xll.EVPRO($B$1,H95,"PSFTID"),""))</f>
        <v/>
      </c>
      <c r="N95" s="90" t="str">
        <f>IF(_epmOfflineCondition_,"Operating Supplies",IF(_xll.EVDES(H95,$B$1)="#NODATA","",_xll.EVDES(H95,$B$1)))</f>
        <v>Operating Supplies</v>
      </c>
      <c r="O95" s="143">
        <v>752</v>
      </c>
      <c r="P95" s="143">
        <v>1106.8800000000001</v>
      </c>
      <c r="Q95" s="143">
        <v>297.47000000000003</v>
      </c>
      <c r="R95" s="143"/>
      <c r="S95" s="143"/>
      <c r="T95" s="143">
        <v>219.01</v>
      </c>
      <c r="U95" s="143">
        <v>179.84</v>
      </c>
      <c r="V95" s="143">
        <v>340.33</v>
      </c>
      <c r="W95" s="143">
        <v>691</v>
      </c>
      <c r="X95" s="143">
        <v>413.62</v>
      </c>
      <c r="Y95" s="143">
        <v>159.91999999999999</v>
      </c>
      <c r="Z95" s="143">
        <v>120</v>
      </c>
      <c r="AA95" s="250">
        <f t="shared" si="35"/>
        <v>4280.0700000000006</v>
      </c>
      <c r="AB95" s="144">
        <f t="shared" si="36"/>
        <v>2.403678376469856E-2</v>
      </c>
      <c r="AC95" s="140"/>
      <c r="AD95" s="143">
        <v>8601.7620000000006</v>
      </c>
      <c r="AE95" s="144">
        <f t="shared" si="37"/>
        <v>1.7346297349139787E-2</v>
      </c>
      <c r="AF95" s="145">
        <f t="shared" si="38"/>
        <v>-4321.692</v>
      </c>
      <c r="AG95" s="143">
        <v>8486.7199999999993</v>
      </c>
      <c r="AH95" s="144">
        <f t="shared" si="39"/>
        <v>1.9097899078529157E-2</v>
      </c>
      <c r="AI95" s="145">
        <f t="shared" si="40"/>
        <v>-4206.6499999999987</v>
      </c>
      <c r="AJ95" s="440">
        <f t="shared" si="41"/>
        <v>0.58518867924528306</v>
      </c>
      <c r="AK95" s="441">
        <f t="shared" si="42"/>
        <v>0.50700000000000001</v>
      </c>
      <c r="AL95" s="442">
        <f t="shared" si="43"/>
        <v>0.36842717603646624</v>
      </c>
      <c r="AM95" s="443" t="str">
        <f t="shared" si="44"/>
        <v>0.67 pts.</v>
      </c>
      <c r="AN95" s="444" t="str">
        <f t="shared" si="45"/>
        <v>0.49 pts.</v>
      </c>
      <c r="AO95" s="11"/>
    </row>
    <row r="96" spans="1:41" x14ac:dyDescent="0.35">
      <c r="A96" s="65" t="s">
        <v>14</v>
      </c>
      <c r="B96" s="66"/>
      <c r="C96" s="11"/>
      <c r="D96" s="11"/>
      <c r="E96" s="11"/>
      <c r="F96" s="11"/>
      <c r="G96" s="11"/>
      <c r="H96" s="88" t="s">
        <v>861</v>
      </c>
      <c r="I96" s="122" t="str">
        <f>IF(_epmOfflineCondition_,"N",_xll.EVPRO($B$1,$H96,"STYLE"))</f>
        <v>N</v>
      </c>
      <c r="J96" s="122" t="str">
        <f>IF(_epmOfflineCondition_,"N",_xll.EVPRO($B$1,$H96,"CALC"))</f>
        <v>N</v>
      </c>
      <c r="K96" s="179" t="str">
        <f t="shared" si="34"/>
        <v/>
      </c>
      <c r="L96" s="90" t="str">
        <f>IF(_epmOfflineCondition_,"701600",_xll.EVPRO($B$1,H96,"JDEID"))</f>
        <v>701600</v>
      </c>
      <c r="M96" s="90" t="str">
        <f>IF(_epmOfflineCondition_,"590015",IF(AND(I96="N",J96="N"),_xll.EVPRO($B$1,H96,"PSFTID"),""))</f>
        <v>590015</v>
      </c>
      <c r="N96" s="90" t="str">
        <f>IF(_epmOfflineCondition_,"Cleaning Supplies",IF(_xll.EVDES(H96,$B$1)="#NODATA","",_xll.EVDES(H96,$B$1)))</f>
        <v>Cleaning Supplies</v>
      </c>
      <c r="O96" s="143">
        <v>193</v>
      </c>
      <c r="P96" s="143">
        <v>209</v>
      </c>
      <c r="Q96" s="143"/>
      <c r="R96" s="143"/>
      <c r="S96" s="143"/>
      <c r="T96" s="143"/>
      <c r="U96" s="143"/>
      <c r="V96" s="143"/>
      <c r="W96" s="143">
        <v>35.1</v>
      </c>
      <c r="X96" s="143"/>
      <c r="Y96" s="143"/>
      <c r="Z96" s="143"/>
      <c r="AA96" s="250">
        <f t="shared" si="35"/>
        <v>437.1</v>
      </c>
      <c r="AB96" s="144">
        <f t="shared" si="36"/>
        <v>2.4547444746347001E-3</v>
      </c>
      <c r="AC96" s="140"/>
      <c r="AD96" s="143">
        <v>2205.58</v>
      </c>
      <c r="AE96" s="144">
        <f t="shared" si="37"/>
        <v>4.4477685510614833E-3</v>
      </c>
      <c r="AF96" s="145">
        <f t="shared" si="38"/>
        <v>-1768.48</v>
      </c>
      <c r="AG96" s="143">
        <v>2879.15</v>
      </c>
      <c r="AH96" s="144">
        <f t="shared" si="39"/>
        <v>6.4790303122934691E-3</v>
      </c>
      <c r="AI96" s="145">
        <f t="shared" si="40"/>
        <v>-2442.0500000000002</v>
      </c>
      <c r="AJ96" s="440">
        <f t="shared" si="41"/>
        <v>5.9762100082034454E-2</v>
      </c>
      <c r="AK96" s="441">
        <f t="shared" si="42"/>
        <v>0.13</v>
      </c>
      <c r="AL96" s="442">
        <f t="shared" si="43"/>
        <v>0.12499023225526373</v>
      </c>
      <c r="AM96" s="443" t="str">
        <f t="shared" si="44"/>
        <v>-0.2 pts.</v>
      </c>
      <c r="AN96" s="444" t="str">
        <f t="shared" si="45"/>
        <v>-0.4 pts.</v>
      </c>
      <c r="AO96" s="11"/>
    </row>
    <row r="97" spans="1:41" x14ac:dyDescent="0.35">
      <c r="A97" s="65" t="s">
        <v>15</v>
      </c>
      <c r="B97" s="66"/>
      <c r="C97" s="11"/>
      <c r="D97" s="11"/>
      <c r="E97" s="11"/>
      <c r="F97" s="11"/>
      <c r="G97" s="11"/>
      <c r="H97" s="88" t="s">
        <v>862</v>
      </c>
      <c r="I97" s="122" t="str">
        <f>IF(_epmOfflineCondition_,"N",_xll.EVPRO($B$1,$H97,"STYLE"))</f>
        <v>N</v>
      </c>
      <c r="J97" s="122" t="str">
        <f>IF(_epmOfflineCondition_,"N",_xll.EVPRO($B$1,$H97,"CALC"))</f>
        <v>N</v>
      </c>
      <c r="K97" s="179" t="str">
        <f t="shared" si="34"/>
        <v/>
      </c>
      <c r="L97" s="90" t="str">
        <f>IF(_epmOfflineCondition_,"701700",_xll.EVPRO($B$1,H97,"JDEID"))</f>
        <v>701700</v>
      </c>
      <c r="M97" s="90" t="str">
        <f>IF(_epmOfflineCondition_,"590026",IF(AND(I97="N",J97="N"),_xll.EVPRO($B$1,H97,"PSFTID"),""))</f>
        <v>590026</v>
      </c>
      <c r="N97" s="90" t="str">
        <f>IF(_epmOfflineCondition_,"Dishwashing Supplies",IF(_xll.EVDES(H97,$B$1)="#NODATA","",_xll.EVDES(H97,$B$1)))</f>
        <v>Dishwashing Supplies</v>
      </c>
      <c r="O97" s="143"/>
      <c r="P97" s="143">
        <v>32</v>
      </c>
      <c r="Q97" s="143"/>
      <c r="R97" s="143"/>
      <c r="S97" s="143"/>
      <c r="T97" s="143"/>
      <c r="U97" s="143"/>
      <c r="V97" s="143"/>
      <c r="W97" s="143"/>
      <c r="X97" s="143"/>
      <c r="Y97" s="143"/>
      <c r="Z97" s="143"/>
      <c r="AA97" s="250">
        <f t="shared" si="35"/>
        <v>32</v>
      </c>
      <c r="AB97" s="144">
        <f t="shared" si="36"/>
        <v>1.7971133193390618E-4</v>
      </c>
      <c r="AC97" s="140"/>
      <c r="AD97" s="143">
        <v>339.32</v>
      </c>
      <c r="AE97" s="144">
        <f t="shared" si="37"/>
        <v>6.8427208477868969E-4</v>
      </c>
      <c r="AF97" s="145">
        <f t="shared" si="38"/>
        <v>-307.32</v>
      </c>
      <c r="AG97" s="143">
        <v>239.68</v>
      </c>
      <c r="AH97" s="144">
        <f t="shared" si="39"/>
        <v>5.3935848609850084E-4</v>
      </c>
      <c r="AI97" s="145">
        <f t="shared" si="40"/>
        <v>-207.68</v>
      </c>
      <c r="AJ97" s="440">
        <f t="shared" si="41"/>
        <v>4.375170905113481E-3</v>
      </c>
      <c r="AK97" s="441">
        <f t="shared" si="42"/>
        <v>0.02</v>
      </c>
      <c r="AL97" s="442">
        <f t="shared" si="43"/>
        <v>1.0405035815064034E-2</v>
      </c>
      <c r="AM97" s="443" t="str">
        <f t="shared" si="44"/>
        <v>-0.05 pts.</v>
      </c>
      <c r="AN97" s="444" t="str">
        <f t="shared" si="45"/>
        <v>-0.04 pts.</v>
      </c>
      <c r="AO97" s="11"/>
    </row>
    <row r="98" spans="1:41" x14ac:dyDescent="0.35">
      <c r="A98" s="65" t="s">
        <v>16</v>
      </c>
      <c r="B98" s="66" t="s">
        <v>78</v>
      </c>
      <c r="C98" s="11"/>
      <c r="D98" s="11"/>
      <c r="E98" s="11"/>
      <c r="F98" s="11"/>
      <c r="G98" s="11"/>
      <c r="H98" s="88" t="s">
        <v>863</v>
      </c>
      <c r="I98" s="122" t="str">
        <f>IF(_epmOfflineCondition_,"N",_xll.EVPRO($B$1,$H98,"STYLE"))</f>
        <v>N</v>
      </c>
      <c r="J98" s="122" t="str">
        <f>IF(_epmOfflineCondition_,"N",_xll.EVPRO($B$1,$H98,"CALC"))</f>
        <v>N</v>
      </c>
      <c r="K98" s="179" t="str">
        <f t="shared" si="34"/>
        <v/>
      </c>
      <c r="L98" s="90" t="str">
        <f>IF(_epmOfflineCondition_,"702000",_xll.EVPRO($B$1,H98,"JDEID"))</f>
        <v>702000</v>
      </c>
      <c r="M98" s="90" t="str">
        <f>IF(_epmOfflineCondition_,"590031",IF(AND(I98="N",J98="N"),_xll.EVPRO($B$1,H98,"PSFTID"),""))</f>
        <v>590031</v>
      </c>
      <c r="N98" s="90" t="str">
        <f>IF(_epmOfflineCondition_,"Paper and Plastics",IF(_xll.EVDES(H98,$B$1)="#NODATA","",_xll.EVDES(H98,$B$1)))</f>
        <v>Paper and Plastics</v>
      </c>
      <c r="O98" s="143">
        <v>109</v>
      </c>
      <c r="P98" s="143">
        <v>117</v>
      </c>
      <c r="Q98" s="143"/>
      <c r="R98" s="143"/>
      <c r="S98" s="143"/>
      <c r="T98" s="143"/>
      <c r="U98" s="143"/>
      <c r="V98" s="143"/>
      <c r="W98" s="143">
        <v>97.54</v>
      </c>
      <c r="X98" s="143">
        <v>748.9</v>
      </c>
      <c r="Y98" s="143">
        <v>301.41000000000003</v>
      </c>
      <c r="Z98" s="143"/>
      <c r="AA98" s="250">
        <f t="shared" si="35"/>
        <v>1373.8500000000001</v>
      </c>
      <c r="AB98" s="144">
        <f t="shared" si="36"/>
        <v>7.7155129180436575E-3</v>
      </c>
      <c r="AC98" s="140"/>
      <c r="AD98" s="143">
        <v>1240.789984924</v>
      </c>
      <c r="AE98" s="144">
        <f t="shared" si="37"/>
        <v>2.5021747900402704E-3</v>
      </c>
      <c r="AF98" s="145">
        <f t="shared" si="38"/>
        <v>133.06001507600013</v>
      </c>
      <c r="AG98" s="143">
        <v>2207.34</v>
      </c>
      <c r="AH98" s="144">
        <f t="shared" si="39"/>
        <v>4.967237820029476E-3</v>
      </c>
      <c r="AI98" s="145">
        <f t="shared" si="40"/>
        <v>-833.49</v>
      </c>
      <c r="AJ98" s="440">
        <f t="shared" si="41"/>
        <v>0.18783839212469239</v>
      </c>
      <c r="AK98" s="441">
        <f t="shared" si="42"/>
        <v>7.3133913999999994E-2</v>
      </c>
      <c r="AL98" s="442">
        <f t="shared" si="43"/>
        <v>9.5825482960711972E-2</v>
      </c>
      <c r="AM98" s="443" t="str">
        <f t="shared" si="44"/>
        <v>0.52 pts.</v>
      </c>
      <c r="AN98" s="444" t="str">
        <f t="shared" si="45"/>
        <v>0.27 pts.</v>
      </c>
      <c r="AO98" s="11"/>
    </row>
    <row r="99" spans="1:41" x14ac:dyDescent="0.35">
      <c r="A99" s="65" t="s">
        <v>17</v>
      </c>
      <c r="B99" s="66"/>
      <c r="C99" s="11"/>
      <c r="D99" s="11"/>
      <c r="E99" s="11"/>
      <c r="F99" s="11"/>
      <c r="G99" s="11"/>
      <c r="H99" s="88" t="s">
        <v>831</v>
      </c>
      <c r="I99" s="122" t="str">
        <f>IF(_epmOfflineCondition_,"N",_xll.EVPRO($B$1,$H99,"STYLE"))</f>
        <v>N</v>
      </c>
      <c r="J99" s="122" t="str">
        <f>IF(_epmOfflineCondition_,"N",_xll.EVPRO($B$1,$H99,"CALC"))</f>
        <v>N</v>
      </c>
      <c r="K99" s="179" t="str">
        <f t="shared" si="34"/>
        <v/>
      </c>
      <c r="L99" s="90" t="str">
        <f>IF(_epmOfflineCondition_,"702300",_xll.EVPRO($B$1,H99,"JDEID"))</f>
        <v>702300</v>
      </c>
      <c r="M99" s="90" t="str">
        <f>IF(_epmOfflineCondition_,"590040",IF(AND(I99="N",J99="N"),_xll.EVPRO($B$1,H99,"PSFTID"),""))</f>
        <v>590040</v>
      </c>
      <c r="N99" s="90" t="str">
        <f>IF(_epmOfflineCondition_,"Decorations",IF(_xll.EVDES(H99,$B$1)="#NODATA","",_xll.EVDES(H99,$B$1)))</f>
        <v>Decorations</v>
      </c>
      <c r="O99" s="143">
        <v>221.63</v>
      </c>
      <c r="P99" s="143">
        <v>145.62</v>
      </c>
      <c r="Q99" s="143">
        <v>124.23</v>
      </c>
      <c r="R99" s="143"/>
      <c r="S99" s="143"/>
      <c r="T99" s="143"/>
      <c r="U99" s="143"/>
      <c r="V99" s="143"/>
      <c r="W99" s="143"/>
      <c r="X99" s="143"/>
      <c r="Y99" s="143"/>
      <c r="Z99" s="143">
        <v>28.09</v>
      </c>
      <c r="AA99" s="250">
        <f t="shared" si="35"/>
        <v>519.57000000000005</v>
      </c>
      <c r="AB99" s="144">
        <f t="shared" si="36"/>
        <v>2.917894272903114E-3</v>
      </c>
      <c r="AC99" s="140"/>
      <c r="AD99" s="143">
        <v>5350</v>
      </c>
      <c r="AE99" s="144">
        <f t="shared" si="37"/>
        <v>1.0788800110709625E-2</v>
      </c>
      <c r="AF99" s="145">
        <f t="shared" si="38"/>
        <v>-4830.43</v>
      </c>
      <c r="AG99" s="143">
        <v>4557.83</v>
      </c>
      <c r="AH99" s="144">
        <f t="shared" si="39"/>
        <v>1.0256610016248039E-2</v>
      </c>
      <c r="AI99" s="145">
        <f t="shared" si="40"/>
        <v>-4038.2599999999998</v>
      </c>
      <c r="AJ99" s="440">
        <f t="shared" si="41"/>
        <v>7.1037735849056607E-2</v>
      </c>
      <c r="AK99" s="441">
        <f t="shared" si="42"/>
        <v>0.31533655546386891</v>
      </c>
      <c r="AL99" s="442">
        <f t="shared" si="43"/>
        <v>0.19786542218363359</v>
      </c>
      <c r="AM99" s="443" t="str">
        <f t="shared" si="44"/>
        <v>-0.79 pts.</v>
      </c>
      <c r="AN99" s="444" t="str">
        <f t="shared" si="45"/>
        <v>-0.73 pts.</v>
      </c>
      <c r="AO99" s="11"/>
    </row>
    <row r="100" spans="1:41" x14ac:dyDescent="0.35">
      <c r="A100" s="11"/>
      <c r="B100" s="11"/>
      <c r="C100" s="11"/>
      <c r="D100" s="11"/>
      <c r="E100" s="11"/>
      <c r="F100" s="11"/>
      <c r="G100" s="11"/>
      <c r="H100" s="88" t="s">
        <v>832</v>
      </c>
      <c r="I100" s="122" t="str">
        <f>IF(_epmOfflineCondition_,"T4",_xll.EVPRO($B$1,$H100,"STYLE"))</f>
        <v>T4</v>
      </c>
      <c r="J100" s="122" t="str">
        <f>IF(_epmOfflineCondition_,"Y",_xll.EVPRO($B$1,$H100,"CALC"))</f>
        <v>Y</v>
      </c>
      <c r="K100" s="179" t="str">
        <f t="shared" si="34"/>
        <v>&gt;</v>
      </c>
      <c r="L100" s="90" t="str">
        <f>IF(_epmOfflineCondition_,"",_xll.EVPRO($B$1,H100,"JDEID"))</f>
        <v/>
      </c>
      <c r="M100" s="90" t="str">
        <f>IF(_epmOfflineCondition_,"",IF(AND(I100="N",J100="N"),_xll.EVPRO($B$1,H100,"PSFTID"),""))</f>
        <v/>
      </c>
      <c r="N100" s="90" t="str">
        <f>IF(_epmOfflineCondition_,"Contract Services",IF(_xll.EVDES(H100,$B$1)="#NODATA","",_xll.EVDES(H100,$B$1)))</f>
        <v>Contract Services</v>
      </c>
      <c r="O100" s="143">
        <v>1025.98</v>
      </c>
      <c r="P100" s="143">
        <v>1820.5</v>
      </c>
      <c r="Q100" s="143">
        <v>600</v>
      </c>
      <c r="R100" s="143"/>
      <c r="S100" s="143"/>
      <c r="T100" s="143"/>
      <c r="U100" s="143"/>
      <c r="V100" s="143"/>
      <c r="W100" s="143"/>
      <c r="X100" s="143">
        <v>556.5</v>
      </c>
      <c r="Y100" s="143">
        <v>75</v>
      </c>
      <c r="Z100" s="143">
        <v>75</v>
      </c>
      <c r="AA100" s="250">
        <f t="shared" si="35"/>
        <v>4152.9799999999996</v>
      </c>
      <c r="AB100" s="144">
        <f t="shared" si="36"/>
        <v>2.3323048977964802E-2</v>
      </c>
      <c r="AC100" s="140"/>
      <c r="AD100" s="143">
        <v>9700</v>
      </c>
      <c r="AE100" s="144">
        <f t="shared" si="37"/>
        <v>1.9561002069884741E-2</v>
      </c>
      <c r="AF100" s="145">
        <f t="shared" si="38"/>
        <v>-5547.02</v>
      </c>
      <c r="AG100" s="143">
        <v>15417.16</v>
      </c>
      <c r="AH100" s="144">
        <f t="shared" si="39"/>
        <v>3.4693658534455787E-2</v>
      </c>
      <c r="AI100" s="145">
        <f t="shared" si="40"/>
        <v>-11264.18</v>
      </c>
      <c r="AJ100" s="440">
        <f t="shared" si="41"/>
        <v>0.56781241454744324</v>
      </c>
      <c r="AK100" s="441">
        <f t="shared" si="42"/>
        <v>0.57173169869150064</v>
      </c>
      <c r="AL100" s="442">
        <f t="shared" si="43"/>
        <v>0.66929281528109397</v>
      </c>
      <c r="AM100" s="443" t="str">
        <f t="shared" si="44"/>
        <v>0.38 pts.</v>
      </c>
      <c r="AN100" s="444" t="str">
        <f t="shared" si="45"/>
        <v>-1.14 pts.</v>
      </c>
      <c r="AO100" s="11"/>
    </row>
    <row r="101" spans="1:41" x14ac:dyDescent="0.35">
      <c r="A101" s="97" t="s">
        <v>92</v>
      </c>
      <c r="B101" s="98" t="s">
        <v>93</v>
      </c>
      <c r="C101" s="98" t="s">
        <v>94</v>
      </c>
      <c r="D101" s="98" t="s">
        <v>95</v>
      </c>
      <c r="E101" s="98" t="s">
        <v>96</v>
      </c>
      <c r="F101" s="99" t="s">
        <v>97</v>
      </c>
      <c r="G101" s="11"/>
      <c r="H101" s="88" t="s">
        <v>833</v>
      </c>
      <c r="I101" s="122" t="str">
        <f>IF(_epmOfflineCondition_,"T4",_xll.EVPRO($B$1,$H101,"STYLE"))</f>
        <v>T4</v>
      </c>
      <c r="J101" s="122" t="str">
        <f>IF(_epmOfflineCondition_,"Y",_xll.EVPRO($B$1,$H101,"CALC"))</f>
        <v>Y</v>
      </c>
      <c r="K101" s="179" t="str">
        <f t="shared" si="34"/>
        <v>&gt;</v>
      </c>
      <c r="L101" s="90" t="str">
        <f>IF(_epmOfflineCondition_,"",_xll.EVPRO($B$1,H101,"JDEID"))</f>
        <v/>
      </c>
      <c r="M101" s="90" t="str">
        <f>IF(_epmOfflineCondition_,"",IF(AND(I101="N",J101="N"),_xll.EVPRO($B$1,H101,"PSFTID"),""))</f>
        <v/>
      </c>
      <c r="N101" s="90" t="str">
        <f>IF(_epmOfflineCondition_,"Travel - Other",IF(_xll.EVDES(H101,$B$1)="#NODATA","",_xll.EVDES(H101,$B$1)))</f>
        <v>Travel - Other</v>
      </c>
      <c r="O101" s="143"/>
      <c r="P101" s="143"/>
      <c r="Q101" s="143"/>
      <c r="R101" s="143"/>
      <c r="S101" s="143"/>
      <c r="T101" s="143"/>
      <c r="U101" s="143"/>
      <c r="V101" s="143"/>
      <c r="W101" s="143"/>
      <c r="X101" s="143"/>
      <c r="Y101" s="143"/>
      <c r="Z101" s="143"/>
      <c r="AA101" s="250">
        <f t="shared" si="35"/>
        <v>0</v>
      </c>
      <c r="AB101" s="144" t="str">
        <f t="shared" si="36"/>
        <v/>
      </c>
      <c r="AC101" s="140"/>
      <c r="AD101" s="143"/>
      <c r="AE101" s="144" t="str">
        <f t="shared" si="37"/>
        <v/>
      </c>
      <c r="AF101" s="145">
        <f t="shared" si="38"/>
        <v>0</v>
      </c>
      <c r="AG101" s="143">
        <v>4094.68</v>
      </c>
      <c r="AH101" s="144">
        <f t="shared" si="39"/>
        <v>9.2143708522104857E-3</v>
      </c>
      <c r="AI101" s="145">
        <f t="shared" si="40"/>
        <v>-4094.68</v>
      </c>
      <c r="AJ101" s="440">
        <f t="shared" si="41"/>
        <v>0</v>
      </c>
      <c r="AK101" s="441">
        <f t="shared" si="42"/>
        <v>0</v>
      </c>
      <c r="AL101" s="442">
        <f t="shared" si="43"/>
        <v>0.17775906229650532</v>
      </c>
      <c r="AM101" s="443">
        <f t="shared" si="44"/>
        <v>0</v>
      </c>
      <c r="AN101" s="444">
        <f t="shared" si="45"/>
        <v>0</v>
      </c>
      <c r="AO101" s="11"/>
    </row>
    <row r="102" spans="1:41" x14ac:dyDescent="0.35">
      <c r="A102" s="11"/>
      <c r="B102" s="11"/>
      <c r="C102" s="11"/>
      <c r="D102" s="11"/>
      <c r="E102" s="11"/>
      <c r="F102" s="11"/>
      <c r="G102" s="11"/>
      <c r="H102" s="88" t="s">
        <v>834</v>
      </c>
      <c r="I102" s="122" t="str">
        <f>IF(_epmOfflineCondition_,"T4",_xll.EVPRO($B$1,$H102,"STYLE"))</f>
        <v>T4</v>
      </c>
      <c r="J102" s="122" t="str">
        <f>IF(_epmOfflineCondition_,"Y",_xll.EVPRO($B$1,$H102,"CALC"))</f>
        <v>Y</v>
      </c>
      <c r="K102" s="179" t="str">
        <f t="shared" si="34"/>
        <v>&gt;</v>
      </c>
      <c r="L102" s="90" t="str">
        <f>IF(_epmOfflineCondition_,"702900",_xll.EVPRO($B$1,H102,"JDEID"))</f>
        <v>702900</v>
      </c>
      <c r="M102" s="90" t="str">
        <f>IF(_epmOfflineCondition_,"",IF(AND(I102="N",J102="N"),_xll.EVPRO($B$1,H102,"PSFTID"),""))</f>
        <v/>
      </c>
      <c r="N102" s="90" t="str">
        <f>IF(_epmOfflineCondition_,"Travel - Meals &amp; Entertainment",IF(_xll.EVDES(H102,$B$1)="#NODATA","",_xll.EVDES(H102,$B$1)))</f>
        <v>Travel - Meals &amp; Entertainment</v>
      </c>
      <c r="O102" s="143"/>
      <c r="P102" s="143"/>
      <c r="Q102" s="143"/>
      <c r="R102" s="143"/>
      <c r="S102" s="143"/>
      <c r="T102" s="143"/>
      <c r="U102" s="143"/>
      <c r="V102" s="143"/>
      <c r="W102" s="143"/>
      <c r="X102" s="143"/>
      <c r="Y102" s="143"/>
      <c r="Z102" s="143"/>
      <c r="AA102" s="250">
        <f t="shared" si="35"/>
        <v>0</v>
      </c>
      <c r="AB102" s="144" t="str">
        <f t="shared" si="36"/>
        <v/>
      </c>
      <c r="AC102" s="140"/>
      <c r="AD102" s="143"/>
      <c r="AE102" s="144" t="str">
        <f t="shared" si="37"/>
        <v/>
      </c>
      <c r="AF102" s="145">
        <f t="shared" si="38"/>
        <v>0</v>
      </c>
      <c r="AG102" s="143">
        <v>1370.01</v>
      </c>
      <c r="AH102" s="144">
        <f t="shared" si="39"/>
        <v>3.0829711262508643E-3</v>
      </c>
      <c r="AI102" s="145">
        <f t="shared" si="40"/>
        <v>-1370.01</v>
      </c>
      <c r="AJ102" s="440">
        <f t="shared" si="41"/>
        <v>0</v>
      </c>
      <c r="AK102" s="441">
        <f t="shared" si="42"/>
        <v>0</v>
      </c>
      <c r="AL102" s="442">
        <f t="shared" si="43"/>
        <v>5.9475146516171043E-2</v>
      </c>
      <c r="AM102" s="443">
        <f t="shared" si="44"/>
        <v>0</v>
      </c>
      <c r="AN102" s="444">
        <f t="shared" si="45"/>
        <v>0</v>
      </c>
      <c r="AO102" s="11"/>
    </row>
    <row r="103" spans="1:41" x14ac:dyDescent="0.35">
      <c r="A103" s="11" t="s">
        <v>108</v>
      </c>
      <c r="B103" s="11"/>
      <c r="C103" s="104" t="s">
        <v>101</v>
      </c>
      <c r="D103" s="11" t="s">
        <v>106</v>
      </c>
      <c r="E103" s="11"/>
      <c r="F103" s="11" t="s">
        <v>98</v>
      </c>
      <c r="G103" s="11"/>
      <c r="H103" s="88" t="s">
        <v>835</v>
      </c>
      <c r="I103" s="122" t="str">
        <f>IF(_epmOfflineCondition_,"T4",_xll.EVPRO($B$1,$H103,"STYLE"))</f>
        <v>T4</v>
      </c>
      <c r="J103" s="122" t="str">
        <f>IF(_epmOfflineCondition_,"Y",_xll.EVPRO($B$1,$H103,"CALC"))</f>
        <v>Y</v>
      </c>
      <c r="K103" s="179" t="str">
        <f t="shared" si="34"/>
        <v>&gt;</v>
      </c>
      <c r="L103" s="90" t="str">
        <f>IF(_epmOfflineCondition_,"703000",_xll.EVPRO($B$1,H103,"JDEID"))</f>
        <v>703000</v>
      </c>
      <c r="M103" s="90" t="str">
        <f>IF(_epmOfflineCondition_,"",IF(AND(I103="N",J103="N"),_xll.EVPRO($B$1,H103,"PSFTID"),""))</f>
        <v/>
      </c>
      <c r="N103" s="90" t="str">
        <f>IF(_epmOfflineCondition_,"Complimentary Services &amp; Gifts",IF(_xll.EVDES(H103,$B$1)="#NODATA","",_xll.EVDES(H103,$B$1)))</f>
        <v>Complimentary Services &amp; Gifts</v>
      </c>
      <c r="O103" s="143"/>
      <c r="P103" s="143"/>
      <c r="Q103" s="143"/>
      <c r="R103" s="143"/>
      <c r="S103" s="143"/>
      <c r="T103" s="143"/>
      <c r="U103" s="143">
        <v>4.58</v>
      </c>
      <c r="V103" s="143"/>
      <c r="W103" s="143"/>
      <c r="X103" s="143"/>
      <c r="Y103" s="143"/>
      <c r="Z103" s="143"/>
      <c r="AA103" s="250">
        <f t="shared" si="35"/>
        <v>4.58</v>
      </c>
      <c r="AB103" s="144">
        <f t="shared" si="36"/>
        <v>2.5721184383040323E-5</v>
      </c>
      <c r="AC103" s="140"/>
      <c r="AD103" s="143">
        <v>169.66</v>
      </c>
      <c r="AE103" s="144">
        <f t="shared" si="37"/>
        <v>3.4213604238934485E-4</v>
      </c>
      <c r="AF103" s="145">
        <f t="shared" si="38"/>
        <v>-165.07999999999998</v>
      </c>
      <c r="AG103" s="143">
        <v>11.53</v>
      </c>
      <c r="AH103" s="144">
        <f t="shared" si="39"/>
        <v>2.5946275637165028E-5</v>
      </c>
      <c r="AI103" s="145">
        <f t="shared" si="40"/>
        <v>-6.9499999999999993</v>
      </c>
      <c r="AJ103" s="440">
        <f t="shared" si="41"/>
        <v>6.2619633579436701E-4</v>
      </c>
      <c r="AK103" s="441">
        <f t="shared" si="42"/>
        <v>0.01</v>
      </c>
      <c r="AL103" s="442">
        <f t="shared" si="43"/>
        <v>5.0054265248534839E-4</v>
      </c>
      <c r="AM103" s="443" t="str">
        <f t="shared" si="44"/>
        <v>-0.03 pts.</v>
      </c>
      <c r="AN103" s="444" t="str">
        <f t="shared" si="45"/>
        <v>0 pts.</v>
      </c>
      <c r="AO103" s="11"/>
    </row>
    <row r="104" spans="1:41" x14ac:dyDescent="0.35">
      <c r="A104" s="11" t="s">
        <v>100</v>
      </c>
      <c r="B104" s="11"/>
      <c r="C104" s="53" t="s">
        <v>101</v>
      </c>
      <c r="D104" s="11" t="s">
        <v>106</v>
      </c>
      <c r="E104" s="11"/>
      <c r="F104" s="11" t="s">
        <v>98</v>
      </c>
      <c r="G104" s="11"/>
      <c r="H104" s="88" t="s">
        <v>837</v>
      </c>
      <c r="I104" s="122" t="str">
        <f>IF(_epmOfflineCondition_,"N",_xll.EVPRO($B$1,$H104,"STYLE"))</f>
        <v>N</v>
      </c>
      <c r="J104" s="122" t="str">
        <f>IF(_epmOfflineCondition_,"N",_xll.EVPRO($B$1,$H104,"CALC"))</f>
        <v>N</v>
      </c>
      <c r="K104" s="179" t="str">
        <f t="shared" si="34"/>
        <v/>
      </c>
      <c r="L104" s="90" t="str">
        <f>IF(_epmOfflineCondition_,"703200",_xll.EVPRO($B$1,H104,"JDEID"))</f>
        <v>703200</v>
      </c>
      <c r="M104" s="90" t="str">
        <f>IF(_epmOfflineCondition_,"590035",IF(AND(I104="N",J104="N"),_xll.EVPRO($B$1,H104,"PSFTID"),""))</f>
        <v>590035</v>
      </c>
      <c r="N104" s="90" t="str">
        <f>IF(_epmOfflineCondition_,"Uniform Costs",IF(_xll.EVDES(H104,$B$1)="#NODATA","",_xll.EVDES(H104,$B$1)))</f>
        <v>Uniform Costs</v>
      </c>
      <c r="O104" s="143"/>
      <c r="P104" s="143"/>
      <c r="Q104" s="143"/>
      <c r="R104" s="143"/>
      <c r="S104" s="143"/>
      <c r="T104" s="143"/>
      <c r="U104" s="143"/>
      <c r="V104" s="143"/>
      <c r="W104" s="143"/>
      <c r="X104" s="143"/>
      <c r="Y104" s="143"/>
      <c r="Z104" s="143"/>
      <c r="AA104" s="250">
        <f t="shared" si="35"/>
        <v>0</v>
      </c>
      <c r="AB104" s="144" t="str">
        <f t="shared" si="36"/>
        <v/>
      </c>
      <c r="AC104" s="140"/>
      <c r="AD104" s="143">
        <v>600</v>
      </c>
      <c r="AE104" s="144">
        <f t="shared" si="37"/>
        <v>1.2099588909207056E-3</v>
      </c>
      <c r="AF104" s="145">
        <f t="shared" si="38"/>
        <v>-600</v>
      </c>
      <c r="AG104" s="143">
        <v>1086.6600000000001</v>
      </c>
      <c r="AH104" s="144">
        <f t="shared" si="39"/>
        <v>2.4453408398856682E-3</v>
      </c>
      <c r="AI104" s="145">
        <f t="shared" si="40"/>
        <v>-1086.6600000000001</v>
      </c>
      <c r="AJ104" s="440">
        <f t="shared" si="41"/>
        <v>0</v>
      </c>
      <c r="AK104" s="441">
        <f t="shared" si="42"/>
        <v>3.5364847341742306E-2</v>
      </c>
      <c r="AL104" s="442">
        <f t="shared" si="43"/>
        <v>4.7174299978293907E-2</v>
      </c>
      <c r="AM104" s="443">
        <f t="shared" si="44"/>
        <v>0</v>
      </c>
      <c r="AN104" s="444">
        <f t="shared" si="45"/>
        <v>0</v>
      </c>
      <c r="AO104" s="11"/>
    </row>
    <row r="105" spans="1:41" x14ac:dyDescent="0.35">
      <c r="A105" s="11" t="s">
        <v>109</v>
      </c>
      <c r="B105" s="11"/>
      <c r="C105" s="106" t="s">
        <v>101</v>
      </c>
      <c r="D105" s="11" t="s">
        <v>106</v>
      </c>
      <c r="E105" s="11"/>
      <c r="F105" s="11" t="s">
        <v>98</v>
      </c>
      <c r="G105" s="76"/>
      <c r="H105" s="88" t="s">
        <v>838</v>
      </c>
      <c r="I105" s="122" t="str">
        <f>IF(_epmOfflineCondition_,"N",_xll.EVPRO($B$1,$H105,"STYLE"))</f>
        <v>N</v>
      </c>
      <c r="J105" s="122" t="str">
        <f>IF(_epmOfflineCondition_,"N",_xll.EVPRO($B$1,$H105,"CALC"))</f>
        <v>N</v>
      </c>
      <c r="K105" s="179" t="str">
        <f t="shared" si="34"/>
        <v/>
      </c>
      <c r="L105" s="90" t="str">
        <f>IF(_epmOfflineCondition_,"703300",_xll.EVPRO($B$1,H105,"JDEID"))</f>
        <v>703300</v>
      </c>
      <c r="M105" s="90" t="str">
        <f>IF(_epmOfflineCondition_,"590115",IF(AND(I105="N",J105="N"),_xll.EVPRO($B$1,H105,"PSFTID"),""))</f>
        <v>590115</v>
      </c>
      <c r="N105" s="90" t="str">
        <f>IF(_epmOfflineCondition_,"Uniforms Laundry",IF(_xll.EVDES(H105,$B$1)="#NODATA","",_xll.EVDES(H105,$B$1)))</f>
        <v>Uniforms Laundry</v>
      </c>
      <c r="O105" s="143"/>
      <c r="P105" s="143"/>
      <c r="Q105" s="143"/>
      <c r="R105" s="143"/>
      <c r="S105" s="143"/>
      <c r="T105" s="143"/>
      <c r="U105" s="143"/>
      <c r="V105" s="143">
        <v>95.7</v>
      </c>
      <c r="W105" s="143">
        <v>125.4</v>
      </c>
      <c r="X105" s="143">
        <v>178.6</v>
      </c>
      <c r="Y105" s="143">
        <v>257.39999999999998</v>
      </c>
      <c r="Z105" s="143">
        <v>283.8</v>
      </c>
      <c r="AA105" s="250">
        <f t="shared" si="35"/>
        <v>940.90000000000009</v>
      </c>
      <c r="AB105" s="144">
        <f t="shared" si="36"/>
        <v>5.2840747567691358E-3</v>
      </c>
      <c r="AC105" s="140"/>
      <c r="AD105" s="143">
        <v>1696.6</v>
      </c>
      <c r="AE105" s="144">
        <f t="shared" si="37"/>
        <v>3.4213604238934486E-3</v>
      </c>
      <c r="AF105" s="145">
        <f t="shared" si="38"/>
        <v>-755.69999999999982</v>
      </c>
      <c r="AG105" s="143">
        <v>2719.1</v>
      </c>
      <c r="AH105" s="144">
        <f t="shared" si="39"/>
        <v>6.1188654019961345E-3</v>
      </c>
      <c r="AI105" s="145">
        <f t="shared" si="40"/>
        <v>-1778.1999999999998</v>
      </c>
      <c r="AJ105" s="440">
        <f t="shared" si="41"/>
        <v>0.12864369701941483</v>
      </c>
      <c r="AK105" s="441">
        <f t="shared" si="42"/>
        <v>9.9999999999999992E-2</v>
      </c>
      <c r="AL105" s="442">
        <f t="shared" si="43"/>
        <v>0.11804210983286303</v>
      </c>
      <c r="AM105" s="443" t="str">
        <f t="shared" si="44"/>
        <v>0.19 pts.</v>
      </c>
      <c r="AN105" s="444" t="str">
        <f t="shared" si="45"/>
        <v>-0.08 pts.</v>
      </c>
      <c r="AO105" s="11"/>
    </row>
    <row r="106" spans="1:41" x14ac:dyDescent="0.35">
      <c r="A106" s="11" t="s">
        <v>109</v>
      </c>
      <c r="B106" s="11"/>
      <c r="C106" s="196" t="s">
        <v>101</v>
      </c>
      <c r="D106" s="11" t="s">
        <v>107</v>
      </c>
      <c r="E106" s="11"/>
      <c r="F106" s="11" t="s">
        <v>99</v>
      </c>
      <c r="G106" s="11"/>
      <c r="H106" s="88" t="s">
        <v>864</v>
      </c>
      <c r="I106" s="122" t="str">
        <f>IF(_epmOfflineCondition_,"N",_xll.EVPRO($B$1,$H106,"STYLE"))</f>
        <v>N</v>
      </c>
      <c r="J106" s="122" t="str">
        <f>IF(_epmOfflineCondition_,"N",_xll.EVPRO($B$1,$H106,"CALC"))</f>
        <v>N</v>
      </c>
      <c r="K106" s="179" t="str">
        <f t="shared" si="34"/>
        <v/>
      </c>
      <c r="L106" s="90" t="str">
        <f>IF(_epmOfflineCondition_,"703400",_xll.EVPRO($B$1,H106,"JDEID"))</f>
        <v>703400</v>
      </c>
      <c r="M106" s="90" t="str">
        <f>IF(_epmOfflineCondition_,"590010",IF(AND(I106="N",J106="N"),_xll.EVPRO($B$1,H106,"PSFTID"),""))</f>
        <v>590010</v>
      </c>
      <c r="N106" s="90" t="str">
        <f>IF(_epmOfflineCondition_,"Linen",IF(_xll.EVDES(H106,$B$1)="#NODATA","",_xll.EVDES(H106,$B$1)))</f>
        <v>Linen</v>
      </c>
      <c r="O106" s="143"/>
      <c r="P106" s="143"/>
      <c r="Q106" s="143"/>
      <c r="R106" s="143"/>
      <c r="S106" s="143"/>
      <c r="T106" s="143"/>
      <c r="U106" s="143"/>
      <c r="V106" s="143"/>
      <c r="W106" s="143"/>
      <c r="X106" s="143"/>
      <c r="Y106" s="143"/>
      <c r="Z106" s="143"/>
      <c r="AA106" s="250">
        <f t="shared" si="35"/>
        <v>0</v>
      </c>
      <c r="AB106" s="144" t="str">
        <f t="shared" si="36"/>
        <v/>
      </c>
      <c r="AC106" s="140"/>
      <c r="AD106" s="143">
        <v>2205.58</v>
      </c>
      <c r="AE106" s="144">
        <f t="shared" si="37"/>
        <v>4.4477685510614833E-3</v>
      </c>
      <c r="AF106" s="145">
        <f t="shared" si="38"/>
        <v>-2205.58</v>
      </c>
      <c r="AG106" s="143">
        <v>3423.62</v>
      </c>
      <c r="AH106" s="144">
        <f t="shared" si="39"/>
        <v>7.7042661055430131E-3</v>
      </c>
      <c r="AI106" s="145">
        <f t="shared" si="40"/>
        <v>-3423.62</v>
      </c>
      <c r="AJ106" s="440">
        <f t="shared" si="41"/>
        <v>0</v>
      </c>
      <c r="AK106" s="441">
        <f t="shared" si="42"/>
        <v>0.13</v>
      </c>
      <c r="AL106" s="442">
        <f t="shared" si="43"/>
        <v>0.14862687215107445</v>
      </c>
      <c r="AM106" s="443">
        <f t="shared" si="44"/>
        <v>0</v>
      </c>
      <c r="AN106" s="444">
        <f t="shared" si="45"/>
        <v>0</v>
      </c>
      <c r="AO106" s="11"/>
    </row>
    <row r="107" spans="1:41" x14ac:dyDescent="0.35">
      <c r="A107" s="11" t="s">
        <v>110</v>
      </c>
      <c r="B107" s="11"/>
      <c r="C107" s="106" t="s">
        <v>101</v>
      </c>
      <c r="D107" s="11" t="s">
        <v>106</v>
      </c>
      <c r="E107" s="11"/>
      <c r="F107" s="11" t="s">
        <v>98</v>
      </c>
      <c r="G107" s="11"/>
      <c r="H107" s="88" t="s">
        <v>865</v>
      </c>
      <c r="I107" s="122" t="str">
        <f>IF(_epmOfflineCondition_,"N",_xll.EVPRO($B$1,$H107,"STYLE"))</f>
        <v>N</v>
      </c>
      <c r="J107" s="122" t="str">
        <f>IF(_epmOfflineCondition_,"N",_xll.EVPRO($B$1,$H107,"CALC"))</f>
        <v>N</v>
      </c>
      <c r="K107" s="179" t="str">
        <f t="shared" si="34"/>
        <v/>
      </c>
      <c r="L107" s="90" t="str">
        <f>IF(_epmOfflineCondition_,"703500",_xll.EVPRO($B$1,H107,"JDEID"))</f>
        <v>703500</v>
      </c>
      <c r="M107" s="90" t="str">
        <f>IF(_epmOfflineCondition_,"590004",IF(AND(I107="N",J107="N"),_xll.EVPRO($B$1,H107,"PSFTID"),""))</f>
        <v>590004</v>
      </c>
      <c r="N107" s="90" t="str">
        <f>IF(_epmOfflineCondition_,"China",IF(_xll.EVDES(H107,$B$1)="#NODATA","",_xll.EVDES(H107,$B$1)))</f>
        <v>China</v>
      </c>
      <c r="O107" s="143"/>
      <c r="P107" s="143"/>
      <c r="Q107" s="143"/>
      <c r="R107" s="143"/>
      <c r="S107" s="143"/>
      <c r="T107" s="143"/>
      <c r="U107" s="143"/>
      <c r="V107" s="143"/>
      <c r="W107" s="143"/>
      <c r="X107" s="143"/>
      <c r="Y107" s="143"/>
      <c r="Z107" s="143"/>
      <c r="AA107" s="250">
        <f t="shared" si="35"/>
        <v>0</v>
      </c>
      <c r="AB107" s="144" t="str">
        <f t="shared" si="36"/>
        <v/>
      </c>
      <c r="AC107" s="140"/>
      <c r="AD107" s="143"/>
      <c r="AE107" s="144" t="str">
        <f t="shared" si="37"/>
        <v/>
      </c>
      <c r="AF107" s="145">
        <f t="shared" si="38"/>
        <v>0</v>
      </c>
      <c r="AG107" s="143">
        <v>114.33</v>
      </c>
      <c r="AH107" s="144">
        <f t="shared" si="39"/>
        <v>2.5727993873348462E-4</v>
      </c>
      <c r="AI107" s="145">
        <f t="shared" si="40"/>
        <v>-114.33</v>
      </c>
      <c r="AJ107" s="440">
        <f t="shared" si="41"/>
        <v>0</v>
      </c>
      <c r="AK107" s="441">
        <f t="shared" si="42"/>
        <v>0</v>
      </c>
      <c r="AL107" s="442">
        <f t="shared" si="43"/>
        <v>4.9633166919904491E-3</v>
      </c>
      <c r="AM107" s="443">
        <f t="shared" si="44"/>
        <v>0</v>
      </c>
      <c r="AN107" s="444">
        <f t="shared" si="45"/>
        <v>0</v>
      </c>
      <c r="AO107" s="11"/>
    </row>
    <row r="108" spans="1:41" x14ac:dyDescent="0.35">
      <c r="A108" s="11" t="s">
        <v>110</v>
      </c>
      <c r="B108" s="11"/>
      <c r="C108" s="109" t="s">
        <v>101</v>
      </c>
      <c r="D108" s="11" t="s">
        <v>107</v>
      </c>
      <c r="E108" s="11"/>
      <c r="F108" s="11" t="s">
        <v>99</v>
      </c>
      <c r="G108" s="11"/>
      <c r="H108" s="88" t="s">
        <v>866</v>
      </c>
      <c r="I108" s="122" t="str">
        <f>IF(_epmOfflineCondition_,"N",_xll.EVPRO($B$1,$H108,"STYLE"))</f>
        <v>N</v>
      </c>
      <c r="J108" s="122" t="str">
        <f>IF(_epmOfflineCondition_,"N",_xll.EVPRO($B$1,$H108,"CALC"))</f>
        <v>N</v>
      </c>
      <c r="K108" s="179" t="str">
        <f t="shared" si="34"/>
        <v/>
      </c>
      <c r="L108" s="90" t="str">
        <f>IF(_epmOfflineCondition_,"703510",_xll.EVPRO($B$1,H108,"JDEID"))</f>
        <v>703510</v>
      </c>
      <c r="M108" s="90" t="str">
        <f>IF(_epmOfflineCondition_,"590003",IF(AND(I108="N",J108="N"),_xll.EVPRO($B$1,H108,"PSFTID"),""))</f>
        <v>590003</v>
      </c>
      <c r="N108" s="90" t="str">
        <f>IF(_epmOfflineCondition_,"Glassware",IF(_xll.EVDES(H108,$B$1)="#NODATA","",_xll.EVDES(H108,$B$1)))</f>
        <v>Glassware</v>
      </c>
      <c r="O108" s="143">
        <v>499.49</v>
      </c>
      <c r="P108" s="143"/>
      <c r="Q108" s="143">
        <v>-499.49</v>
      </c>
      <c r="R108" s="143"/>
      <c r="S108" s="143"/>
      <c r="T108" s="143"/>
      <c r="U108" s="143"/>
      <c r="V108" s="143"/>
      <c r="W108" s="143"/>
      <c r="X108" s="143"/>
      <c r="Y108" s="143"/>
      <c r="Z108" s="143"/>
      <c r="AA108" s="250">
        <f t="shared" si="35"/>
        <v>0</v>
      </c>
      <c r="AB108" s="144" t="str">
        <f t="shared" si="36"/>
        <v/>
      </c>
      <c r="AC108" s="140"/>
      <c r="AD108" s="143">
        <v>2100</v>
      </c>
      <c r="AE108" s="144">
        <f t="shared" si="37"/>
        <v>4.2348561182224695E-3</v>
      </c>
      <c r="AF108" s="145">
        <f t="shared" si="38"/>
        <v>-2100</v>
      </c>
      <c r="AG108" s="143">
        <v>516.75</v>
      </c>
      <c r="AH108" s="144">
        <f t="shared" si="39"/>
        <v>1.1628567160021708E-3</v>
      </c>
      <c r="AI108" s="145">
        <f t="shared" si="40"/>
        <v>-516.75</v>
      </c>
      <c r="AJ108" s="440">
        <f t="shared" si="41"/>
        <v>0</v>
      </c>
      <c r="AK108" s="441">
        <f t="shared" si="42"/>
        <v>0.12377696569609808</v>
      </c>
      <c r="AL108" s="442">
        <f t="shared" si="43"/>
        <v>2.2433253744302148E-2</v>
      </c>
      <c r="AM108" s="443">
        <f t="shared" si="44"/>
        <v>0</v>
      </c>
      <c r="AN108" s="444">
        <f t="shared" si="45"/>
        <v>0</v>
      </c>
      <c r="AO108" s="11"/>
    </row>
    <row r="109" spans="1:41" x14ac:dyDescent="0.35">
      <c r="A109" s="11"/>
      <c r="B109" s="11"/>
      <c r="C109" s="208"/>
      <c r="D109" s="11"/>
      <c r="E109" s="11"/>
      <c r="F109" s="11"/>
      <c r="G109" s="11"/>
      <c r="H109" s="88" t="s">
        <v>879</v>
      </c>
      <c r="I109" s="122" t="str">
        <f>IF(_epmOfflineCondition_,"N",_xll.EVPRO($B$1,$H109,"STYLE"))</f>
        <v>N</v>
      </c>
      <c r="J109" s="122" t="str">
        <f>IF(_epmOfflineCondition_,"N",_xll.EVPRO($B$1,$H109,"CALC"))</f>
        <v>N</v>
      </c>
      <c r="K109" s="179" t="str">
        <f t="shared" si="34"/>
        <v/>
      </c>
      <c r="L109" s="90" t="str">
        <f>IF(_epmOfflineCondition_,"703700",_xll.EVPRO($B$1,H109,"JDEID"))</f>
        <v>703700</v>
      </c>
      <c r="M109" s="90" t="str">
        <f>IF(_epmOfflineCondition_,"590046",IF(AND(I109="N",J109="N"),_xll.EVPRO($B$1,H109,"PSFTID"),""))</f>
        <v>590046</v>
      </c>
      <c r="N109" s="90" t="str">
        <f>IF(_epmOfflineCondition_,"Menus and Beverage Lists",IF(_xll.EVDES(H109,$B$1)="#NODATA","",_xll.EVDES(H109,$B$1)))</f>
        <v>Menus and Beverage Lists</v>
      </c>
      <c r="O109" s="143">
        <v>384.68</v>
      </c>
      <c r="P109" s="143"/>
      <c r="Q109" s="143"/>
      <c r="R109" s="143"/>
      <c r="S109" s="143"/>
      <c r="T109" s="143"/>
      <c r="U109" s="143"/>
      <c r="V109" s="143"/>
      <c r="W109" s="143"/>
      <c r="X109" s="143"/>
      <c r="Y109" s="143"/>
      <c r="Z109" s="143"/>
      <c r="AA109" s="250">
        <f t="shared" si="35"/>
        <v>384.68</v>
      </c>
      <c r="AB109" s="144">
        <f t="shared" si="36"/>
        <v>2.1603548490104697E-3</v>
      </c>
      <c r="AC109" s="140"/>
      <c r="AD109" s="143"/>
      <c r="AE109" s="144" t="str">
        <f t="shared" si="37"/>
        <v/>
      </c>
      <c r="AF109" s="145">
        <f t="shared" si="38"/>
        <v>384.68</v>
      </c>
      <c r="AG109" s="143">
        <v>22.78</v>
      </c>
      <c r="AH109" s="144">
        <f t="shared" si="39"/>
        <v>5.1262459584962655E-5</v>
      </c>
      <c r="AI109" s="145">
        <f t="shared" si="40"/>
        <v>361.9</v>
      </c>
      <c r="AJ109" s="440">
        <f t="shared" si="41"/>
        <v>5.2595023243095437E-2</v>
      </c>
      <c r="AK109" s="441">
        <f t="shared" si="42"/>
        <v>0</v>
      </c>
      <c r="AL109" s="442">
        <f t="shared" si="43"/>
        <v>9.8892988929889314E-4</v>
      </c>
      <c r="AM109" s="443">
        <f t="shared" si="44"/>
        <v>0</v>
      </c>
      <c r="AN109" s="444" t="str">
        <f t="shared" si="45"/>
        <v>0.21 pts.</v>
      </c>
      <c r="AO109" s="11"/>
    </row>
    <row r="110" spans="1:41" x14ac:dyDescent="0.35">
      <c r="A110" s="11"/>
      <c r="B110" s="11"/>
      <c r="C110" s="11"/>
      <c r="D110" s="11"/>
      <c r="E110" s="11"/>
      <c r="F110" s="11"/>
      <c r="G110" s="11"/>
      <c r="H110" s="88" t="s">
        <v>868</v>
      </c>
      <c r="I110" s="122" t="str">
        <f>IF(_epmOfflineCondition_,"N",_xll.EVPRO($B$1,$H110,"STYLE"))</f>
        <v>N</v>
      </c>
      <c r="J110" s="122" t="str">
        <f>IF(_epmOfflineCondition_,"N",_xll.EVPRO($B$1,$H110,"CALC"))</f>
        <v>N</v>
      </c>
      <c r="K110" s="179" t="str">
        <f t="shared" si="34"/>
        <v/>
      </c>
      <c r="L110" s="90" t="str">
        <f>IF(_epmOfflineCondition_,"703800",_xll.EVPRO($B$1,H110,"JDEID"))</f>
        <v>703800</v>
      </c>
      <c r="M110" s="90" t="str">
        <f>IF(_epmOfflineCondition_,"690065",IF(AND(I110="N",J110="N"),_xll.EVPRO($B$1,H110,"PSFTID"),""))</f>
        <v>690065</v>
      </c>
      <c r="N110" s="90" t="str">
        <f>IF(_epmOfflineCondition_,"Equipment Rental",IF(_xll.EVDES(H110,$B$1)="#NODATA","",_xll.EVDES(H110,$B$1)))</f>
        <v>Equipment Rental</v>
      </c>
      <c r="O110" s="143"/>
      <c r="P110" s="143"/>
      <c r="Q110" s="143"/>
      <c r="R110" s="143"/>
      <c r="S110" s="143"/>
      <c r="T110" s="143"/>
      <c r="U110" s="143"/>
      <c r="V110" s="143"/>
      <c r="W110" s="143"/>
      <c r="X110" s="143"/>
      <c r="Y110" s="143"/>
      <c r="Z110" s="143"/>
      <c r="AA110" s="250">
        <f t="shared" si="35"/>
        <v>0</v>
      </c>
      <c r="AB110" s="144" t="str">
        <f t="shared" si="36"/>
        <v/>
      </c>
      <c r="AC110" s="140"/>
      <c r="AD110" s="143"/>
      <c r="AE110" s="144" t="str">
        <f t="shared" si="37"/>
        <v/>
      </c>
      <c r="AF110" s="145">
        <f t="shared" si="38"/>
        <v>0</v>
      </c>
      <c r="AG110" s="143">
        <v>111.19</v>
      </c>
      <c r="AH110" s="144">
        <f t="shared" si="39"/>
        <v>2.5021391050272156E-4</v>
      </c>
      <c r="AI110" s="145">
        <f t="shared" si="40"/>
        <v>-111.19</v>
      </c>
      <c r="AJ110" s="440">
        <f t="shared" si="41"/>
        <v>0</v>
      </c>
      <c r="AK110" s="441">
        <f t="shared" si="42"/>
        <v>0</v>
      </c>
      <c r="AL110" s="442">
        <f t="shared" si="43"/>
        <v>4.8270023876709357E-3</v>
      </c>
      <c r="AM110" s="443">
        <f t="shared" si="44"/>
        <v>0</v>
      </c>
      <c r="AN110" s="444">
        <f t="shared" si="45"/>
        <v>0</v>
      </c>
      <c r="AO110" s="11"/>
    </row>
    <row r="111" spans="1:41" x14ac:dyDescent="0.35">
      <c r="A111" s="61" t="str">
        <f>IF(_epmOfflineCondition_,"Evdre:Ok",_xll.EVDRE($B$1,A114:B121))</f>
        <v>Evdre:Ok</v>
      </c>
      <c r="B111" s="11" t="s">
        <v>736</v>
      </c>
      <c r="C111" s="11"/>
      <c r="D111" s="11"/>
      <c r="E111" s="11"/>
      <c r="F111" s="11"/>
      <c r="G111" s="76"/>
      <c r="H111" s="88" t="s">
        <v>880</v>
      </c>
      <c r="I111" s="122" t="str">
        <f>IF(_epmOfflineCondition_,"N",_xll.EVPRO($B$1,$H111,"STYLE"))</f>
        <v>N</v>
      </c>
      <c r="J111" s="122" t="str">
        <f>IF(_epmOfflineCondition_,"N",_xll.EVPRO($B$1,$H111,"CALC"))</f>
        <v>N</v>
      </c>
      <c r="K111" s="179" t="str">
        <f t="shared" si="34"/>
        <v/>
      </c>
      <c r="L111" s="90" t="str">
        <f>IF(_epmOfflineCondition_,"704100",_xll.EVPRO($B$1,H111,"JDEID"))</f>
        <v>704100</v>
      </c>
      <c r="M111" s="90" t="str">
        <f>IF(_epmOfflineCondition_,"690241",IF(AND(I111="N",J111="N"),_xll.EVPRO($B$1,H111,"PSFTID"),""))</f>
        <v>690241</v>
      </c>
      <c r="N111" s="90" t="str">
        <f>IF(_epmOfflineCondition_,"Music and Entertainment",IF(_xll.EVDES(H111,$B$1)="#NODATA","",_xll.EVDES(H111,$B$1)))</f>
        <v>Music and Entertainment</v>
      </c>
      <c r="O111" s="143"/>
      <c r="P111" s="143"/>
      <c r="Q111" s="143"/>
      <c r="R111" s="143"/>
      <c r="S111" s="143"/>
      <c r="T111" s="143"/>
      <c r="U111" s="143"/>
      <c r="V111" s="143"/>
      <c r="W111" s="143">
        <v>75</v>
      </c>
      <c r="X111" s="143"/>
      <c r="Y111" s="143"/>
      <c r="Z111" s="143"/>
      <c r="AA111" s="250">
        <f t="shared" si="35"/>
        <v>75</v>
      </c>
      <c r="AB111" s="144">
        <f t="shared" si="36"/>
        <v>4.2119843422009262E-4</v>
      </c>
      <c r="AC111" s="140"/>
      <c r="AD111" s="143">
        <v>3900</v>
      </c>
      <c r="AE111" s="144">
        <f t="shared" si="37"/>
        <v>7.8647327909845861E-3</v>
      </c>
      <c r="AF111" s="145">
        <f t="shared" si="38"/>
        <v>-3825</v>
      </c>
      <c r="AG111" s="143">
        <v>4850</v>
      </c>
      <c r="AH111" s="144">
        <f t="shared" si="39"/>
        <v>1.0914088190828309E-2</v>
      </c>
      <c r="AI111" s="145">
        <f t="shared" si="40"/>
        <v>-4775</v>
      </c>
      <c r="AJ111" s="440">
        <f t="shared" si="41"/>
        <v>1.0254306808859722E-2</v>
      </c>
      <c r="AK111" s="441">
        <f t="shared" si="42"/>
        <v>0.229871507721325</v>
      </c>
      <c r="AL111" s="442">
        <f t="shared" si="43"/>
        <v>0.21054916431517257</v>
      </c>
      <c r="AM111" s="443" t="str">
        <f t="shared" si="44"/>
        <v>-0.74 pts.</v>
      </c>
      <c r="AN111" s="444" t="str">
        <f t="shared" si="45"/>
        <v>-1.05 pts.</v>
      </c>
      <c r="AO111" s="11"/>
    </row>
    <row r="112" spans="1:41" x14ac:dyDescent="0.35">
      <c r="A112" s="11"/>
      <c r="B112" s="11"/>
      <c r="C112" s="11"/>
      <c r="D112" s="11"/>
      <c r="E112" s="11"/>
      <c r="F112" s="11"/>
      <c r="G112" s="11"/>
      <c r="H112" s="88" t="s">
        <v>845</v>
      </c>
      <c r="I112" s="122" t="str">
        <f>IF(_epmOfflineCondition_,"N",_xll.EVPRO($B$1,$H112,"STYLE"))</f>
        <v>N</v>
      </c>
      <c r="J112" s="122" t="str">
        <f>IF(_epmOfflineCondition_,"N",_xll.EVPRO($B$1,$H112,"CALC"))</f>
        <v>N</v>
      </c>
      <c r="K112" s="179" t="str">
        <f t="shared" si="34"/>
        <v/>
      </c>
      <c r="L112" s="90" t="str">
        <f>IF(_epmOfflineCondition_,"705500",_xll.EVPRO($B$1,H112,"JDEID"))</f>
        <v>705500</v>
      </c>
      <c r="M112" s="90" t="str">
        <f>IF(_epmOfflineCondition_,"690105",IF(AND(I112="N",J112="N"),_xll.EVPRO($B$1,H112,"PSFTID"),""))</f>
        <v>690105</v>
      </c>
      <c r="N112" s="90" t="str">
        <f>IF(_epmOfflineCondition_,"Licenses &amp; Permits",IF(_xll.EVDES(H112,$B$1)="#NODATA","",_xll.EVDES(H112,$B$1)))</f>
        <v>Licenses &amp; Permits</v>
      </c>
      <c r="O112" s="143"/>
      <c r="P112" s="143"/>
      <c r="Q112" s="143"/>
      <c r="R112" s="143"/>
      <c r="S112" s="143"/>
      <c r="T112" s="143"/>
      <c r="U112" s="143"/>
      <c r="V112" s="143"/>
      <c r="W112" s="143"/>
      <c r="X112" s="143"/>
      <c r="Y112" s="143"/>
      <c r="Z112" s="143"/>
      <c r="AA112" s="250">
        <f t="shared" si="35"/>
        <v>0</v>
      </c>
      <c r="AB112" s="144" t="str">
        <f t="shared" si="36"/>
        <v/>
      </c>
      <c r="AC112" s="140"/>
      <c r="AD112" s="143"/>
      <c r="AE112" s="144" t="str">
        <f t="shared" si="37"/>
        <v/>
      </c>
      <c r="AF112" s="145">
        <f t="shared" si="38"/>
        <v>0</v>
      </c>
      <c r="AG112" s="143">
        <v>4425</v>
      </c>
      <c r="AH112" s="144">
        <f t="shared" si="39"/>
        <v>9.9576990194670655E-3</v>
      </c>
      <c r="AI112" s="145">
        <f t="shared" si="40"/>
        <v>-4425</v>
      </c>
      <c r="AJ112" s="440">
        <f t="shared" si="41"/>
        <v>0</v>
      </c>
      <c r="AK112" s="441">
        <f t="shared" si="42"/>
        <v>0</v>
      </c>
      <c r="AL112" s="442">
        <f t="shared" si="43"/>
        <v>0.19209897981332755</v>
      </c>
      <c r="AM112" s="443">
        <f t="shared" si="44"/>
        <v>0</v>
      </c>
      <c r="AN112" s="444">
        <f t="shared" si="45"/>
        <v>0</v>
      </c>
      <c r="AO112" s="11"/>
    </row>
    <row r="113" spans="1:41" x14ac:dyDescent="0.35">
      <c r="A113" s="62" t="s">
        <v>0</v>
      </c>
      <c r="B113" s="63" t="s">
        <v>1</v>
      </c>
      <c r="C113" s="11"/>
      <c r="D113" s="11"/>
      <c r="E113" s="11"/>
      <c r="F113" s="11"/>
      <c r="G113" s="11"/>
      <c r="H113" s="88" t="s">
        <v>848</v>
      </c>
      <c r="I113" s="122" t="str">
        <f>IF(_epmOfflineCondition_,"T4",_xll.EVPRO($B$1,$H113,"STYLE"))</f>
        <v>T4</v>
      </c>
      <c r="J113" s="122" t="str">
        <f>IF(_epmOfflineCondition_,"Y",_xll.EVPRO($B$1,$H113,"CALC"))</f>
        <v>Y</v>
      </c>
      <c r="K113" s="179" t="str">
        <f t="shared" si="34"/>
        <v>&gt;</v>
      </c>
      <c r="L113" s="90" t="str">
        <f>IF(_epmOfflineCondition_,"706100",_xll.EVPRO($B$1,H113,"JDEID"))</f>
        <v>706100</v>
      </c>
      <c r="M113" s="90" t="str">
        <f>IF(_epmOfflineCondition_,"",IF(AND(I113="N",J113="N"),_xll.EVPRO($B$1,H113,"PSFTID"),""))</f>
        <v/>
      </c>
      <c r="N113" s="90" t="str">
        <f>IF(_epmOfflineCondition_,"Miscellaneous",IF(_xll.EVDES(H113,$B$1)="#NODATA","",_xll.EVDES(H113,$B$1)))</f>
        <v>Miscellaneous</v>
      </c>
      <c r="O113" s="143"/>
      <c r="P113" s="143"/>
      <c r="Q113" s="143"/>
      <c r="R113" s="143"/>
      <c r="S113" s="143"/>
      <c r="T113" s="143"/>
      <c r="U113" s="143"/>
      <c r="V113" s="143"/>
      <c r="W113" s="143"/>
      <c r="X113" s="143"/>
      <c r="Y113" s="143"/>
      <c r="Z113" s="143"/>
      <c r="AA113" s="250">
        <f t="shared" si="35"/>
        <v>0</v>
      </c>
      <c r="AB113" s="144" t="str">
        <f t="shared" si="36"/>
        <v/>
      </c>
      <c r="AC113" s="140"/>
      <c r="AD113" s="143"/>
      <c r="AE113" s="144" t="str">
        <f t="shared" si="37"/>
        <v/>
      </c>
      <c r="AF113" s="145">
        <f t="shared" si="38"/>
        <v>0</v>
      </c>
      <c r="AG113" s="143">
        <v>463.86</v>
      </c>
      <c r="AH113" s="144">
        <f t="shared" si="39"/>
        <v>1.0438368965355917E-3</v>
      </c>
      <c r="AI113" s="145">
        <f t="shared" si="40"/>
        <v>-463.86</v>
      </c>
      <c r="AJ113" s="440">
        <f t="shared" si="41"/>
        <v>0</v>
      </c>
      <c r="AK113" s="441">
        <f t="shared" si="42"/>
        <v>0</v>
      </c>
      <c r="AL113" s="442">
        <f t="shared" si="43"/>
        <v>2.0137182548296072E-2</v>
      </c>
      <c r="AM113" s="443">
        <f t="shared" si="44"/>
        <v>0</v>
      </c>
      <c r="AN113" s="444">
        <f t="shared" si="45"/>
        <v>0</v>
      </c>
      <c r="AO113" s="11"/>
    </row>
    <row r="114" spans="1:41" x14ac:dyDescent="0.35">
      <c r="A114" s="65" t="s">
        <v>2</v>
      </c>
      <c r="B114" s="66" t="str">
        <f>IF(_epmOfflineCondition_,"'VenueBar'!$B$2:$B$10",_xll.EVRNG($B$2:$B$10))</f>
        <v>'VenueBar'!$B$2:$B$10</v>
      </c>
      <c r="C114" s="11"/>
      <c r="D114" s="11"/>
      <c r="E114" s="11"/>
      <c r="F114" s="11"/>
      <c r="G114" s="11"/>
      <c r="H114" s="88" t="s">
        <v>869</v>
      </c>
      <c r="I114" s="122" t="str">
        <f>IF(_epmOfflineCondition_,"N",_xll.EVPRO($B$1,$H114,"STYLE"))</f>
        <v>N</v>
      </c>
      <c r="J114" s="122" t="str">
        <f>IF(_epmOfflineCondition_,"N",_xll.EVPRO($B$1,$H114,"CALC"))</f>
        <v>N</v>
      </c>
      <c r="K114" s="179" t="str">
        <f t="shared" si="34"/>
        <v/>
      </c>
      <c r="L114" s="90" t="str">
        <f>IF(_epmOfflineCondition_,"706110",_xll.EVPRO($B$1,H114,"JDEID"))</f>
        <v>706110</v>
      </c>
      <c r="M114" s="90" t="str">
        <f>IF(_epmOfflineCondition_,"590056",IF(AND(I114="N",J114="N"),_xll.EVPRO($B$1,H114,"PSFTID"),""))</f>
        <v>590056</v>
      </c>
      <c r="N114" s="90" t="str">
        <f>IF(_epmOfflineCondition_,"Kitchen Fuel",IF(_xll.EVDES(H114,$B$1)="#NODATA","",_xll.EVDES(H114,$B$1)))</f>
        <v>Kitchen Fuel</v>
      </c>
      <c r="O114" s="143"/>
      <c r="P114" s="143"/>
      <c r="Q114" s="143"/>
      <c r="R114" s="143"/>
      <c r="S114" s="143"/>
      <c r="T114" s="143"/>
      <c r="U114" s="143"/>
      <c r="V114" s="143"/>
      <c r="W114" s="143"/>
      <c r="X114" s="143"/>
      <c r="Y114" s="143"/>
      <c r="Z114" s="143"/>
      <c r="AA114" s="250">
        <f t="shared" si="35"/>
        <v>0</v>
      </c>
      <c r="AB114" s="144" t="str">
        <f t="shared" si="36"/>
        <v/>
      </c>
      <c r="AC114" s="140"/>
      <c r="AD114" s="143"/>
      <c r="AE114" s="144" t="str">
        <f t="shared" si="37"/>
        <v/>
      </c>
      <c r="AF114" s="145">
        <f t="shared" si="38"/>
        <v>0</v>
      </c>
      <c r="AG114" s="143">
        <v>69</v>
      </c>
      <c r="AH114" s="144">
        <f t="shared" si="39"/>
        <v>1.5527259487982541E-4</v>
      </c>
      <c r="AI114" s="145">
        <f t="shared" si="40"/>
        <v>-69</v>
      </c>
      <c r="AJ114" s="440">
        <f t="shared" si="41"/>
        <v>0</v>
      </c>
      <c r="AK114" s="441">
        <f t="shared" si="42"/>
        <v>0</v>
      </c>
      <c r="AL114" s="442">
        <f t="shared" si="43"/>
        <v>2.9954417191230738E-3</v>
      </c>
      <c r="AM114" s="443">
        <f t="shared" si="44"/>
        <v>0</v>
      </c>
      <c r="AN114" s="444">
        <f t="shared" si="45"/>
        <v>0</v>
      </c>
      <c r="AO114" s="11"/>
    </row>
    <row r="115" spans="1:41" x14ac:dyDescent="0.35">
      <c r="A115" s="65" t="s">
        <v>3</v>
      </c>
      <c r="B115" s="66" t="str">
        <f>IF(_epmOfflineCondition_,"'VenueBar'!$O$16:$AN$18",_xll.EVRNG($O$16:$AN$18))</f>
        <v>'VenueBar'!$O$16:$AN$18</v>
      </c>
      <c r="C115" s="11"/>
      <c r="D115" s="11"/>
      <c r="E115" s="11"/>
      <c r="F115" s="11"/>
      <c r="G115" s="11"/>
      <c r="H115" s="88" t="s">
        <v>79</v>
      </c>
      <c r="I115" s="136" t="str">
        <f>IF(_epmOfflineCondition_,"T3",_xll.EVPRO($B$1,$H115,"STYLE"))</f>
        <v>T3</v>
      </c>
      <c r="J115" s="136" t="str">
        <f>IF(_epmOfflineCondition_,"Y",_xll.EVPRO($B$1,$H115,"CALC"))</f>
        <v>Y</v>
      </c>
      <c r="K115" s="104"/>
      <c r="L115" s="104"/>
      <c r="M115" s="104"/>
      <c r="N115" s="106" t="str">
        <f>IF(_epmOfflineCondition_,"Total Operations Expense",IF(_xll.EVDES(H115,$B$1)="#NODATA","",_xll.EVDES(H115,$B$1)))</f>
        <v>Total Operations Expense</v>
      </c>
      <c r="O115" s="154">
        <v>3185.78</v>
      </c>
      <c r="P115" s="154">
        <v>3431</v>
      </c>
      <c r="Q115" s="154">
        <v>522.21</v>
      </c>
      <c r="R115" s="154"/>
      <c r="S115" s="154"/>
      <c r="T115" s="154">
        <v>219.01</v>
      </c>
      <c r="U115" s="154">
        <v>184.42</v>
      </c>
      <c r="V115" s="154">
        <v>436.03</v>
      </c>
      <c r="W115" s="154">
        <v>1024.04</v>
      </c>
      <c r="X115" s="154">
        <v>1897.62</v>
      </c>
      <c r="Y115" s="154">
        <v>793.73</v>
      </c>
      <c r="Z115" s="154">
        <v>506.89</v>
      </c>
      <c r="AA115" s="154">
        <f t="shared" si="35"/>
        <v>12200.73</v>
      </c>
      <c r="AB115" s="155">
        <f t="shared" si="36"/>
        <v>6.8519044964561474E-2</v>
      </c>
      <c r="AC115" s="140"/>
      <c r="AD115" s="154">
        <v>44712.931984923998</v>
      </c>
      <c r="AE115" s="155">
        <f t="shared" si="37"/>
        <v>9.0168015990485975E-2</v>
      </c>
      <c r="AF115" s="156">
        <f t="shared" si="38"/>
        <v>-32512.201984923999</v>
      </c>
      <c r="AG115" s="154">
        <v>58227.57</v>
      </c>
      <c r="AH115" s="155">
        <f t="shared" si="39"/>
        <v>0.13103109981806776</v>
      </c>
      <c r="AI115" s="156">
        <f t="shared" si="40"/>
        <v>-46026.84</v>
      </c>
      <c r="AJ115" s="466">
        <f t="shared" si="41"/>
        <v>1.6681337161607874</v>
      </c>
      <c r="AK115" s="467">
        <f t="shared" si="42"/>
        <v>2.6354433564142403</v>
      </c>
      <c r="AL115" s="468">
        <f t="shared" si="43"/>
        <v>2.5277868461037549</v>
      </c>
      <c r="AM115" s="469" t="str">
        <f t="shared" si="44"/>
        <v>-2.16 pts.</v>
      </c>
      <c r="AN115" s="555" t="str">
        <f t="shared" si="45"/>
        <v>-6.25 pts.</v>
      </c>
      <c r="AO115" s="11"/>
    </row>
    <row r="116" spans="1:41" x14ac:dyDescent="0.35">
      <c r="A116" s="65" t="s">
        <v>4</v>
      </c>
      <c r="B116" s="66" t="str">
        <f>IF(_epmOfflineCondition_,"'VenueBar'!$H$115:$H$118",_xll.EVRNG(H115:H118))</f>
        <v>'VenueBar'!$H$115:$H$118</v>
      </c>
      <c r="C116" s="11"/>
      <c r="D116" s="11"/>
      <c r="E116" s="11"/>
      <c r="F116" s="11"/>
      <c r="G116" s="11"/>
      <c r="H116" s="11"/>
      <c r="I116" s="59"/>
      <c r="J116" s="59"/>
      <c r="K116" s="11"/>
      <c r="L116" s="11"/>
      <c r="M116" s="11"/>
      <c r="N116" s="11"/>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140"/>
      <c r="AL116" s="140"/>
      <c r="AM116" s="140"/>
      <c r="AN116" s="140"/>
      <c r="AO116" s="11"/>
    </row>
    <row r="117" spans="1:41" x14ac:dyDescent="0.35">
      <c r="A117" s="65" t="s">
        <v>5</v>
      </c>
      <c r="B117" s="66"/>
      <c r="C117" s="11"/>
      <c r="D117" s="11"/>
      <c r="E117" s="11"/>
      <c r="F117" s="11"/>
      <c r="G117" s="11"/>
      <c r="H117" s="88" t="s">
        <v>80</v>
      </c>
      <c r="I117" s="136" t="str">
        <f>IF(_epmOfflineCondition_,"T3",_xll.EVPRO($B$1,$H117,"STYLE"))</f>
        <v>T3</v>
      </c>
      <c r="J117" s="136" t="str">
        <f>IF(_epmOfflineCondition_,"Y",_xll.EVPRO($B$1,$H117,"CALC"))</f>
        <v>Y</v>
      </c>
      <c r="K117" s="106"/>
      <c r="L117" s="106"/>
      <c r="M117" s="106"/>
      <c r="N117" s="106" t="str">
        <f>IF(_epmOfflineCondition_,"Total Expenses",IF(_xll.EVDES(H117,$B$1)="#NODATA","",_xll.EVDES(H117,$B$1)))</f>
        <v>Total Expenses</v>
      </c>
      <c r="O117" s="238">
        <v>13520.31</v>
      </c>
      <c r="P117" s="238">
        <v>15500.23</v>
      </c>
      <c r="Q117" s="238">
        <v>1983.66</v>
      </c>
      <c r="R117" s="238">
        <v>188.81</v>
      </c>
      <c r="S117" s="238">
        <v>188.81</v>
      </c>
      <c r="T117" s="238">
        <v>407.82</v>
      </c>
      <c r="U117" s="238">
        <v>276.13</v>
      </c>
      <c r="V117" s="238">
        <v>576.29</v>
      </c>
      <c r="W117" s="238">
        <v>965.9</v>
      </c>
      <c r="X117" s="238">
        <v>15132.24</v>
      </c>
      <c r="Y117" s="238">
        <v>2396.59</v>
      </c>
      <c r="Z117" s="238">
        <v>7950.17</v>
      </c>
      <c r="AA117" s="238">
        <f>IF($I117="B1","",SUM(O117:Z117))</f>
        <v>59086.960000000006</v>
      </c>
      <c r="AB117" s="239">
        <f>IF(AA117=0,"",IFERROR(AA117/AA$19,""))</f>
        <v>0.33183113379766999</v>
      </c>
      <c r="AC117" s="140"/>
      <c r="AD117" s="238">
        <v>199062.324574831</v>
      </c>
      <c r="AE117" s="239">
        <f>IF(AD117=0,"",IFERROR(AD117/AD$19,""))</f>
        <v>0.40142871577776673</v>
      </c>
      <c r="AF117" s="254">
        <f>IF(AND($AA117="",AD117=""),"",$AA117-AD117)</f>
        <v>-139975.36457483098</v>
      </c>
      <c r="AG117" s="255">
        <v>316919.52</v>
      </c>
      <c r="AH117" s="256">
        <f>IF(AG117=0,"",IFERROR(AG117/AG$19,""))</f>
        <v>0.71317269910824255</v>
      </c>
      <c r="AI117" s="254">
        <f>IF(AND($AA117="",AG117=""),"",$AA117-AG117)</f>
        <v>-257832.56</v>
      </c>
      <c r="AJ117" s="472">
        <f>IFERROR(AA117/AA$20,0)</f>
        <v>8.0786108832376282</v>
      </c>
      <c r="AK117" s="473">
        <f>IFERROR(AD117/AD$20,0)</f>
        <v>11.733014533468761</v>
      </c>
      <c r="AL117" s="474">
        <f>IFERROR(AG117/AG$20,0)</f>
        <v>13.758173214673324</v>
      </c>
      <c r="AM117" s="475" t="str">
        <f>+IFERROR(ROUND(($AB117-AE117)*100,2)&amp;" pts.",0)</f>
        <v>-6.96 pts.</v>
      </c>
      <c r="AN117" s="556" t="str">
        <f>+IFERROR(ROUND(($AB117-AH117)*100,2)&amp;" pts.",0)</f>
        <v>-38.13 pts.</v>
      </c>
      <c r="AO117" s="11"/>
    </row>
    <row r="118" spans="1:41" ht="15" thickBot="1" x14ac:dyDescent="0.4">
      <c r="A118" s="65" t="s">
        <v>6</v>
      </c>
      <c r="B118" s="66"/>
      <c r="C118" s="11"/>
      <c r="D118" s="11"/>
      <c r="E118" s="11"/>
      <c r="F118" s="11"/>
      <c r="G118" s="11"/>
      <c r="H118" s="88" t="s">
        <v>81</v>
      </c>
      <c r="I118" s="136" t="str">
        <f>IF(_epmOfflineCondition_,"T3",_xll.EVPRO($B$1,$H118,"STYLE"))</f>
        <v>T3</v>
      </c>
      <c r="J118" s="136" t="str">
        <f>IF(_epmOfflineCondition_,"Y",_xll.EVPRO($B$1,$H118,"CALC"))</f>
        <v>Y</v>
      </c>
      <c r="K118" s="106"/>
      <c r="L118" s="106"/>
      <c r="M118" s="106"/>
      <c r="N118" s="106" t="str">
        <f>IF(_epmOfflineCondition_,"Department Profit (Loss)",IF(_xll.EVDES(H118,$B$1)="#NODATA","",_xll.EVDES(H118,$B$1)))</f>
        <v>Department Profit (Loss)</v>
      </c>
      <c r="O118" s="169">
        <v>15525.31</v>
      </c>
      <c r="P118" s="169">
        <v>21623.23</v>
      </c>
      <c r="Q118" s="169">
        <v>11923.21</v>
      </c>
      <c r="R118" s="169">
        <v>-188.81</v>
      </c>
      <c r="S118" s="169">
        <v>-188.81</v>
      </c>
      <c r="T118" s="169">
        <v>-407.82</v>
      </c>
      <c r="U118" s="169">
        <v>2108.84</v>
      </c>
      <c r="V118" s="169">
        <v>3637.45</v>
      </c>
      <c r="W118" s="169">
        <v>6038.97</v>
      </c>
      <c r="X118" s="169">
        <v>-998.31000000000199</v>
      </c>
      <c r="Y118" s="169">
        <v>10791.51</v>
      </c>
      <c r="Z118" s="169">
        <v>15712.22</v>
      </c>
      <c r="AA118" s="169">
        <f>IF($I118="B1","",SUM(O118:Z118))</f>
        <v>85576.99</v>
      </c>
      <c r="AB118" s="170">
        <f>IF(AA118=0,"",IFERROR(AA118/AA$19,""))</f>
        <v>0.48059858924358034</v>
      </c>
      <c r="AC118" s="140"/>
      <c r="AD118" s="169">
        <v>201007.43142516899</v>
      </c>
      <c r="AE118" s="170">
        <f>IF(AD118=0,"",IFERROR(AD118/AD$19,""))</f>
        <v>0.40535121465669549</v>
      </c>
      <c r="AF118" s="171">
        <f>IF(AND($AA118="",AD118=""),"",$AA118-AD118)</f>
        <v>-115430.44142516899</v>
      </c>
      <c r="AG118" s="169">
        <v>-19129.25</v>
      </c>
      <c r="AH118" s="170">
        <f>IF(AG118=0,"",IFERROR(AG118/AG$19,""))</f>
        <v>-4.3047076602969574E-2</v>
      </c>
      <c r="AI118" s="171">
        <f>IF(AND($AA118="",AG118=""),"",$AA118-AG118)</f>
        <v>104706.24000000001</v>
      </c>
      <c r="AJ118" s="477">
        <f>IFERROR(AA118/AA$20,0)</f>
        <v>11.700436149849605</v>
      </c>
      <c r="AK118" s="478">
        <f>IFERROR(AD118/AD$20,0)</f>
        <v>11.847661878178062</v>
      </c>
      <c r="AL118" s="479">
        <f>IFERROR(AG118/AG$20,0)</f>
        <v>-0.8304428044280443</v>
      </c>
      <c r="AM118" s="480" t="str">
        <f>+IFERROR(ROUND(($AB118-AE118)*100,2)&amp;" pts.",0)</f>
        <v>7.52 pts.</v>
      </c>
      <c r="AN118" s="557" t="str">
        <f>+IFERROR(ROUND(($AB118-AH118)*100,2)&amp;" pts.",0)</f>
        <v>52.36 pts.</v>
      </c>
      <c r="AO118" s="11"/>
    </row>
    <row r="119" spans="1:41" ht="15" thickTop="1" x14ac:dyDescent="0.3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IF(_epmOfflineCondition_,"'VenueBar'!$A$125:$B$146",_xll.EVRNG($A$125:$B$146))</f>
        <v>'VenueBar'!$A$125:$B$146</v>
      </c>
      <c r="C120" s="11"/>
      <c r="D120" s="11"/>
      <c r="E120" s="11"/>
      <c r="F120" s="11"/>
      <c r="G120" s="11"/>
      <c r="H120" s="11"/>
      <c r="I120" s="59"/>
      <c r="J120" s="59"/>
      <c r="K120" s="11"/>
      <c r="L120" s="11"/>
      <c r="M120" s="11"/>
      <c r="N120" s="104" t="str">
        <f>N117&amp;" - Check"</f>
        <v>Total Expenses - Check</v>
      </c>
      <c r="O120" s="209">
        <f t="shared" ref="O120:AA120" si="46">SUMIF($H$35:$H$118,"600000",O$35:O$118)+SUMIF($H$35:$H$118,"700000",O$35:O$118)-SUMIF($H$35:$H$118,"TOTDEPTEXP",O$35:O$118)</f>
        <v>0</v>
      </c>
      <c r="P120" s="209">
        <f t="shared" si="46"/>
        <v>0</v>
      </c>
      <c r="Q120" s="209">
        <f t="shared" si="46"/>
        <v>0</v>
      </c>
      <c r="R120" s="209">
        <f t="shared" si="46"/>
        <v>0</v>
      </c>
      <c r="S120" s="209">
        <f t="shared" si="46"/>
        <v>0</v>
      </c>
      <c r="T120" s="209">
        <f t="shared" si="46"/>
        <v>0</v>
      </c>
      <c r="U120" s="209">
        <f t="shared" si="46"/>
        <v>0</v>
      </c>
      <c r="V120" s="209">
        <f t="shared" si="46"/>
        <v>0</v>
      </c>
      <c r="W120" s="209">
        <f t="shared" si="46"/>
        <v>0</v>
      </c>
      <c r="X120" s="209">
        <f t="shared" si="46"/>
        <v>0</v>
      </c>
      <c r="Y120" s="209">
        <f t="shared" si="46"/>
        <v>0</v>
      </c>
      <c r="Z120" s="209">
        <f t="shared" si="46"/>
        <v>0</v>
      </c>
      <c r="AA120" s="209">
        <f t="shared" si="46"/>
        <v>0</v>
      </c>
      <c r="AB120" s="100"/>
      <c r="AC120" s="11"/>
      <c r="AD120" s="209">
        <f>SUMIF($H$35:$H$118,"600000",AD$35:AD$118)+SUMIF($H$35:$H$118,"700000",AD$35:AD$118)-SUMIF($H$35:$H$118,"TOTDEPTEXP",AD$35:AD$118)</f>
        <v>0</v>
      </c>
      <c r="AE120" s="100"/>
      <c r="AF120" s="91"/>
      <c r="AG120" s="209">
        <f>SUMIF($H$35:$H$118,"600000",AG$35:AG$118)+SUMIF($H$35:$H$118,"700000",AG$35:AG$118)-SUMIF($H$35:$H$118,"TOTDEPTEXP",AG$35:AG$118)</f>
        <v>0</v>
      </c>
      <c r="AH120" s="100"/>
      <c r="AI120" s="9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04" t="str">
        <f>N118&amp;" - Check"</f>
        <v>Department Profit (Loss) - Check</v>
      </c>
      <c r="O121" s="209">
        <f t="shared" ref="O121:AA121" si="47">SUMIF($H$35:$H$118,"KPI_GP",O$35:O$118)-SUMIF($H$35:$H$118,"TOTDEPTEXP",O$35:O$118)-SUMIF($H$35:$H$118,"TOTDEPTPL",O$35:O$118)</f>
        <v>0</v>
      </c>
      <c r="P121" s="209">
        <f t="shared" si="47"/>
        <v>0</v>
      </c>
      <c r="Q121" s="209">
        <f t="shared" si="47"/>
        <v>0</v>
      </c>
      <c r="R121" s="209">
        <f t="shared" si="47"/>
        <v>0</v>
      </c>
      <c r="S121" s="209">
        <f t="shared" si="47"/>
        <v>0</v>
      </c>
      <c r="T121" s="209">
        <f t="shared" si="47"/>
        <v>0</v>
      </c>
      <c r="U121" s="209">
        <f t="shared" si="47"/>
        <v>0</v>
      </c>
      <c r="V121" s="209">
        <f t="shared" si="47"/>
        <v>0</v>
      </c>
      <c r="W121" s="209">
        <f t="shared" si="47"/>
        <v>0</v>
      </c>
      <c r="X121" s="209">
        <f t="shared" si="47"/>
        <v>2.5011104298755527E-12</v>
      </c>
      <c r="Y121" s="209">
        <f t="shared" si="47"/>
        <v>0</v>
      </c>
      <c r="Z121" s="209">
        <f t="shared" si="47"/>
        <v>0</v>
      </c>
      <c r="AA121" s="209">
        <f t="shared" si="47"/>
        <v>0</v>
      </c>
      <c r="AB121" s="100"/>
      <c r="AC121" s="11"/>
      <c r="AD121" s="209">
        <f>SUMIF($H$35:$H$118,"KPI_GP",AD$35:AD$118)-SUMIF($H$35:$H$118,"TOTDEPTEXP",AD$35:AD$118)-SUMIF($H$35:$H$118,"TOTDEPTPL",AD$35:AD$118)</f>
        <v>0</v>
      </c>
      <c r="AE121" s="100"/>
      <c r="AF121" s="91"/>
      <c r="AG121" s="209">
        <f>SUMIF($H$35:$H$118,"KPI_GP",AG$35:AG$118)-SUMIF($H$35:$H$118,"TOTDEPTEXP",AG$35:AG$118)-SUMIF($H$35:$H$118,"TOTDEPTPL",AG$35:AG$118)</f>
        <v>0</v>
      </c>
      <c r="AH121" s="100"/>
      <c r="AI121" s="9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37"/>
      <c r="P123" s="137"/>
      <c r="Q123" s="137"/>
      <c r="R123" s="137"/>
      <c r="S123" s="137"/>
      <c r="T123" s="137"/>
      <c r="U123" s="137"/>
      <c r="V123" s="137"/>
      <c r="W123" s="137"/>
      <c r="X123" s="137"/>
      <c r="Y123" s="137"/>
      <c r="Z123" s="137"/>
      <c r="AA123" s="137"/>
      <c r="AB123" s="11"/>
      <c r="AC123" s="11"/>
      <c r="AD123" s="137"/>
      <c r="AE123" s="11"/>
      <c r="AF123" s="11"/>
      <c r="AG123" s="137"/>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37"/>
      <c r="P125" s="137"/>
      <c r="Q125" s="137"/>
      <c r="R125" s="137"/>
      <c r="S125" s="137"/>
      <c r="T125" s="137"/>
      <c r="U125" s="137"/>
      <c r="V125" s="137"/>
      <c r="W125" s="137"/>
      <c r="X125" s="137"/>
      <c r="Y125" s="137"/>
      <c r="Z125" s="137"/>
      <c r="AA125" s="137"/>
      <c r="AB125" s="11"/>
      <c r="AC125" s="11"/>
      <c r="AD125" s="137"/>
      <c r="AE125" s="11"/>
      <c r="AF125" s="11"/>
      <c r="AG125" s="137"/>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59"/>
      <c r="I142" s="59"/>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59"/>
      <c r="I143" s="59"/>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59"/>
      <c r="I144" s="59"/>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59"/>
      <c r="I145" s="59"/>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59"/>
      <c r="I146" s="59"/>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59"/>
      <c r="I147" s="59"/>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59"/>
      <c r="I148" s="59"/>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59"/>
      <c r="I149" s="59"/>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59"/>
      <c r="I150" s="59"/>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267"/>
      <c r="J191" s="11"/>
      <c r="K191" s="267"/>
      <c r="L191" s="267"/>
      <c r="M191" s="267"/>
      <c r="N191" s="11"/>
      <c r="O191" s="267"/>
      <c r="P191" s="267"/>
      <c r="Q191" s="267"/>
      <c r="R191" s="267"/>
      <c r="S191" s="267"/>
      <c r="T191" s="267"/>
      <c r="U191" s="267"/>
      <c r="V191" s="267"/>
      <c r="W191" s="267"/>
      <c r="X191" s="267"/>
      <c r="Y191" s="267"/>
      <c r="Z191" s="267"/>
      <c r="AA191" s="267"/>
      <c r="AB191" s="11"/>
      <c r="AC191" s="11"/>
      <c r="AD191" s="267"/>
      <c r="AE191" s="11"/>
      <c r="AF191" s="267"/>
      <c r="AG191" s="11"/>
      <c r="AH191" s="267"/>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row r="195" spans="1:41" x14ac:dyDescent="0.35">
      <c r="A195" s="11"/>
      <c r="B195" s="11"/>
      <c r="C195" s="11"/>
      <c r="D195" s="11"/>
      <c r="E195" s="11"/>
      <c r="F195" s="11"/>
      <c r="G195" s="11"/>
      <c r="H195" s="11"/>
      <c r="I195" s="267"/>
      <c r="J195" s="11"/>
      <c r="K195" s="267"/>
      <c r="L195" s="267"/>
      <c r="M195" s="267"/>
      <c r="N195" s="11"/>
      <c r="O195" s="267"/>
      <c r="P195" s="267"/>
      <c r="Q195" s="267"/>
      <c r="R195" s="267"/>
      <c r="S195" s="267"/>
      <c r="T195" s="267"/>
      <c r="U195" s="267"/>
      <c r="V195" s="267"/>
      <c r="W195" s="267"/>
      <c r="X195" s="267"/>
      <c r="Y195" s="267"/>
      <c r="Z195" s="267"/>
      <c r="AA195" s="267"/>
      <c r="AB195" s="11"/>
      <c r="AC195" s="11"/>
      <c r="AD195" s="267"/>
      <c r="AE195" s="11"/>
      <c r="AF195" s="267"/>
      <c r="AG195" s="11"/>
      <c r="AH195" s="267"/>
      <c r="AI195" s="11"/>
      <c r="AJ195" s="11"/>
      <c r="AK195" s="11"/>
      <c r="AL195" s="11"/>
      <c r="AM195" s="11"/>
      <c r="AN195" s="11"/>
      <c r="AO195" s="11"/>
    </row>
  </sheetData>
  <sheetProtection algorithmName="SHA-512" hashValue="frnCq7dv7BLyj52g4B6Z/p+sCftYO8Gp4/vcqG3MBoHzHroIbmEFna1o+3rICNjxxn99xiXOSXRiaeJhpbRY6A==" saltValue="ZctTzl7YchAeemTqWY7/aA==" spinCount="100000" sheet="1" scenarios="1"/>
  <mergeCells count="2">
    <mergeCell ref="AD31:AE31"/>
    <mergeCell ref="AG31:AH31"/>
  </mergeCells>
  <dataValidations disablePrompts="1" count="2">
    <dataValidation type="list" allowBlank="1" sqref="B29 B62 B95" xr:uid="{00000000-0002-0000-1300-000000000000}">
      <formula1>"SELF,ALL,BAS,DEP,BASMEMBERS,MEMBERS,NOEXPAND,GDEP"</formula1>
    </dataValidation>
    <dataValidation type="list" allowBlank="1" sqref="B28 B61 B94" xr:uid="{00000000-0002-0000-13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9">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t="str">
        <f>VenueBar!N1</f>
        <v>Minnow Bar</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734</v>
      </c>
      <c r="C6" s="11" t="str">
        <f>IF(_epmOfflineCondition_,"Venue (Bar)",_xll.EVDES(B6,$B$1))</f>
        <v>Venue (Bar)</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IF(_epmOfflineCondition_,"'VenueBar_KPI'!$B$2:$B$10",_xll.EVRNG($B$2:$B$10))</f>
        <v>'VenueBar_KPI'!$B$2:$B$10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IF(_epmOfflineCondition_,"'VenueBar_KPI'!$O$16:$AI$18",_xll.EVRNG(O16:AI18))</f>
        <v>'VenueBar_KPI'!$O$16:$AI$18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IF(_epmOfflineCondition_,"'VenueBar_KPI'!$H$35:$H$146",_xll.EVRNG(H35:H146))</f>
        <v>'VenueBar_KPI'!$H$35:$H$146</v>
      </c>
      <c r="C19" s="11"/>
      <c r="D19" s="11"/>
      <c r="E19" s="11"/>
      <c r="F19" s="11"/>
      <c r="G19" s="67" t="str">
        <f>$B$6</f>
        <v>D2146</v>
      </c>
      <c r="H19" s="67" t="s">
        <v>273</v>
      </c>
      <c r="I19" s="68"/>
      <c r="J19" s="68"/>
      <c r="K19" s="67"/>
      <c r="L19" s="67"/>
      <c r="M19" s="67"/>
      <c r="N19" s="67" t="str">
        <f>IF(_epmOfflineCondition_,"Total Food &amp; Beverage Revenue",_xll.EVDES(H19))</f>
        <v>Total Food &amp; Beverage Revenue</v>
      </c>
      <c r="O19" s="69">
        <f>IF(_epmOfflineCondition_,29741.25,_xll.EVGTS($B$1,1,$B$3,$B$5,$B$7,$B$9,O$16,O$17,O$18,$G$19,$H$19))</f>
        <v>29741.25</v>
      </c>
      <c r="P19" s="69">
        <f>IF(_epmOfflineCondition_,37911.54,_xll.EVGTS($B$1,1,$B$3,$B$5,$B$7,$B$9,P$16,P$17,P$18,$G$19,$H$19))</f>
        <v>37911.54</v>
      </c>
      <c r="Q19" s="69">
        <f>IF(_epmOfflineCondition_,14213.9,_xll.EVGTS($B$1,1,$B$3,$B$5,$B$7,$B$9,Q$16,Q$17,Q$18,$G$19,$H$19))</f>
        <v>14213.9</v>
      </c>
      <c r="R19" s="69">
        <f>IF(_epmOfflineCondition_,0,_xll.EVGTS($B$1,1,$B$3,$B$5,$B$7,$B$9,R$16,R$17,R$18,$G$19,$H$19))</f>
        <v>0</v>
      </c>
      <c r="S19" s="69">
        <f>IF(_epmOfflineCondition_,0,_xll.EVGTS($B$1,1,$B$3,$B$5,$B$7,$B$9,S$16,S$17,S$18,$G$19,$H$19))</f>
        <v>0</v>
      </c>
      <c r="T19" s="69">
        <f>IF(_epmOfflineCondition_,0,_xll.EVGTS($B$1,1,$B$3,$B$5,$B$7,$B$9,T$16,T$17,T$18,$G$19,$H$19))</f>
        <v>0</v>
      </c>
      <c r="U19" s="69">
        <f>IF(_epmOfflineCondition_,3445,_xll.EVGTS($B$1,1,$B$3,$B$5,$B$7,$B$9,U$16,U$17,U$18,$G$19,$H$19))</f>
        <v>3445</v>
      </c>
      <c r="V19" s="69">
        <f>IF(_epmOfflineCondition_,5252,_xll.EVGTS($B$1,1,$B$3,$B$5,$B$7,$B$9,V$16,V$17,V$18,$G$19,$H$19))</f>
        <v>5252</v>
      </c>
      <c r="W19" s="69">
        <f>IF(_epmOfflineCondition_,9445.8,_xll.EVGTS($B$1,1,$B$3,$B$5,$B$7,$B$9,W$16,W$17,W$18,$G$19,$H$19))</f>
        <v>9445.7999999999993</v>
      </c>
      <c r="X19" s="69">
        <f>IF(_epmOfflineCondition_,16920.86,_xll.EVGTS($B$1,1,$B$3,$B$5,$B$7,$B$9,X$16,X$17,X$18,$G$19,$H$19))</f>
        <v>16920.86</v>
      </c>
      <c r="Y19" s="69">
        <f>IF(_epmOfflineCondition_,12783.29,_xll.EVGTS($B$1,1,$B$3,$B$5,$B$7,$B$9,Y$16,Y$17,Y$18,$G$19,$H$19))</f>
        <v>12783.29</v>
      </c>
      <c r="Z19" s="69">
        <f>IF(_epmOfflineCondition_,20032.7,_xll.EVGTS($B$1,1,$B$3,$B$5,$B$7,$B$9,Z$16,Z$17,Z$18,$G$19,$H$19))</f>
        <v>20032.7</v>
      </c>
      <c r="AA19" s="69">
        <f>SUM(O19:Z19)</f>
        <v>149746.34000000003</v>
      </c>
      <c r="AB19" s="67"/>
      <c r="AC19" s="67"/>
      <c r="AD19" s="69">
        <f>IF(_epmOfflineCondition_,420241.2,_xll.EVGTS($B$1,1,$B$3,$B$5,$B$7,$B$9,AD$16,AD$17,AD$18,$G$19,$H$19))</f>
        <v>420241.2</v>
      </c>
      <c r="AE19" s="67"/>
      <c r="AF19" s="67"/>
      <c r="AG19" s="69">
        <f>IF(_epmOfflineCondition_,373446.53,_xll.EVGTS($B$1,1,$B$3,$B$5,$B$7,$B$9,AG$16,AG$17,AG$18,$G$19,$H$19))</f>
        <v>373446.53</v>
      </c>
      <c r="AH19" s="67"/>
      <c r="AI19" s="67"/>
    </row>
    <row r="20" spans="1:35" hidden="1" outlineLevel="1" x14ac:dyDescent="0.35">
      <c r="A20" s="65" t="s">
        <v>5</v>
      </c>
      <c r="B20" s="66"/>
      <c r="C20" s="11"/>
      <c r="D20" s="11"/>
      <c r="E20" s="11"/>
      <c r="F20" s="11"/>
      <c r="G20" s="67" t="str">
        <f>$B$6</f>
        <v>D2146</v>
      </c>
      <c r="H20" s="67">
        <v>946000</v>
      </c>
      <c r="I20" s="68"/>
      <c r="J20" s="68"/>
      <c r="K20" s="67"/>
      <c r="L20" s="67"/>
      <c r="M20" s="67"/>
      <c r="N20" s="67" t="str">
        <f>IF(_epmOfflineCondition_,"Total Customers",_xll.EVDES(H20))</f>
        <v>Total Customers</v>
      </c>
      <c r="O20" s="69">
        <f>IF(_epmOfflineCondition_,1325,_xll.EVGTS($B$1,1,$B$3,$B$5,$B$7,$B$9,O$16,O$17,O$18,$G$20,$H$20))</f>
        <v>1325</v>
      </c>
      <c r="P20" s="69">
        <f>IF(_epmOfflineCondition_,1724,_xll.EVGTS($B$1,1,$B$3,$B$5,$B$7,$B$9,P$16,P$17,P$18,$G$20,$H$20))</f>
        <v>1724</v>
      </c>
      <c r="Q20" s="69">
        <f>IF(_epmOfflineCondition_,700,_xll.EVGTS($B$1,1,$B$3,$B$5,$B$7,$B$9,Q$16,Q$17,Q$18,$G$20,$H$20))</f>
        <v>700</v>
      </c>
      <c r="R20" s="69">
        <f>IF(_epmOfflineCondition_,0,_xll.EVGTS($B$1,1,$B$3,$B$5,$B$7,$B$9,R$16,R$17,R$18,$G$20,$H$20))</f>
        <v>0</v>
      </c>
      <c r="S20" s="69">
        <f>IF(_epmOfflineCondition_,0,_xll.EVGTS($B$1,1,$B$3,$B$5,$B$7,$B$9,S$16,S$17,S$18,$G$20,$H$20))</f>
        <v>0</v>
      </c>
      <c r="T20" s="69">
        <f>IF(_epmOfflineCondition_,0,_xll.EVGTS($B$1,1,$B$3,$B$5,$B$7,$B$9,T$16,T$17,T$18,$G$20,$H$20))</f>
        <v>0</v>
      </c>
      <c r="U20" s="69">
        <f>IF(_epmOfflineCondition_,191,_xll.EVGTS($B$1,1,$B$3,$B$5,$B$7,$B$9,U$16,U$17,U$18,$G$20,$H$20))</f>
        <v>191</v>
      </c>
      <c r="V20" s="69">
        <f>IF(_epmOfflineCondition_,269,_xll.EVGTS($B$1,1,$B$3,$B$5,$B$7,$B$9,V$16,V$17,V$18,$G$20,$H$20))</f>
        <v>269</v>
      </c>
      <c r="W20" s="69">
        <f>IF(_epmOfflineCondition_,269,_xll.EVGTS($B$1,1,$B$3,$B$5,$B$7,$B$9,W$16,W$17,W$18,$G$20,$H$20))</f>
        <v>269</v>
      </c>
      <c r="X20" s="69">
        <f>IF(_epmOfflineCondition_,951,_xll.EVGTS($B$1,1,$B$3,$B$5,$B$7,$B$9,X$16,X$17,X$18,$G$20,$H$20))</f>
        <v>951</v>
      </c>
      <c r="Y20" s="69">
        <f>IF(_epmOfflineCondition_,803,_xll.EVGTS($B$1,1,$B$3,$B$5,$B$7,$B$9,Y$16,Y$17,Y$18,$G$20,$H$20))</f>
        <v>803</v>
      </c>
      <c r="Z20" s="69">
        <f>IF(_epmOfflineCondition_,1082,_xll.EVGTS($B$1,1,$B$3,$B$5,$B$7,$B$9,Z$16,Z$17,Z$18,$G$20,$H$20))</f>
        <v>1082</v>
      </c>
      <c r="AA20" s="69">
        <f>SUM(O20:Z20)</f>
        <v>7314</v>
      </c>
      <c r="AB20" s="67"/>
      <c r="AC20" s="67"/>
      <c r="AD20" s="69">
        <f>IF(_epmOfflineCondition_,16966,_xll.EVGTS($B$1,1,$B$3,$B$5,$B$7,$B$9,AD$16,AD$17,AD$18,$G$20,$H$20))</f>
        <v>16966</v>
      </c>
      <c r="AE20" s="67"/>
      <c r="AF20" s="67"/>
      <c r="AG20" s="69">
        <f>IF(_epmOfflineCondition_,23035,_xll.EVGTS($B$1,1,$B$3,$B$5,$B$7,$B$9,AG$16,AG$17,AG$18,$G$20,$H$20))</f>
        <v>23035</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IF(_epmOfflineCondition_,"'VenueBar_KPI'!$A$37:$B$58",_xll.EVRNG($A$37:$B$58))</f>
        <v>'VenueBar_KPI'!$A$37:$B$58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IF(_epmOfflineCondition_,"Minnow Bar",IF($N$1="",IF(_xll.EVDES(B6,$B$1)="#NODATA","",_xll.EVDES(B6,$B$1)&amp;" Department"),$N$1))</f>
        <v>Minnow Bar</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v>477</v>
      </c>
      <c r="V35" s="143">
        <v>1075</v>
      </c>
      <c r="W35" s="143">
        <v>1509.5</v>
      </c>
      <c r="X35" s="143">
        <v>1573.85</v>
      </c>
      <c r="Y35" s="143">
        <v>1173.5</v>
      </c>
      <c r="Z35" s="143">
        <v>1216</v>
      </c>
      <c r="AA35" s="143">
        <f t="shared" ref="AA35:AA41" si="0">SUM(O35:Z35)</f>
        <v>7024.85</v>
      </c>
      <c r="AB35" s="144">
        <f>IF(AA35=0,"",IFERROR(AA35/AA$19,""))</f>
        <v>4.6911664084744904E-2</v>
      </c>
      <c r="AC35" s="140"/>
      <c r="AD35" s="143"/>
      <c r="AE35" s="144" t="str">
        <f>IF(AD35=0,"",IFERROR(AD35/AD$19,""))</f>
        <v/>
      </c>
      <c r="AF35" s="145">
        <f t="shared" ref="AF35:AF42" si="1">IF(AND($AA35="",AD35=""),"",$AA35-AD35)</f>
        <v>7024.85</v>
      </c>
      <c r="AG35" s="143">
        <v>121866.36</v>
      </c>
      <c r="AH35" s="144">
        <f>IF(AG35=0,"",IFERROR(AG35/AG$19,""))</f>
        <v>0.32632880535802539</v>
      </c>
      <c r="AI35" s="145">
        <f t="shared" ref="AI35:AI42" si="2">IF(AND($AA35="",AG35=""),"",$AA35-AG35)</f>
        <v>-114841.51</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v>25</v>
      </c>
      <c r="W36" s="143">
        <v>204</v>
      </c>
      <c r="X36" s="143">
        <v>91</v>
      </c>
      <c r="Y36" s="143">
        <v>157</v>
      </c>
      <c r="Z36" s="143">
        <v>156</v>
      </c>
      <c r="AA36" s="143">
        <f t="shared" si="0"/>
        <v>633</v>
      </c>
      <c r="AB36" s="144">
        <f>IF(AA36=0,"",IFERROR(AA36/AA$19,""))</f>
        <v>4.2271483897369372E-3</v>
      </c>
      <c r="AC36" s="140"/>
      <c r="AD36" s="143"/>
      <c r="AE36" s="144" t="str">
        <f>IF(AD36=0,"",IFERROR(AD36/AD$19,""))</f>
        <v/>
      </c>
      <c r="AF36" s="145">
        <f t="shared" si="1"/>
        <v>633</v>
      </c>
      <c r="AG36" s="143">
        <v>2390</v>
      </c>
      <c r="AH36" s="144">
        <f>IF(AG36=0,"",IFERROR(AG36/AG$19,""))</f>
        <v>6.3998452469219615E-3</v>
      </c>
      <c r="AI36" s="145">
        <f t="shared" si="2"/>
        <v>-1757</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v>28</v>
      </c>
      <c r="V37" s="143"/>
      <c r="W37" s="143"/>
      <c r="X37" s="143"/>
      <c r="Y37" s="143"/>
      <c r="Z37" s="143">
        <v>7</v>
      </c>
      <c r="AA37" s="143">
        <f t="shared" si="0"/>
        <v>35</v>
      </c>
      <c r="AB37" s="144">
        <f>IF(AA37=0,"",IFERROR(AA37/AA$19,""))</f>
        <v>2.3372858395069953E-4</v>
      </c>
      <c r="AC37" s="140"/>
      <c r="AD37" s="143"/>
      <c r="AE37" s="144" t="str">
        <f>IF(AD37=0,"",IFERROR(AD37/AD$19,""))</f>
        <v/>
      </c>
      <c r="AF37" s="145">
        <f t="shared" si="1"/>
        <v>35</v>
      </c>
      <c r="AG37" s="143">
        <v>332</v>
      </c>
      <c r="AH37" s="144">
        <f>IF(AG37=0,"",IFERROR(AG37/AG$19,""))</f>
        <v>8.890161598234692E-4</v>
      </c>
      <c r="AI37" s="145">
        <f t="shared" si="2"/>
        <v>-297</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v>14</v>
      </c>
      <c r="V38" s="217"/>
      <c r="W38" s="217">
        <v>20</v>
      </c>
      <c r="X38" s="217">
        <v>206</v>
      </c>
      <c r="Y38" s="217">
        <v>64</v>
      </c>
      <c r="Z38" s="217">
        <v>44</v>
      </c>
      <c r="AA38" s="217">
        <f t="shared" si="0"/>
        <v>348</v>
      </c>
      <c r="AB38" s="219">
        <f>IF(AA38=0,"",IFERROR(AA38/AA$19,""))</f>
        <v>2.3239299204240982E-3</v>
      </c>
      <c r="AC38" s="140"/>
      <c r="AD38" s="217"/>
      <c r="AE38" s="219" t="str">
        <f>IF(AD38=0,"",IFERROR(AD38/AD$19,""))</f>
        <v/>
      </c>
      <c r="AF38" s="220">
        <f t="shared" si="1"/>
        <v>348</v>
      </c>
      <c r="AG38" s="217">
        <v>136</v>
      </c>
      <c r="AH38" s="219">
        <f>IF(AG38=0,"",IFERROR(AG38/AG$19,""))</f>
        <v>3.6417529438551748E-4</v>
      </c>
      <c r="AI38" s="220">
        <f t="shared" si="2"/>
        <v>212</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v>519</v>
      </c>
      <c r="V39" s="166">
        <v>1100</v>
      </c>
      <c r="W39" s="166">
        <v>1733.5</v>
      </c>
      <c r="X39" s="166">
        <v>1870.85</v>
      </c>
      <c r="Y39" s="166">
        <v>1394.5</v>
      </c>
      <c r="Z39" s="166">
        <v>1423</v>
      </c>
      <c r="AA39" s="166">
        <f t="shared" si="0"/>
        <v>8040.85</v>
      </c>
      <c r="AB39" s="167">
        <f>IF(AA39=0,"",IFERROR(AA39/AA$19,""))</f>
        <v>5.3696470978856638E-2</v>
      </c>
      <c r="AC39" s="140"/>
      <c r="AD39" s="166"/>
      <c r="AE39" s="167" t="str">
        <f>IF(AD39=0,"",IFERROR(AD39/AD$19,""))</f>
        <v/>
      </c>
      <c r="AF39" s="168">
        <f t="shared" si="1"/>
        <v>8040.85</v>
      </c>
      <c r="AG39" s="166">
        <v>124724.36</v>
      </c>
      <c r="AH39" s="167">
        <f>IF(AG39=0,"",IFERROR(AG39/AG$19,""))</f>
        <v>0.33398184205915632</v>
      </c>
      <c r="AI39" s="168">
        <f t="shared" si="2"/>
        <v>-116683.51</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v>13</v>
      </c>
      <c r="V40" s="210">
        <v>14</v>
      </c>
      <c r="W40" s="210">
        <v>14</v>
      </c>
      <c r="X40" s="210"/>
      <c r="Y40" s="210"/>
      <c r="Z40" s="210">
        <v>11</v>
      </c>
      <c r="AA40" s="210">
        <f t="shared" si="0"/>
        <v>52</v>
      </c>
      <c r="AB40" s="211"/>
      <c r="AC40" s="140"/>
      <c r="AD40" s="210"/>
      <c r="AE40" s="211"/>
      <c r="AF40" s="253">
        <f t="shared" si="1"/>
        <v>52</v>
      </c>
      <c r="AG40" s="210">
        <v>273</v>
      </c>
      <c r="AH40" s="211"/>
      <c r="AI40" s="253">
        <f t="shared" si="2"/>
        <v>-221</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v>39</v>
      </c>
      <c r="V41" s="210">
        <v>66</v>
      </c>
      <c r="W41" s="210">
        <v>66</v>
      </c>
      <c r="X41" s="210">
        <v>121</v>
      </c>
      <c r="Y41" s="210">
        <v>99</v>
      </c>
      <c r="Z41" s="210">
        <v>65</v>
      </c>
      <c r="AA41" s="210">
        <f t="shared" si="0"/>
        <v>456</v>
      </c>
      <c r="AB41" s="211">
        <f>IF(AA41=0,"",IFERROR(AA41/AA$87,""))</f>
        <v>6.2346185397867106E-2</v>
      </c>
      <c r="AC41" s="140"/>
      <c r="AD41" s="210"/>
      <c r="AE41" s="211" t="str">
        <f>IF(AD41=0,"",IFERROR(AD41/AD$87,""))</f>
        <v/>
      </c>
      <c r="AF41" s="253">
        <f t="shared" si="1"/>
        <v>456</v>
      </c>
      <c r="AG41" s="210">
        <v>8378</v>
      </c>
      <c r="AH41" s="211">
        <f>IF(AG41=0,"",IFERROR(AG41/AG$87,""))</f>
        <v>0.36370740177990013</v>
      </c>
      <c r="AI41" s="253">
        <f t="shared" si="2"/>
        <v>-7922</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v>13.307692307692299</v>
      </c>
      <c r="V42" s="495">
        <v>16.6666666666667</v>
      </c>
      <c r="W42" s="495">
        <v>26.265151515151501</v>
      </c>
      <c r="X42" s="495">
        <v>15.461570247933899</v>
      </c>
      <c r="Y42" s="495">
        <v>14.085858585858601</v>
      </c>
      <c r="Z42" s="495">
        <v>21.8923076923077</v>
      </c>
      <c r="AA42" s="495">
        <f>IFERROR(AA39/AA41,"")</f>
        <v>17.633442982456142</v>
      </c>
      <c r="AB42" s="495"/>
      <c r="AC42" s="140"/>
      <c r="AD42" s="495"/>
      <c r="AE42" s="495"/>
      <c r="AF42" s="496">
        <f t="shared" si="1"/>
        <v>17.633442982456142</v>
      </c>
      <c r="AG42" s="495">
        <v>14.887128192886101</v>
      </c>
      <c r="AH42" s="495"/>
      <c r="AI42" s="496">
        <f t="shared" si="2"/>
        <v>2.7463147895700413</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13.31</v>
      </c>
      <c r="V43" s="498">
        <f t="shared" si="3"/>
        <v>16.670000000000002</v>
      </c>
      <c r="W43" s="498">
        <f t="shared" si="3"/>
        <v>26.27</v>
      </c>
      <c r="X43" s="498">
        <f t="shared" si="3"/>
        <v>15.46</v>
      </c>
      <c r="Y43" s="498">
        <f t="shared" si="3"/>
        <v>14.09</v>
      </c>
      <c r="Z43" s="498">
        <f t="shared" si="3"/>
        <v>21.89</v>
      </c>
      <c r="AA43" s="498">
        <f t="shared" si="3"/>
        <v>17.63</v>
      </c>
      <c r="AB43" s="499"/>
      <c r="AC43" s="140"/>
      <c r="AD43" s="497">
        <f>ROUND(IFERROR(AD39/AD41,0),2)</f>
        <v>0</v>
      </c>
      <c r="AE43" s="498"/>
      <c r="AF43" s="159"/>
      <c r="AG43" s="497">
        <f>ROUND(IFERROR(AG39/AG41,0),2)</f>
        <v>14.89</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v>932</v>
      </c>
      <c r="V45" s="143">
        <v>2994</v>
      </c>
      <c r="W45" s="143">
        <v>3805.02</v>
      </c>
      <c r="X45" s="143">
        <v>3632</v>
      </c>
      <c r="Y45" s="143">
        <v>3152.52</v>
      </c>
      <c r="Z45" s="143">
        <v>6655.5</v>
      </c>
      <c r="AA45" s="143">
        <f t="shared" ref="AA45:AA51" si="5">SUM(O45:Z45)</f>
        <v>21171.040000000001</v>
      </c>
      <c r="AB45" s="144">
        <f>IF(AA45=0,"",IFERROR(AA45/AA$19,""))</f>
        <v>0.14137934857038909</v>
      </c>
      <c r="AC45" s="140"/>
      <c r="AD45" s="143"/>
      <c r="AE45" s="144" t="str">
        <f>IF(AD45=0,"",IFERROR(AD45/AD$19,""))</f>
        <v/>
      </c>
      <c r="AF45" s="145">
        <f t="shared" ref="AF45:AF52" si="6">IF(AND($AA45="",AD45=""),"",$AA45-AD45)</f>
        <v>21171.040000000001</v>
      </c>
      <c r="AG45" s="143"/>
      <c r="AH45" s="144" t="str">
        <f>IF(AG45=0,"",IFERROR(AG45/AG$19,""))</f>
        <v/>
      </c>
      <c r="AI45" s="145">
        <f t="shared" ref="AI45:AI52" si="7">IF(AND($AA45="",AG45=""),"",$AA45-AG45)</f>
        <v>21171.040000000001</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v>887</v>
      </c>
      <c r="V46" s="143">
        <v>316</v>
      </c>
      <c r="W46" s="143">
        <v>2531.2800000000002</v>
      </c>
      <c r="X46" s="143">
        <v>3684.72</v>
      </c>
      <c r="Y46" s="143">
        <v>4192</v>
      </c>
      <c r="Z46" s="143">
        <v>4647</v>
      </c>
      <c r="AA46" s="143">
        <f t="shared" si="5"/>
        <v>16258</v>
      </c>
      <c r="AB46" s="144">
        <f>IF(AA46=0,"",IFERROR(AA46/AA$19,""))</f>
        <v>0.10857026622487065</v>
      </c>
      <c r="AC46" s="140"/>
      <c r="AD46" s="143"/>
      <c r="AE46" s="144" t="str">
        <f>IF(AD46=0,"",IFERROR(AD46/AD$19,""))</f>
        <v/>
      </c>
      <c r="AF46" s="145">
        <f t="shared" si="6"/>
        <v>16258</v>
      </c>
      <c r="AG46" s="143"/>
      <c r="AH46" s="144" t="str">
        <f>IF(AG46=0,"",IFERROR(AG46/AG$19,""))</f>
        <v/>
      </c>
      <c r="AI46" s="145">
        <f t="shared" si="7"/>
        <v>16258</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v>262</v>
      </c>
      <c r="V47" s="143">
        <v>396</v>
      </c>
      <c r="W47" s="143">
        <v>404</v>
      </c>
      <c r="X47" s="143">
        <v>309</v>
      </c>
      <c r="Y47" s="143">
        <v>279</v>
      </c>
      <c r="Z47" s="143">
        <v>695</v>
      </c>
      <c r="AA47" s="143">
        <f t="shared" si="5"/>
        <v>2345</v>
      </c>
      <c r="AB47" s="144">
        <f>IF(AA47=0,"",IFERROR(AA47/AA$19,""))</f>
        <v>1.5659815124696868E-2</v>
      </c>
      <c r="AC47" s="140"/>
      <c r="AD47" s="143"/>
      <c r="AE47" s="144" t="str">
        <f>IF(AD47=0,"",IFERROR(AD47/AD$19,""))</f>
        <v/>
      </c>
      <c r="AF47" s="145">
        <f t="shared" si="6"/>
        <v>2345</v>
      </c>
      <c r="AG47" s="143"/>
      <c r="AH47" s="144" t="str">
        <f>IF(AG47=0,"",IFERROR(AG47/AG$19,""))</f>
        <v/>
      </c>
      <c r="AI47" s="145">
        <f t="shared" si="7"/>
        <v>2345</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v>42</v>
      </c>
      <c r="V48" s="217">
        <v>110</v>
      </c>
      <c r="W48" s="217">
        <v>254</v>
      </c>
      <c r="X48" s="217">
        <v>337</v>
      </c>
      <c r="Y48" s="217">
        <v>440</v>
      </c>
      <c r="Z48" s="217">
        <v>1001</v>
      </c>
      <c r="AA48" s="217">
        <f t="shared" si="5"/>
        <v>2184</v>
      </c>
      <c r="AB48" s="219">
        <f>IF(AA48=0,"",IFERROR(AA48/AA$19,""))</f>
        <v>1.458466363852365E-2</v>
      </c>
      <c r="AC48" s="140"/>
      <c r="AD48" s="217"/>
      <c r="AE48" s="219" t="str">
        <f>IF(AD48=0,"",IFERROR(AD48/AD$19,""))</f>
        <v/>
      </c>
      <c r="AF48" s="220">
        <f t="shared" si="6"/>
        <v>2184</v>
      </c>
      <c r="AG48" s="217"/>
      <c r="AH48" s="219" t="str">
        <f>IF(AG48=0,"",IFERROR(AG48/AG$19,""))</f>
        <v/>
      </c>
      <c r="AI48" s="220">
        <f t="shared" si="7"/>
        <v>2184</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v>2123</v>
      </c>
      <c r="V49" s="166">
        <v>3816</v>
      </c>
      <c r="W49" s="166">
        <v>6994.3</v>
      </c>
      <c r="X49" s="166">
        <v>7962.72</v>
      </c>
      <c r="Y49" s="166">
        <v>8063.52</v>
      </c>
      <c r="Z49" s="166">
        <v>12998.5</v>
      </c>
      <c r="AA49" s="166">
        <f t="shared" si="5"/>
        <v>41958.04</v>
      </c>
      <c r="AB49" s="167">
        <f>IF(AA49=0,"",IFERROR(AA49/AA$19,""))</f>
        <v>0.28019409355848024</v>
      </c>
      <c r="AC49" s="140"/>
      <c r="AD49" s="166"/>
      <c r="AE49" s="167" t="str">
        <f>IF(AD49=0,"",IFERROR(AD49/AD$19,""))</f>
        <v/>
      </c>
      <c r="AF49" s="168">
        <f t="shared" si="6"/>
        <v>41958.04</v>
      </c>
      <c r="AG49" s="166"/>
      <c r="AH49" s="167" t="str">
        <f>IF(AG49=0,"",IFERROR(AG49/AG$19,""))</f>
        <v/>
      </c>
      <c r="AI49" s="168">
        <f t="shared" si="7"/>
        <v>41958.04</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v>16</v>
      </c>
      <c r="V50" s="210">
        <v>16</v>
      </c>
      <c r="W50" s="210">
        <v>17</v>
      </c>
      <c r="X50" s="210"/>
      <c r="Y50" s="210"/>
      <c r="Z50" s="210">
        <v>23</v>
      </c>
      <c r="AA50" s="210">
        <f t="shared" si="5"/>
        <v>72</v>
      </c>
      <c r="AB50" s="211"/>
      <c r="AC50" s="140"/>
      <c r="AD50" s="210"/>
      <c r="AE50" s="211"/>
      <c r="AF50" s="253">
        <f t="shared" si="6"/>
        <v>72</v>
      </c>
      <c r="AG50" s="210"/>
      <c r="AH50" s="211"/>
      <c r="AI50" s="253">
        <f t="shared" si="7"/>
        <v>72</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v>114</v>
      </c>
      <c r="V51" s="210">
        <v>187</v>
      </c>
      <c r="W51" s="210">
        <v>187</v>
      </c>
      <c r="X51" s="210">
        <v>464</v>
      </c>
      <c r="Y51" s="210">
        <v>472</v>
      </c>
      <c r="Z51" s="210">
        <v>696</v>
      </c>
      <c r="AA51" s="210">
        <f t="shared" si="5"/>
        <v>2120</v>
      </c>
      <c r="AB51" s="211">
        <f>IF(AA51=0,"",IFERROR(AA51/AA$87,""))</f>
        <v>0.28985507246376813</v>
      </c>
      <c r="AC51" s="140"/>
      <c r="AD51" s="210"/>
      <c r="AE51" s="211" t="str">
        <f>IF(AD51=0,"",IFERROR(AD51/AD$87,""))</f>
        <v/>
      </c>
      <c r="AF51" s="253">
        <f t="shared" si="6"/>
        <v>2120</v>
      </c>
      <c r="AG51" s="210"/>
      <c r="AH51" s="211" t="str">
        <f>IF(AG51=0,"",IFERROR(AG51/AG$87,""))</f>
        <v/>
      </c>
      <c r="AI51" s="253">
        <f t="shared" si="7"/>
        <v>2120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v>18.622807017543899</v>
      </c>
      <c r="V52" s="495">
        <v>20.406417112299501</v>
      </c>
      <c r="W52" s="495">
        <v>37.402673796791397</v>
      </c>
      <c r="X52" s="495">
        <v>17.161034482758598</v>
      </c>
      <c r="Y52" s="495">
        <v>17.083728813559301</v>
      </c>
      <c r="Z52" s="495">
        <v>18.6760057471264</v>
      </c>
      <c r="AA52" s="495">
        <f>IFERROR(AA49/AA51,"")</f>
        <v>19.791528301886792</v>
      </c>
      <c r="AB52" s="495"/>
      <c r="AC52" s="140"/>
      <c r="AD52" s="495"/>
      <c r="AE52" s="495"/>
      <c r="AF52" s="496">
        <f t="shared" si="6"/>
        <v>19.791528301886792</v>
      </c>
      <c r="AG52" s="495"/>
      <c r="AH52" s="495"/>
      <c r="AI52" s="496">
        <f t="shared" si="7"/>
        <v>19.791528301886792</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18.62</v>
      </c>
      <c r="V53" s="498">
        <f t="shared" si="8"/>
        <v>20.41</v>
      </c>
      <c r="W53" s="498">
        <f t="shared" si="8"/>
        <v>37.4</v>
      </c>
      <c r="X53" s="498">
        <f t="shared" si="8"/>
        <v>17.16</v>
      </c>
      <c r="Y53" s="498">
        <f t="shared" si="8"/>
        <v>17.079999999999998</v>
      </c>
      <c r="Z53" s="498">
        <f t="shared" si="8"/>
        <v>18.68</v>
      </c>
      <c r="AA53" s="498">
        <f t="shared" si="8"/>
        <v>19.79</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v>187</v>
      </c>
      <c r="V55" s="143">
        <v>190</v>
      </c>
      <c r="W55" s="143">
        <v>239</v>
      </c>
      <c r="X55" s="143">
        <v>1479.01</v>
      </c>
      <c r="Y55" s="143">
        <v>205.5</v>
      </c>
      <c r="Z55" s="143"/>
      <c r="AA55" s="143">
        <f t="shared" ref="AA55:AA61" si="10">SUM(O55:Z55)</f>
        <v>2300.5100000000002</v>
      </c>
      <c r="AB55" s="144">
        <f>IF(AA55=0,"",IFERROR(AA55/AA$19,""))</f>
        <v>1.5362712704697823E-2</v>
      </c>
      <c r="AC55" s="140"/>
      <c r="AD55" s="143"/>
      <c r="AE55" s="144" t="str">
        <f>IF(AD55=0,"",IFERROR(AD55/AD$19,""))</f>
        <v/>
      </c>
      <c r="AF55" s="145">
        <f t="shared" ref="AF55:AF62" si="11">IF(AND($AA55="",AD55=""),"",$AA55-AD55)</f>
        <v>2300.5100000000002</v>
      </c>
      <c r="AG55" s="143"/>
      <c r="AH55" s="144" t="str">
        <f>IF(AG55=0,"",IFERROR(AG55/AG$19,""))</f>
        <v/>
      </c>
      <c r="AI55" s="145">
        <f t="shared" ref="AI55:AI62" si="12">IF(AND($AA55="",AG55=""),"",$AA55-AG55)</f>
        <v>2300.5100000000002</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v>616</v>
      </c>
      <c r="V56" s="143">
        <v>89</v>
      </c>
      <c r="W56" s="143">
        <v>433</v>
      </c>
      <c r="X56" s="143">
        <v>5082</v>
      </c>
      <c r="Y56" s="143">
        <v>632</v>
      </c>
      <c r="Z56" s="143"/>
      <c r="AA56" s="143">
        <f t="shared" si="10"/>
        <v>6852</v>
      </c>
      <c r="AB56" s="144">
        <f>IF(AA56=0,"",IFERROR(AA56/AA$19,""))</f>
        <v>4.5757378778005516E-2</v>
      </c>
      <c r="AC56" s="140"/>
      <c r="AD56" s="143"/>
      <c r="AE56" s="144" t="str">
        <f>IF(AD56=0,"",IFERROR(AD56/AD$19,""))</f>
        <v/>
      </c>
      <c r="AF56" s="145">
        <f t="shared" si="11"/>
        <v>6852</v>
      </c>
      <c r="AG56" s="143"/>
      <c r="AH56" s="144" t="str">
        <f>IF(AG56=0,"",IFERROR(AG56/AG$19,""))</f>
        <v/>
      </c>
      <c r="AI56" s="145">
        <f t="shared" si="12"/>
        <v>6852</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v>57</v>
      </c>
      <c r="W57" s="143">
        <v>33</v>
      </c>
      <c r="X57" s="143">
        <v>200</v>
      </c>
      <c r="Y57" s="143">
        <v>18</v>
      </c>
      <c r="Z57" s="143"/>
      <c r="AA57" s="143">
        <f t="shared" si="10"/>
        <v>308</v>
      </c>
      <c r="AB57" s="144">
        <f>IF(AA57=0,"",IFERROR(AA57/AA$19,""))</f>
        <v>2.0568115387661558E-3</v>
      </c>
      <c r="AC57" s="140"/>
      <c r="AD57" s="143"/>
      <c r="AE57" s="144" t="str">
        <f>IF(AD57=0,"",IFERROR(AD57/AD$19,""))</f>
        <v/>
      </c>
      <c r="AF57" s="145">
        <f t="shared" si="11"/>
        <v>308</v>
      </c>
      <c r="AG57" s="143"/>
      <c r="AH57" s="144" t="str">
        <f>IF(AG57=0,"",IFERROR(AG57/AG$19,""))</f>
        <v/>
      </c>
      <c r="AI57" s="145">
        <f t="shared" si="12"/>
        <v>308</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v>13</v>
      </c>
      <c r="X58" s="217">
        <v>432</v>
      </c>
      <c r="Y58" s="217">
        <v>13</v>
      </c>
      <c r="Z58" s="217"/>
      <c r="AA58" s="217">
        <f t="shared" si="10"/>
        <v>458</v>
      </c>
      <c r="AB58" s="219">
        <f>IF(AA58=0,"",IFERROR(AA58/AA$19,""))</f>
        <v>3.0585054699834393E-3</v>
      </c>
      <c r="AC58" s="140"/>
      <c r="AD58" s="217"/>
      <c r="AE58" s="219" t="str">
        <f>IF(AD58=0,"",IFERROR(AD58/AD$19,""))</f>
        <v/>
      </c>
      <c r="AF58" s="220">
        <f t="shared" si="11"/>
        <v>458</v>
      </c>
      <c r="AG58" s="217"/>
      <c r="AH58" s="219" t="str">
        <f>IF(AG58=0,"",IFERROR(AG58/AG$19,""))</f>
        <v/>
      </c>
      <c r="AI58" s="220">
        <f t="shared" si="12"/>
        <v>458</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v>803</v>
      </c>
      <c r="V59" s="166">
        <v>336</v>
      </c>
      <c r="W59" s="166">
        <v>718</v>
      </c>
      <c r="X59" s="166">
        <v>7193.01</v>
      </c>
      <c r="Y59" s="166">
        <v>868.5</v>
      </c>
      <c r="Z59" s="166"/>
      <c r="AA59" s="166">
        <f t="shared" si="10"/>
        <v>9918.51</v>
      </c>
      <c r="AB59" s="167">
        <f>IF(AA59=0,"",IFERROR(AA59/AA$19,""))</f>
        <v>6.6235408491452943E-2</v>
      </c>
      <c r="AC59" s="140"/>
      <c r="AD59" s="166"/>
      <c r="AE59" s="167" t="str">
        <f>IF(AD59=0,"",IFERROR(AD59/AD$19,""))</f>
        <v/>
      </c>
      <c r="AF59" s="168">
        <f t="shared" si="11"/>
        <v>9918.51</v>
      </c>
      <c r="AG59" s="166"/>
      <c r="AH59" s="167" t="str">
        <f>IF(AG59=0,"",IFERROR(AG59/AG$19,""))</f>
        <v/>
      </c>
      <c r="AI59" s="168">
        <f t="shared" si="12"/>
        <v>9918.51</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v>4</v>
      </c>
      <c r="V60" s="210">
        <v>6</v>
      </c>
      <c r="W60" s="210">
        <v>7</v>
      </c>
      <c r="X60" s="210"/>
      <c r="Y60" s="210"/>
      <c r="Z60" s="210"/>
      <c r="AA60" s="210">
        <f t="shared" si="10"/>
        <v>17</v>
      </c>
      <c r="AB60" s="211"/>
      <c r="AC60" s="140"/>
      <c r="AD60" s="210"/>
      <c r="AE60" s="211"/>
      <c r="AF60" s="253">
        <f t="shared" si="11"/>
        <v>17</v>
      </c>
      <c r="AG60" s="210"/>
      <c r="AH60" s="211"/>
      <c r="AI60" s="253">
        <f t="shared" si="12"/>
        <v>17</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v>30</v>
      </c>
      <c r="V61" s="210">
        <v>16</v>
      </c>
      <c r="W61" s="210">
        <v>16</v>
      </c>
      <c r="X61" s="210">
        <v>366</v>
      </c>
      <c r="Y61" s="210">
        <v>63</v>
      </c>
      <c r="Z61" s="210"/>
      <c r="AA61" s="210">
        <f t="shared" si="10"/>
        <v>491</v>
      </c>
      <c r="AB61" s="211">
        <f>IF(AA61=0,"",IFERROR(AA61/AA$87,""))</f>
        <v>6.713152857533497E-2</v>
      </c>
      <c r="AC61" s="140"/>
      <c r="AD61" s="210"/>
      <c r="AE61" s="211" t="str">
        <f>IF(AD61=0,"",IFERROR(AD61/AD$87,""))</f>
        <v/>
      </c>
      <c r="AF61" s="253">
        <f t="shared" si="11"/>
        <v>491</v>
      </c>
      <c r="AG61" s="210"/>
      <c r="AH61" s="211" t="str">
        <f>IF(AG61=0,"",IFERROR(AG61/AG$87,""))</f>
        <v/>
      </c>
      <c r="AI61" s="253">
        <f t="shared" si="12"/>
        <v>491</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v>26.766666666666701</v>
      </c>
      <c r="V62" s="495">
        <v>21</v>
      </c>
      <c r="W62" s="495">
        <v>44.875</v>
      </c>
      <c r="X62" s="495">
        <v>19.653032786885198</v>
      </c>
      <c r="Y62" s="495">
        <v>13.785714285714301</v>
      </c>
      <c r="Z62" s="495"/>
      <c r="AA62" s="495">
        <f>IFERROR(AA59/AA61,"")</f>
        <v>20.200631364562117</v>
      </c>
      <c r="AB62" s="495"/>
      <c r="AC62" s="140"/>
      <c r="AD62" s="495"/>
      <c r="AE62" s="495"/>
      <c r="AF62" s="496">
        <f t="shared" si="11"/>
        <v>20.200631364562117</v>
      </c>
      <c r="AG62" s="495"/>
      <c r="AH62" s="495"/>
      <c r="AI62" s="496">
        <f t="shared" si="12"/>
        <v>20.200631364562117</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26.77</v>
      </c>
      <c r="V63" s="498">
        <f t="shared" si="13"/>
        <v>21</v>
      </c>
      <c r="W63" s="498">
        <f t="shared" si="13"/>
        <v>44.88</v>
      </c>
      <c r="X63" s="498">
        <f t="shared" si="13"/>
        <v>19.649999999999999</v>
      </c>
      <c r="Y63" s="498">
        <f t="shared" si="13"/>
        <v>13.79</v>
      </c>
      <c r="Z63" s="498">
        <f t="shared" si="13"/>
        <v>0</v>
      </c>
      <c r="AA63" s="498">
        <f t="shared" si="13"/>
        <v>20.2</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v>3879.95</v>
      </c>
      <c r="P65" s="143">
        <v>4388.3</v>
      </c>
      <c r="Q65" s="143">
        <v>3685</v>
      </c>
      <c r="R65" s="143"/>
      <c r="S65" s="143"/>
      <c r="T65" s="143"/>
      <c r="U65" s="143"/>
      <c r="V65" s="143"/>
      <c r="W65" s="143"/>
      <c r="X65" s="143"/>
      <c r="Y65" s="143">
        <v>883.75</v>
      </c>
      <c r="Z65" s="143">
        <v>1070.5</v>
      </c>
      <c r="AA65" s="143">
        <f t="shared" ref="AA65:AA71" si="15">SUM(O65:Z65)</f>
        <v>13907.5</v>
      </c>
      <c r="AB65" s="144">
        <f>IF(AA65=0,"",IFERROR(AA65/AA$19,""))</f>
        <v>9.287372232269582E-2</v>
      </c>
      <c r="AC65" s="140"/>
      <c r="AD65" s="143">
        <v>96067.138319999998</v>
      </c>
      <c r="AE65" s="144">
        <f>IF(AD65=0,"",IFERROR(AD65/AD$19,""))</f>
        <v>0.2286</v>
      </c>
      <c r="AF65" s="145">
        <f t="shared" ref="AF65:AF72" si="16">IF(AND($AA65="",AD65=""),"",$AA65-AD65)</f>
        <v>-82159.638319999998</v>
      </c>
      <c r="AG65" s="143">
        <v>28077.7</v>
      </c>
      <c r="AH65" s="144">
        <f>IF(AG65=0,"",IFERROR(AG65/AG$19,""))</f>
        <v>7.5185328405648857E-2</v>
      </c>
      <c r="AI65" s="145">
        <f t="shared" ref="AI65:AI72" si="17">IF(AND($AA65="",AG65=""),"",$AA65-AG65)</f>
        <v>-14170.2</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v>16962.2</v>
      </c>
      <c r="P66" s="143">
        <v>18733.2</v>
      </c>
      <c r="Q66" s="143">
        <v>7156.2</v>
      </c>
      <c r="R66" s="143"/>
      <c r="S66" s="143"/>
      <c r="T66" s="143"/>
      <c r="U66" s="143"/>
      <c r="V66" s="143"/>
      <c r="W66" s="143"/>
      <c r="X66" s="143"/>
      <c r="Y66" s="143">
        <v>1314.04</v>
      </c>
      <c r="Z66" s="143">
        <v>3183.2</v>
      </c>
      <c r="AA66" s="143">
        <f t="shared" si="15"/>
        <v>47348.84</v>
      </c>
      <c r="AB66" s="144">
        <f>IF(AA66=0,"",IFERROR(AA66/AA$19,""))</f>
        <v>0.31619363785452109</v>
      </c>
      <c r="AC66" s="140"/>
      <c r="AD66" s="143">
        <v>195412.158</v>
      </c>
      <c r="AE66" s="144">
        <f>IF(AD66=0,"",IFERROR(AD66/AD$19,""))</f>
        <v>0.46499999999999997</v>
      </c>
      <c r="AF66" s="145">
        <f t="shared" si="16"/>
        <v>-148063.318</v>
      </c>
      <c r="AG66" s="143">
        <v>149725.34</v>
      </c>
      <c r="AH66" s="144">
        <f>IF(AG66=0,"",IFERROR(AG66/AG$19,""))</f>
        <v>0.40092845420199774</v>
      </c>
      <c r="AI66" s="145">
        <f t="shared" si="17"/>
        <v>-102376.5</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v>3500.51</v>
      </c>
      <c r="P67" s="143">
        <v>2597.8000000000002</v>
      </c>
      <c r="Q67" s="143">
        <v>940.2</v>
      </c>
      <c r="R67" s="143"/>
      <c r="S67" s="143"/>
      <c r="T67" s="143"/>
      <c r="U67" s="143"/>
      <c r="V67" s="143"/>
      <c r="W67" s="143"/>
      <c r="X67" s="143"/>
      <c r="Y67" s="143">
        <v>174</v>
      </c>
      <c r="Z67" s="143">
        <v>374</v>
      </c>
      <c r="AA67" s="143">
        <f t="shared" si="15"/>
        <v>7586.51</v>
      </c>
      <c r="AB67" s="144">
        <f>IF(AA67=0,"",IFERROR(AA67/AA$19,""))</f>
        <v>5.0662406840794899E-2</v>
      </c>
      <c r="AC67" s="140"/>
      <c r="AD67" s="143">
        <v>43242.819479999998</v>
      </c>
      <c r="AE67" s="144">
        <f>IF(AD67=0,"",IFERROR(AD67/AD$19,""))</f>
        <v>0.10289999999999999</v>
      </c>
      <c r="AF67" s="145">
        <f t="shared" si="16"/>
        <v>-35656.309479999996</v>
      </c>
      <c r="AG67" s="143">
        <v>27812.880000000001</v>
      </c>
      <c r="AH67" s="144">
        <f>IF(AG67=0,"",IFERROR(AG67/AG$19,""))</f>
        <v>7.4476204130213761E-2</v>
      </c>
      <c r="AI67" s="145">
        <f t="shared" si="17"/>
        <v>-20226.370000000003</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v>5398.59</v>
      </c>
      <c r="P68" s="217">
        <v>5232.3999999999996</v>
      </c>
      <c r="Q68" s="217">
        <v>2645.2</v>
      </c>
      <c r="R68" s="217"/>
      <c r="S68" s="217"/>
      <c r="T68" s="217"/>
      <c r="U68" s="217"/>
      <c r="V68" s="217"/>
      <c r="W68" s="217"/>
      <c r="X68" s="217"/>
      <c r="Y68" s="217">
        <v>118</v>
      </c>
      <c r="Z68" s="217">
        <v>983.5</v>
      </c>
      <c r="AA68" s="217">
        <f t="shared" si="15"/>
        <v>14377.689999999999</v>
      </c>
      <c r="AB68" s="219">
        <f>IF(AA68=0,"",IFERROR(AA68/AA$19,""))</f>
        <v>9.6013632119489503E-2</v>
      </c>
      <c r="AC68" s="140"/>
      <c r="AD68" s="217">
        <v>85519.084199999998</v>
      </c>
      <c r="AE68" s="219">
        <f>IF(AD68=0,"",IFERROR(AD68/AD$19,""))</f>
        <v>0.20349999999999999</v>
      </c>
      <c r="AF68" s="220">
        <f t="shared" si="16"/>
        <v>-71141.394199999995</v>
      </c>
      <c r="AG68" s="217">
        <v>43467.96</v>
      </c>
      <c r="AH68" s="219">
        <f>IF(AG68=0,"",IFERROR(AG68/AG$19,""))</f>
        <v>0.11639674359807278</v>
      </c>
      <c r="AI68" s="220">
        <f t="shared" si="17"/>
        <v>-29090.27</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v>29741.25</v>
      </c>
      <c r="P69" s="166">
        <v>30951.7</v>
      </c>
      <c r="Q69" s="166">
        <v>14426.6</v>
      </c>
      <c r="R69" s="166"/>
      <c r="S69" s="166"/>
      <c r="T69" s="166"/>
      <c r="U69" s="166"/>
      <c r="V69" s="166"/>
      <c r="W69" s="166"/>
      <c r="X69" s="166"/>
      <c r="Y69" s="166">
        <v>2489.79</v>
      </c>
      <c r="Z69" s="166">
        <v>5611.2</v>
      </c>
      <c r="AA69" s="166">
        <f t="shared" si="15"/>
        <v>83220.539999999994</v>
      </c>
      <c r="AB69" s="167">
        <f>IF(AA69=0,"",IFERROR(AA69/AA$19,""))</f>
        <v>0.55574339913750137</v>
      </c>
      <c r="AC69" s="140"/>
      <c r="AD69" s="166">
        <v>420241.2</v>
      </c>
      <c r="AE69" s="167">
        <f>IF(AD69=0,"",IFERROR(AD69/AD$19,""))</f>
        <v>1</v>
      </c>
      <c r="AF69" s="168">
        <f t="shared" si="16"/>
        <v>-337020.66000000003</v>
      </c>
      <c r="AG69" s="166">
        <v>249083.88</v>
      </c>
      <c r="AH69" s="167">
        <f>IF(AG69=0,"",IFERROR(AG69/AG$19,""))</f>
        <v>0.66698673033593314</v>
      </c>
      <c r="AI69" s="168">
        <f t="shared" si="17"/>
        <v>-165863.34000000003</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v>31</v>
      </c>
      <c r="P70" s="210">
        <v>29</v>
      </c>
      <c r="Q70" s="210">
        <v>16</v>
      </c>
      <c r="R70" s="210"/>
      <c r="S70" s="210"/>
      <c r="T70" s="210"/>
      <c r="U70" s="210"/>
      <c r="V70" s="210"/>
      <c r="W70" s="210"/>
      <c r="X70" s="210"/>
      <c r="Y70" s="210"/>
      <c r="Z70" s="210">
        <v>20</v>
      </c>
      <c r="AA70" s="210">
        <f t="shared" si="15"/>
        <v>96</v>
      </c>
      <c r="AB70" s="211"/>
      <c r="AC70" s="140"/>
      <c r="AD70" s="210">
        <v>366</v>
      </c>
      <c r="AE70" s="211"/>
      <c r="AF70" s="253">
        <f t="shared" si="16"/>
        <v>-270</v>
      </c>
      <c r="AG70" s="210">
        <v>365</v>
      </c>
      <c r="AH70" s="211"/>
      <c r="AI70" s="253">
        <f t="shared" si="17"/>
        <v>-269</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v>1325</v>
      </c>
      <c r="P71" s="210">
        <v>1574</v>
      </c>
      <c r="Q71" s="210">
        <v>700</v>
      </c>
      <c r="R71" s="210"/>
      <c r="S71" s="210"/>
      <c r="T71" s="210"/>
      <c r="U71" s="210">
        <v>8</v>
      </c>
      <c r="V71" s="210"/>
      <c r="W71" s="210"/>
      <c r="X71" s="210"/>
      <c r="Y71" s="210">
        <v>169</v>
      </c>
      <c r="Z71" s="210">
        <v>321</v>
      </c>
      <c r="AA71" s="210">
        <f t="shared" si="15"/>
        <v>4097</v>
      </c>
      <c r="AB71" s="211">
        <f>IF(AA71=0,"",IFERROR(AA71/AA$87,""))</f>
        <v>0.56015859994531036</v>
      </c>
      <c r="AC71" s="140"/>
      <c r="AD71" s="210">
        <v>16966</v>
      </c>
      <c r="AE71" s="211">
        <f>IF(AD71=0,"",IFERROR(AD71/AD$87,""))</f>
        <v>1</v>
      </c>
      <c r="AF71" s="253">
        <f t="shared" si="16"/>
        <v>-12869</v>
      </c>
      <c r="AG71" s="210">
        <v>14657</v>
      </c>
      <c r="AH71" s="211">
        <f>IF(AG71=0,"",IFERROR(AG71/AG$87,""))</f>
        <v>0.63629259822009987</v>
      </c>
      <c r="AI71" s="253">
        <f t="shared" si="17"/>
        <v>-10560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v>22.446226415094301</v>
      </c>
      <c r="P72" s="495">
        <v>19.664358322744601</v>
      </c>
      <c r="Q72" s="495">
        <v>20.609428571428602</v>
      </c>
      <c r="R72" s="495"/>
      <c r="S72" s="495"/>
      <c r="T72" s="495"/>
      <c r="U72" s="495"/>
      <c r="V72" s="495"/>
      <c r="W72" s="495"/>
      <c r="X72" s="495"/>
      <c r="Y72" s="495">
        <v>14.7324852071006</v>
      </c>
      <c r="Z72" s="495">
        <v>17.480373831775701</v>
      </c>
      <c r="AA72" s="495">
        <f>IFERROR(AA69/AA71,"")</f>
        <v>20.312555528435439</v>
      </c>
      <c r="AB72" s="495"/>
      <c r="AC72" s="140"/>
      <c r="AD72" s="495">
        <v>24.769609807851001</v>
      </c>
      <c r="AE72" s="495"/>
      <c r="AF72" s="496">
        <f t="shared" si="16"/>
        <v>-4.4570542794155621</v>
      </c>
      <c r="AG72" s="495">
        <v>16.994192535989601</v>
      </c>
      <c r="AH72" s="495"/>
      <c r="AI72" s="496">
        <f t="shared" si="17"/>
        <v>3.318362992445838</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22.45</v>
      </c>
      <c r="P73" s="498">
        <f t="shared" si="18"/>
        <v>19.66</v>
      </c>
      <c r="Q73" s="498">
        <f t="shared" si="18"/>
        <v>20.61</v>
      </c>
      <c r="R73" s="498">
        <f t="shared" si="18"/>
        <v>0</v>
      </c>
      <c r="S73" s="498">
        <f t="shared" si="18"/>
        <v>0</v>
      </c>
      <c r="T73" s="498">
        <f t="shared" si="18"/>
        <v>0</v>
      </c>
      <c r="U73" s="498">
        <f t="shared" si="18"/>
        <v>0</v>
      </c>
      <c r="V73" s="498">
        <f t="shared" si="18"/>
        <v>0</v>
      </c>
      <c r="W73" s="498">
        <f t="shared" si="18"/>
        <v>0</v>
      </c>
      <c r="X73" s="498">
        <f t="shared" si="18"/>
        <v>0</v>
      </c>
      <c r="Y73" s="498">
        <f t="shared" si="18"/>
        <v>14.73</v>
      </c>
      <c r="Z73" s="498">
        <f t="shared" si="18"/>
        <v>17.48</v>
      </c>
      <c r="AA73" s="498">
        <f t="shared" si="18"/>
        <v>20.309999999999999</v>
      </c>
      <c r="AB73" s="499"/>
      <c r="AC73" s="140"/>
      <c r="AD73" s="497">
        <f>ROUND(IFERROR(AD69/AD71,0),2)</f>
        <v>24.77</v>
      </c>
      <c r="AE73" s="498"/>
      <c r="AF73" s="159"/>
      <c r="AG73" s="497">
        <f>ROUND(IFERROR(AG69/AG71,0),2)</f>
        <v>16.989999999999998</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b">
        <f t="shared" si="19"/>
        <v>1</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v>4050</v>
      </c>
      <c r="Q75" s="143"/>
      <c r="R75" s="143"/>
      <c r="S75" s="143"/>
      <c r="T75" s="143"/>
      <c r="U75" s="143"/>
      <c r="V75" s="143"/>
      <c r="W75" s="143"/>
      <c r="X75" s="143"/>
      <c r="Y75" s="143"/>
      <c r="Z75" s="143"/>
      <c r="AA75" s="143">
        <f t="shared" ref="AA75:AA80" si="20">SUM(O75:Z75)</f>
        <v>4050</v>
      </c>
      <c r="AB75" s="144">
        <f>IF(AA75=0,"",IFERROR(AA75/AA$19,""))</f>
        <v>2.704573614286666E-2</v>
      </c>
      <c r="AC75" s="140"/>
      <c r="AD75" s="143"/>
      <c r="AE75" s="144" t="str">
        <f>IF(AD75=0,"",IFERROR(AD75/AD$19,""))</f>
        <v/>
      </c>
      <c r="AF75" s="145">
        <f t="shared" ref="AF75:AF81" si="21">IF(AND($AA75="",AD75=""),"",$AA75-AD75)</f>
        <v>4050</v>
      </c>
      <c r="AG75" s="143"/>
      <c r="AH75" s="144" t="str">
        <f>IF(AG75=0,"",IFERROR(AG75/AG$19,""))</f>
        <v/>
      </c>
      <c r="AI75" s="145">
        <f t="shared" ref="AI75:AI81" si="22">IF(AND($AA75="",AG75=""),"",$AA75-AG75)</f>
        <v>4050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v>2214</v>
      </c>
      <c r="Q76" s="143"/>
      <c r="R76" s="143"/>
      <c r="S76" s="143"/>
      <c r="T76" s="143"/>
      <c r="U76" s="143"/>
      <c r="V76" s="143"/>
      <c r="W76" s="143"/>
      <c r="X76" s="143"/>
      <c r="Y76" s="143"/>
      <c r="Z76" s="143"/>
      <c r="AA76" s="143">
        <f t="shared" si="20"/>
        <v>2214</v>
      </c>
      <c r="AB76" s="144">
        <f>IF(AA76=0,"",IFERROR(AA76/AA$19,""))</f>
        <v>1.4785002424767107E-2</v>
      </c>
      <c r="AC76" s="140"/>
      <c r="AD76" s="143"/>
      <c r="AE76" s="144" t="str">
        <f>IF(AD76=0,"",IFERROR(AD76/AD$19,""))</f>
        <v/>
      </c>
      <c r="AF76" s="145">
        <f t="shared" si="21"/>
        <v>2214</v>
      </c>
      <c r="AG76" s="143"/>
      <c r="AH76" s="144" t="str">
        <f>IF(AG76=0,"",IFERROR(AG76/AG$19,""))</f>
        <v/>
      </c>
      <c r="AI76" s="145">
        <f t="shared" si="22"/>
        <v>2214</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v>748</v>
      </c>
      <c r="Q77" s="143"/>
      <c r="R77" s="143"/>
      <c r="S77" s="143"/>
      <c r="T77" s="143"/>
      <c r="U77" s="143"/>
      <c r="V77" s="143"/>
      <c r="W77" s="143"/>
      <c r="X77" s="143"/>
      <c r="Y77" s="143"/>
      <c r="Z77" s="143"/>
      <c r="AA77" s="143">
        <f t="shared" si="20"/>
        <v>748</v>
      </c>
      <c r="AB77" s="144">
        <f>IF(AA77=0,"",IFERROR(AA77/AA$19,""))</f>
        <v>4.9951137370035214E-3</v>
      </c>
      <c r="AC77" s="140"/>
      <c r="AD77" s="143"/>
      <c r="AE77" s="144" t="str">
        <f>IF(AD77=0,"",IFERROR(AD77/AD$19,""))</f>
        <v/>
      </c>
      <c r="AF77" s="145">
        <f t="shared" si="21"/>
        <v>748</v>
      </c>
      <c r="AG77" s="143"/>
      <c r="AH77" s="144" t="str">
        <f>IF(AG77=0,"",IFERROR(AG77/AG$19,""))</f>
        <v/>
      </c>
      <c r="AI77" s="145">
        <f t="shared" si="22"/>
        <v>748</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v>40</v>
      </c>
      <c r="Q78" s="217"/>
      <c r="R78" s="217"/>
      <c r="S78" s="217"/>
      <c r="T78" s="217"/>
      <c r="U78" s="217"/>
      <c r="V78" s="217"/>
      <c r="W78" s="217"/>
      <c r="X78" s="217"/>
      <c r="Y78" s="217"/>
      <c r="Z78" s="217"/>
      <c r="AA78" s="217">
        <f t="shared" si="20"/>
        <v>40</v>
      </c>
      <c r="AB78" s="219">
        <f>IF(AA78=0,"",IFERROR(AA78/AA$19,""))</f>
        <v>2.6711838165794234E-4</v>
      </c>
      <c r="AC78" s="140"/>
      <c r="AD78" s="217"/>
      <c r="AE78" s="219" t="str">
        <f>IF(AD78=0,"",IFERROR(AD78/AD$19,""))</f>
        <v/>
      </c>
      <c r="AF78" s="220">
        <f t="shared" si="21"/>
        <v>40</v>
      </c>
      <c r="AG78" s="217"/>
      <c r="AH78" s="219" t="str">
        <f>IF(AG78=0,"",IFERROR(AG78/AG$19,""))</f>
        <v/>
      </c>
      <c r="AI78" s="220">
        <f t="shared" si="22"/>
        <v>40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v>7052</v>
      </c>
      <c r="Q79" s="166"/>
      <c r="R79" s="166"/>
      <c r="S79" s="166"/>
      <c r="T79" s="166"/>
      <c r="U79" s="166"/>
      <c r="V79" s="166"/>
      <c r="W79" s="166"/>
      <c r="X79" s="166"/>
      <c r="Y79" s="166"/>
      <c r="Z79" s="166"/>
      <c r="AA79" s="166">
        <f t="shared" si="20"/>
        <v>7052</v>
      </c>
      <c r="AB79" s="167">
        <f>IF(AA79=0,"",IFERROR(AA79/AA$19,""))</f>
        <v>4.7092970686295227E-2</v>
      </c>
      <c r="AC79" s="140"/>
      <c r="AD79" s="166"/>
      <c r="AE79" s="167" t="str">
        <f>IF(AD79=0,"",IFERROR(AD79/AD$19,""))</f>
        <v/>
      </c>
      <c r="AF79" s="168">
        <f t="shared" si="21"/>
        <v>7052</v>
      </c>
      <c r="AG79" s="166"/>
      <c r="AH79" s="167" t="str">
        <f>IF(AG79=0,"",IFERROR(AG79/AG$19,""))</f>
        <v/>
      </c>
      <c r="AI79" s="168">
        <f t="shared" si="22"/>
        <v>7052</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v>150</v>
      </c>
      <c r="Q80" s="210"/>
      <c r="R80" s="210"/>
      <c r="S80" s="210"/>
      <c r="T80" s="210"/>
      <c r="U80" s="210"/>
      <c r="V80" s="210"/>
      <c r="W80" s="210"/>
      <c r="X80" s="210"/>
      <c r="Y80" s="210"/>
      <c r="Z80" s="210"/>
      <c r="AA80" s="210">
        <f t="shared" si="20"/>
        <v>150</v>
      </c>
      <c r="AB80" s="211">
        <f>IF(AA80=0,"",IFERROR(AA80/AA$87,""))</f>
        <v>2.0508613617719443E-2</v>
      </c>
      <c r="AC80" s="140"/>
      <c r="AD80" s="210"/>
      <c r="AE80" s="211" t="str">
        <f>IF(AD80=0,"",IFERROR(AD80/AD$87,""))</f>
        <v/>
      </c>
      <c r="AF80" s="253">
        <f t="shared" si="21"/>
        <v>150</v>
      </c>
      <c r="AG80" s="210"/>
      <c r="AH80" s="211" t="str">
        <f>IF(AG80=0,"",IFERROR(AG80/AG$87,""))</f>
        <v/>
      </c>
      <c r="AI80" s="253">
        <f t="shared" si="22"/>
        <v>150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v>47.0133333333333</v>
      </c>
      <c r="Q81" s="495"/>
      <c r="R81" s="495"/>
      <c r="S81" s="495"/>
      <c r="T81" s="495"/>
      <c r="U81" s="495"/>
      <c r="V81" s="495"/>
      <c r="W81" s="495"/>
      <c r="X81" s="495"/>
      <c r="Y81" s="495"/>
      <c r="Z81" s="495"/>
      <c r="AA81" s="495">
        <f>IFERROR(AA79/AA80,"")</f>
        <v>47.013333333333335</v>
      </c>
      <c r="AB81" s="495"/>
      <c r="AC81" s="140"/>
      <c r="AD81" s="495"/>
      <c r="AE81" s="495"/>
      <c r="AF81" s="496">
        <f t="shared" si="21"/>
        <v>47.013333333333335</v>
      </c>
      <c r="AG81" s="495"/>
      <c r="AH81" s="495"/>
      <c r="AI81" s="496">
        <f t="shared" si="22"/>
        <v>47.013333333333335</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47.01</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47.01</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v>-92.16</v>
      </c>
      <c r="Q83" s="143">
        <v>-212.7</v>
      </c>
      <c r="R83" s="143"/>
      <c r="S83" s="143"/>
      <c r="T83" s="143"/>
      <c r="U83" s="143"/>
      <c r="V83" s="143"/>
      <c r="W83" s="143"/>
      <c r="X83" s="143">
        <v>-105.72</v>
      </c>
      <c r="Y83" s="143">
        <v>-33.020000000000003</v>
      </c>
      <c r="Z83" s="143"/>
      <c r="AA83" s="143">
        <f>SUM(O83:Z83)</f>
        <v>-443.6</v>
      </c>
      <c r="AB83" s="144">
        <f>IF(AA83=0,"",IFERROR(AA83/AA$19,""))</f>
        <v>-2.9623428525865805E-3</v>
      </c>
      <c r="AC83" s="140"/>
      <c r="AD83" s="143"/>
      <c r="AE83" s="144" t="str">
        <f>IF(AD83=0,"",IFERROR(AD83/AD$19,""))</f>
        <v/>
      </c>
      <c r="AF83" s="145">
        <f>IF(AND($AA83="",AD83=""),"",$AA83-AD83)</f>
        <v>-443.6</v>
      </c>
      <c r="AG83" s="143">
        <v>-361.71</v>
      </c>
      <c r="AH83" s="144">
        <f>IF(AG83=0,"",IFERROR(AG83/AG$19,""))</f>
        <v>-9.685723950895995E-4</v>
      </c>
      <c r="AI83" s="145">
        <f>IF(AND($AA83="",AG83=""),"",$AA83-AG83)</f>
        <v>-81.890000000000043</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b">
        <f t="shared" si="24"/>
        <v>1</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29741.25</v>
      </c>
      <c r="P85" s="507">
        <v>37911.54</v>
      </c>
      <c r="Q85" s="507">
        <v>14213.9</v>
      </c>
      <c r="R85" s="507"/>
      <c r="S85" s="507"/>
      <c r="T85" s="507"/>
      <c r="U85" s="507">
        <v>3445</v>
      </c>
      <c r="V85" s="507">
        <v>5252</v>
      </c>
      <c r="W85" s="507">
        <v>9445.7999999999993</v>
      </c>
      <c r="X85" s="507">
        <v>16920.86</v>
      </c>
      <c r="Y85" s="507">
        <v>12783.29</v>
      </c>
      <c r="Z85" s="507">
        <v>20032.7</v>
      </c>
      <c r="AA85" s="507">
        <f>SUM(O85:Z85)</f>
        <v>149746.34000000003</v>
      </c>
      <c r="AB85" s="508">
        <f>IF(AA85=0,"",IFERROR(AA85/AA$19,""))</f>
        <v>1</v>
      </c>
      <c r="AC85" s="140"/>
      <c r="AD85" s="507">
        <v>420241.2</v>
      </c>
      <c r="AE85" s="508">
        <f>IF(AD85=0,"",IFERROR(AD85/AD$19,""))</f>
        <v>1</v>
      </c>
      <c r="AF85" s="509">
        <f>IF(AND($AA85="",AD85=""),"",$AA85-AD85)</f>
        <v>-270494.86</v>
      </c>
      <c r="AG85" s="507">
        <v>373446.53</v>
      </c>
      <c r="AH85" s="508">
        <f>IF(AG85=0,"",IFERROR(AG85/AG$19,""))</f>
        <v>1</v>
      </c>
      <c r="AI85" s="509">
        <f>IF(AND($AA85="",AG85=""),"",$AA85-AG85)</f>
        <v>-223700.19</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v>55</v>
      </c>
      <c r="P86" s="507">
        <v>55</v>
      </c>
      <c r="Q86" s="507">
        <v>55</v>
      </c>
      <c r="R86" s="507"/>
      <c r="S86" s="507"/>
      <c r="T86" s="507"/>
      <c r="U86" s="507">
        <v>55</v>
      </c>
      <c r="V86" s="507">
        <v>55</v>
      </c>
      <c r="W86" s="507">
        <v>55</v>
      </c>
      <c r="X86" s="507"/>
      <c r="Y86" s="507"/>
      <c r="Z86" s="507">
        <v>55</v>
      </c>
      <c r="AA86" s="507">
        <f>SUM(O86:Z86)</f>
        <v>385</v>
      </c>
      <c r="AB86" s="508"/>
      <c r="AC86" s="140"/>
      <c r="AD86" s="507"/>
      <c r="AE86" s="508"/>
      <c r="AF86" s="509">
        <f>IF(AND($AA86="",AD86=""),"",$AA86-AD86)</f>
        <v>385</v>
      </c>
      <c r="AG86" s="507">
        <v>55</v>
      </c>
      <c r="AH86" s="508"/>
      <c r="AI86" s="509">
        <f>IF(AND($AA86="",AG86=""),"",$AA86-AG86)</f>
        <v>330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1325</v>
      </c>
      <c r="P87" s="507">
        <v>1724</v>
      </c>
      <c r="Q87" s="507">
        <v>700</v>
      </c>
      <c r="R87" s="507"/>
      <c r="S87" s="507"/>
      <c r="T87" s="507"/>
      <c r="U87" s="507">
        <v>191</v>
      </c>
      <c r="V87" s="507">
        <v>269</v>
      </c>
      <c r="W87" s="507">
        <v>269</v>
      </c>
      <c r="X87" s="507">
        <v>951</v>
      </c>
      <c r="Y87" s="507">
        <v>803</v>
      </c>
      <c r="Z87" s="507">
        <v>1082</v>
      </c>
      <c r="AA87" s="507">
        <f>SUM(O87:Z87)</f>
        <v>7314</v>
      </c>
      <c r="AB87" s="508">
        <f>IF(AA87=0,"",IFERROR(AA87/AA$20,""))</f>
        <v>1</v>
      </c>
      <c r="AC87" s="140"/>
      <c r="AD87" s="507">
        <v>16966</v>
      </c>
      <c r="AE87" s="508">
        <f>IF(AD87=0,"",IFERROR(AD87/AD$20,""))</f>
        <v>1</v>
      </c>
      <c r="AF87" s="509">
        <f>IF(AND($AA87="",AD87=""),"",$AA87-AD87)</f>
        <v>-9652</v>
      </c>
      <c r="AG87" s="507">
        <v>23035</v>
      </c>
      <c r="AH87" s="508">
        <f>IF(AG87=0,"",IFERROR(AG87/AG$20,""))</f>
        <v>1</v>
      </c>
      <c r="AI87" s="509">
        <f>IF(AND($AA87="",AG87=""),"",$AA87-AG87)</f>
        <v>-15721</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22.446226415094301</v>
      </c>
      <c r="P88" s="495">
        <v>21.9904524361949</v>
      </c>
      <c r="Q88" s="495">
        <v>20.305571428571401</v>
      </c>
      <c r="R88" s="495"/>
      <c r="S88" s="495"/>
      <c r="T88" s="495"/>
      <c r="U88" s="495">
        <v>18.0366492146597</v>
      </c>
      <c r="V88" s="495">
        <v>19.524163568773201</v>
      </c>
      <c r="W88" s="495">
        <v>35.114498141263901</v>
      </c>
      <c r="X88" s="495">
        <v>17.792702418506799</v>
      </c>
      <c r="Y88" s="495">
        <v>15.919414694894099</v>
      </c>
      <c r="Z88" s="495">
        <v>18.514510166358601</v>
      </c>
      <c r="AA88" s="495">
        <f>IFERROR(AA85/AA87,"")</f>
        <v>20.473932184850973</v>
      </c>
      <c r="AB88" s="495"/>
      <c r="AC88" s="140"/>
      <c r="AD88" s="495">
        <v>24.769609807851001</v>
      </c>
      <c r="AE88" s="495"/>
      <c r="AF88" s="496">
        <f>IF(AND($AA88="",AD88=""),"",$AA88-AD88)</f>
        <v>-4.295677623000028</v>
      </c>
      <c r="AG88" s="495">
        <v>16.2121350119384</v>
      </c>
      <c r="AH88" s="495"/>
      <c r="AI88" s="496">
        <f>IF(AND($AA88="",AG88=""),"",$AA88-AG88)</f>
        <v>4.2617971729125728</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v>1045.7142857141</v>
      </c>
      <c r="AE91" s="144"/>
      <c r="AF91" s="145">
        <f>IF(AND($AA91="",AD91=""),"",$AA91-AD91)</f>
        <v>-1045.7142857141</v>
      </c>
      <c r="AG91" s="143">
        <v>5312</v>
      </c>
      <c r="AH91" s="144"/>
      <c r="AI91" s="145">
        <f>IF(AND($AA91="",AG91=""),"",$AA91-AG91)</f>
        <v>-5312</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v>346</v>
      </c>
      <c r="P92" s="143">
        <v>353.25</v>
      </c>
      <c r="Q92" s="143">
        <v>177.75</v>
      </c>
      <c r="R92" s="143"/>
      <c r="S92" s="143"/>
      <c r="T92" s="143"/>
      <c r="U92" s="143"/>
      <c r="V92" s="143"/>
      <c r="W92" s="143"/>
      <c r="X92" s="143"/>
      <c r="Y92" s="143"/>
      <c r="Z92" s="143"/>
      <c r="AA92" s="143">
        <f>SUM(O92:Z92)</f>
        <v>877</v>
      </c>
      <c r="AB92" s="144"/>
      <c r="AC92" s="140"/>
      <c r="AD92" s="143">
        <v>3786.4285714289999</v>
      </c>
      <c r="AE92" s="144"/>
      <c r="AF92" s="145">
        <f>IF(AND($AA92="",AD92=""),"",$AA92-AD92)</f>
        <v>-2909.4285714289999</v>
      </c>
      <c r="AG92" s="143">
        <v>9191.86</v>
      </c>
      <c r="AH92" s="144"/>
      <c r="AI92" s="145">
        <f>IF(AND($AA92="",AG92=""),"",$AA92-AG92)</f>
        <v>-8314.86</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f>IFERROR(AD$87/AD91,"")</f>
        <v>16.22431693989359</v>
      </c>
      <c r="AE93" s="511"/>
      <c r="AF93" s="214" t="e">
        <f>IF(AND($AA93="",AD93=""),"",$AA93-AD93)</f>
        <v>#VALUE!</v>
      </c>
      <c r="AG93" s="510">
        <f>IFERROR(AG$87/AG91,"")</f>
        <v>4.3364081325301207</v>
      </c>
      <c r="AH93" s="511"/>
      <c r="AI93" s="214" t="e">
        <f>IF(AND($AA93="",AG93=""),"",$AA93-AG93)</f>
        <v>#VALUE!</v>
      </c>
    </row>
    <row r="94" spans="1:35" x14ac:dyDescent="0.35">
      <c r="A94" s="11"/>
      <c r="B94" s="11"/>
      <c r="C94" s="208"/>
      <c r="D94" s="11"/>
      <c r="E94" s="11"/>
      <c r="F94" s="11"/>
      <c r="G94" s="11"/>
      <c r="H94" s="185"/>
      <c r="I94" s="122"/>
      <c r="J94" s="122"/>
      <c r="K94" s="11"/>
      <c r="L94" s="90"/>
      <c r="M94" s="90"/>
      <c r="N94" s="104" t="s">
        <v>336</v>
      </c>
      <c r="O94" s="510">
        <f t="shared" ref="O94:AA94" si="26">IFERROR(O$87/O92,"")</f>
        <v>3.8294797687861273</v>
      </c>
      <c r="P94" s="510">
        <f t="shared" si="26"/>
        <v>4.8803963198867661</v>
      </c>
      <c r="Q94" s="510">
        <f t="shared" si="26"/>
        <v>3.938115330520394</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f t="shared" si="26"/>
        <v>8.339794754846066</v>
      </c>
      <c r="AB94" s="511"/>
      <c r="AC94" s="140"/>
      <c r="AD94" s="510">
        <f>IFERROR(AD$87/AD92,"")</f>
        <v>4.4807394831158858</v>
      </c>
      <c r="AE94" s="511"/>
      <c r="AF94" s="214">
        <f>IF(AND($AA94="",AD94=""),"",$AA94-AD94)</f>
        <v>3.8590552717301803</v>
      </c>
      <c r="AG94" s="510">
        <f>IFERROR(AG$87/AG92,"")</f>
        <v>2.5060216321832578</v>
      </c>
      <c r="AH94" s="511"/>
      <c r="AI94" s="214">
        <f>IF(AND($AA94="",AG94=""),"",$AA94-AG94)</f>
        <v>5.8337731226628087</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c r="Q98" s="143"/>
      <c r="R98" s="143"/>
      <c r="S98" s="143"/>
      <c r="T98" s="143"/>
      <c r="U98" s="143"/>
      <c r="V98" s="143">
        <v>25</v>
      </c>
      <c r="W98" s="143">
        <v>204</v>
      </c>
      <c r="X98" s="143">
        <v>91</v>
      </c>
      <c r="Y98" s="143">
        <v>157</v>
      </c>
      <c r="Z98" s="143">
        <v>156</v>
      </c>
      <c r="AA98" s="143">
        <f t="shared" ref="AA98:AA103" si="27">SUM(O98:Z98)</f>
        <v>633</v>
      </c>
      <c r="AB98" s="144">
        <f t="shared" ref="AB98:AB103" si="28">IF(AA98=0,"",IFERROR(AA98/AA$19,""))</f>
        <v>4.2271483897369372E-3</v>
      </c>
      <c r="AC98" s="140"/>
      <c r="AD98" s="143"/>
      <c r="AE98" s="144" t="str">
        <f t="shared" ref="AE98:AE103" si="29">IF(AD98=0,"",IFERROR(AD98/AD$19,""))</f>
        <v/>
      </c>
      <c r="AF98" s="145">
        <f t="shared" ref="AF98:AF103" si="30">IF(AND($AA98="",AD98=""),"",$AA98-AD98)</f>
        <v>633</v>
      </c>
      <c r="AG98" s="143">
        <v>2390</v>
      </c>
      <c r="AH98" s="144">
        <f t="shared" ref="AH98:AH103" si="31">IF(AG98=0,"",IFERROR(AG98/AG$19,""))</f>
        <v>6.3998452469219615E-3</v>
      </c>
      <c r="AI98" s="145">
        <f t="shared" ref="AI98:AI103" si="32">IF(AND($AA98="",AG98=""),"",$AA98-AG98)</f>
        <v>-1757</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c r="Q99" s="143"/>
      <c r="R99" s="143"/>
      <c r="S99" s="143"/>
      <c r="T99" s="143"/>
      <c r="U99" s="143">
        <v>887</v>
      </c>
      <c r="V99" s="143">
        <v>316</v>
      </c>
      <c r="W99" s="143">
        <v>2531.2800000000002</v>
      </c>
      <c r="X99" s="143">
        <v>3684.72</v>
      </c>
      <c r="Y99" s="143">
        <v>4192</v>
      </c>
      <c r="Z99" s="143">
        <v>4647</v>
      </c>
      <c r="AA99" s="143">
        <f t="shared" si="27"/>
        <v>16258</v>
      </c>
      <c r="AB99" s="144">
        <f t="shared" si="28"/>
        <v>0.10857026622487065</v>
      </c>
      <c r="AC99" s="140"/>
      <c r="AD99" s="143"/>
      <c r="AE99" s="144" t="str">
        <f t="shared" si="29"/>
        <v/>
      </c>
      <c r="AF99" s="145">
        <f t="shared" si="30"/>
        <v>16258</v>
      </c>
      <c r="AG99" s="143"/>
      <c r="AH99" s="144" t="str">
        <f t="shared" si="31"/>
        <v/>
      </c>
      <c r="AI99" s="145">
        <f t="shared" si="32"/>
        <v>16258</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c r="Q100" s="143"/>
      <c r="R100" s="143"/>
      <c r="S100" s="143"/>
      <c r="T100" s="143"/>
      <c r="U100" s="143">
        <v>616</v>
      </c>
      <c r="V100" s="143">
        <v>89</v>
      </c>
      <c r="W100" s="143">
        <v>433</v>
      </c>
      <c r="X100" s="143">
        <v>5082</v>
      </c>
      <c r="Y100" s="143">
        <v>632</v>
      </c>
      <c r="Z100" s="143"/>
      <c r="AA100" s="143">
        <f t="shared" si="27"/>
        <v>6852</v>
      </c>
      <c r="AB100" s="144">
        <f t="shared" si="28"/>
        <v>4.5757378778005516E-2</v>
      </c>
      <c r="AC100" s="140"/>
      <c r="AD100" s="143"/>
      <c r="AE100" s="144" t="str">
        <f t="shared" si="29"/>
        <v/>
      </c>
      <c r="AF100" s="145">
        <f t="shared" si="30"/>
        <v>6852</v>
      </c>
      <c r="AG100" s="143"/>
      <c r="AH100" s="144" t="str">
        <f t="shared" si="31"/>
        <v/>
      </c>
      <c r="AI100" s="145">
        <f t="shared" si="32"/>
        <v>6852</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v>16962.2</v>
      </c>
      <c r="P101" s="143">
        <v>18733.2</v>
      </c>
      <c r="Q101" s="143">
        <v>7156.2</v>
      </c>
      <c r="R101" s="143"/>
      <c r="S101" s="143"/>
      <c r="T101" s="143"/>
      <c r="U101" s="143"/>
      <c r="V101" s="143"/>
      <c r="W101" s="143"/>
      <c r="X101" s="143"/>
      <c r="Y101" s="143">
        <v>1314.04</v>
      </c>
      <c r="Z101" s="143">
        <v>3183.2</v>
      </c>
      <c r="AA101" s="143">
        <f t="shared" si="27"/>
        <v>47348.84</v>
      </c>
      <c r="AB101" s="144">
        <f t="shared" si="28"/>
        <v>0.31619363785452109</v>
      </c>
      <c r="AC101" s="140"/>
      <c r="AD101" s="143">
        <v>195412.158</v>
      </c>
      <c r="AE101" s="144">
        <f t="shared" si="29"/>
        <v>0.46499999999999997</v>
      </c>
      <c r="AF101" s="145">
        <f t="shared" si="30"/>
        <v>-148063.318</v>
      </c>
      <c r="AG101" s="143">
        <v>149725.34</v>
      </c>
      <c r="AH101" s="144">
        <f t="shared" si="31"/>
        <v>0.40092845420199774</v>
      </c>
      <c r="AI101" s="145">
        <f t="shared" si="32"/>
        <v>-102376.5</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v>2214</v>
      </c>
      <c r="Q102" s="143"/>
      <c r="R102" s="143"/>
      <c r="S102" s="143"/>
      <c r="T102" s="143"/>
      <c r="U102" s="143"/>
      <c r="V102" s="143"/>
      <c r="W102" s="143"/>
      <c r="X102" s="143"/>
      <c r="Y102" s="143"/>
      <c r="Z102" s="143"/>
      <c r="AA102" s="143">
        <f t="shared" si="27"/>
        <v>2214</v>
      </c>
      <c r="AB102" s="144">
        <f t="shared" si="28"/>
        <v>1.4785002424767107E-2</v>
      </c>
      <c r="AC102" s="140"/>
      <c r="AD102" s="143"/>
      <c r="AE102" s="144" t="str">
        <f t="shared" si="29"/>
        <v/>
      </c>
      <c r="AF102" s="145">
        <f t="shared" si="30"/>
        <v>2214</v>
      </c>
      <c r="AG102" s="143"/>
      <c r="AH102" s="144" t="str">
        <f t="shared" si="31"/>
        <v/>
      </c>
      <c r="AI102" s="145">
        <f t="shared" si="32"/>
        <v>2214</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v>16962.2</v>
      </c>
      <c r="P103" s="166">
        <v>20947.2</v>
      </c>
      <c r="Q103" s="166">
        <v>7156.2</v>
      </c>
      <c r="R103" s="166"/>
      <c r="S103" s="166"/>
      <c r="T103" s="166"/>
      <c r="U103" s="166">
        <v>1503</v>
      </c>
      <c r="V103" s="166">
        <v>430</v>
      </c>
      <c r="W103" s="166">
        <v>3168.28</v>
      </c>
      <c r="X103" s="166">
        <v>8857.7199999999993</v>
      </c>
      <c r="Y103" s="166">
        <v>6295.04</v>
      </c>
      <c r="Z103" s="166">
        <v>7986.2</v>
      </c>
      <c r="AA103" s="166">
        <f t="shared" si="27"/>
        <v>73305.84</v>
      </c>
      <c r="AB103" s="167">
        <f t="shared" si="28"/>
        <v>0.48953343367190133</v>
      </c>
      <c r="AC103" s="140"/>
      <c r="AD103" s="166">
        <v>195412.158</v>
      </c>
      <c r="AE103" s="167">
        <f t="shared" si="29"/>
        <v>0.46499999999999997</v>
      </c>
      <c r="AF103" s="168">
        <f t="shared" si="30"/>
        <v>-122106.318</v>
      </c>
      <c r="AG103" s="166">
        <v>152115.34</v>
      </c>
      <c r="AH103" s="167">
        <f t="shared" si="31"/>
        <v>0.40732829944891974</v>
      </c>
      <c r="AI103" s="168">
        <f t="shared" si="32"/>
        <v>-78809.5</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v>28</v>
      </c>
      <c r="V106" s="143"/>
      <c r="W106" s="143"/>
      <c r="X106" s="143"/>
      <c r="Y106" s="143"/>
      <c r="Z106" s="143">
        <v>7</v>
      </c>
      <c r="AA106" s="143">
        <f t="shared" ref="AA106:AA111" si="33">SUM(O106:Z106)</f>
        <v>35</v>
      </c>
      <c r="AB106" s="144">
        <f t="shared" ref="AB106:AB111" si="34">IF(AA106=0,"",IFERROR(AA106/AA$19,""))</f>
        <v>2.3372858395069953E-4</v>
      </c>
      <c r="AC106" s="140"/>
      <c r="AD106" s="143"/>
      <c r="AE106" s="144" t="str">
        <f t="shared" ref="AE106:AE111" si="35">IF(AD106=0,"",IFERROR(AD106/AD$19,""))</f>
        <v/>
      </c>
      <c r="AF106" s="145">
        <f t="shared" ref="AF106:AF111" si="36">IF(AND($AA106="",AD106=""),"",$AA106-AD106)</f>
        <v>35</v>
      </c>
      <c r="AG106" s="143">
        <v>332</v>
      </c>
      <c r="AH106" s="144">
        <f t="shared" ref="AH106:AH111" si="37">IF(AG106=0,"",IFERROR(AG106/AG$19,""))</f>
        <v>8.890161598234692E-4</v>
      </c>
      <c r="AI106" s="145">
        <f t="shared" ref="AI106:AI111" si="38">IF(AND($AA106="",AG106=""),"",$AA106-AG106)</f>
        <v>-297</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c r="P107" s="143"/>
      <c r="Q107" s="143"/>
      <c r="R107" s="143"/>
      <c r="S107" s="143"/>
      <c r="T107" s="143"/>
      <c r="U107" s="143">
        <v>262</v>
      </c>
      <c r="V107" s="143">
        <v>396</v>
      </c>
      <c r="W107" s="143">
        <v>404</v>
      </c>
      <c r="X107" s="143">
        <v>309</v>
      </c>
      <c r="Y107" s="143">
        <v>279</v>
      </c>
      <c r="Z107" s="143">
        <v>695</v>
      </c>
      <c r="AA107" s="143">
        <f t="shared" si="33"/>
        <v>2345</v>
      </c>
      <c r="AB107" s="144">
        <f t="shared" si="34"/>
        <v>1.5659815124696868E-2</v>
      </c>
      <c r="AC107" s="140"/>
      <c r="AD107" s="143"/>
      <c r="AE107" s="144" t="str">
        <f t="shared" si="35"/>
        <v/>
      </c>
      <c r="AF107" s="145">
        <f t="shared" si="36"/>
        <v>2345</v>
      </c>
      <c r="AG107" s="143"/>
      <c r="AH107" s="144" t="str">
        <f t="shared" si="37"/>
        <v/>
      </c>
      <c r="AI107" s="145">
        <f t="shared" si="38"/>
        <v>2345</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c r="P108" s="143"/>
      <c r="Q108" s="143"/>
      <c r="R108" s="143"/>
      <c r="S108" s="143"/>
      <c r="T108" s="143"/>
      <c r="U108" s="143"/>
      <c r="V108" s="143">
        <v>57</v>
      </c>
      <c r="W108" s="143">
        <v>33</v>
      </c>
      <c r="X108" s="143">
        <v>200</v>
      </c>
      <c r="Y108" s="143">
        <v>18</v>
      </c>
      <c r="Z108" s="143"/>
      <c r="AA108" s="143">
        <f t="shared" si="33"/>
        <v>308</v>
      </c>
      <c r="AB108" s="144">
        <f t="shared" si="34"/>
        <v>2.0568115387661558E-3</v>
      </c>
      <c r="AC108" s="140"/>
      <c r="AD108" s="143"/>
      <c r="AE108" s="144" t="str">
        <f t="shared" si="35"/>
        <v/>
      </c>
      <c r="AF108" s="145">
        <f t="shared" si="36"/>
        <v>308</v>
      </c>
      <c r="AG108" s="143"/>
      <c r="AH108" s="144" t="str">
        <f t="shared" si="37"/>
        <v/>
      </c>
      <c r="AI108" s="145">
        <f t="shared" si="38"/>
        <v>308</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v>3500.51</v>
      </c>
      <c r="P109" s="143">
        <v>2597.8000000000002</v>
      </c>
      <c r="Q109" s="143">
        <v>940.2</v>
      </c>
      <c r="R109" s="143"/>
      <c r="S109" s="143"/>
      <c r="T109" s="143"/>
      <c r="U109" s="143"/>
      <c r="V109" s="143"/>
      <c r="W109" s="143"/>
      <c r="X109" s="143"/>
      <c r="Y109" s="143">
        <v>174</v>
      </c>
      <c r="Z109" s="143">
        <v>374</v>
      </c>
      <c r="AA109" s="143">
        <f t="shared" si="33"/>
        <v>7586.51</v>
      </c>
      <c r="AB109" s="144">
        <f t="shared" si="34"/>
        <v>5.0662406840794899E-2</v>
      </c>
      <c r="AC109" s="140"/>
      <c r="AD109" s="143">
        <v>43242.819479999998</v>
      </c>
      <c r="AE109" s="144">
        <f t="shared" si="35"/>
        <v>0.10289999999999999</v>
      </c>
      <c r="AF109" s="145">
        <f t="shared" si="36"/>
        <v>-35656.309479999996</v>
      </c>
      <c r="AG109" s="143">
        <v>27812.880000000001</v>
      </c>
      <c r="AH109" s="144">
        <f t="shared" si="37"/>
        <v>7.4476204130213761E-2</v>
      </c>
      <c r="AI109" s="145">
        <f t="shared" si="38"/>
        <v>-20226.370000000003</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v>748</v>
      </c>
      <c r="Q110" s="143"/>
      <c r="R110" s="143"/>
      <c r="S110" s="143"/>
      <c r="T110" s="143"/>
      <c r="U110" s="143"/>
      <c r="V110" s="143"/>
      <c r="W110" s="143"/>
      <c r="X110" s="143"/>
      <c r="Y110" s="143"/>
      <c r="Z110" s="143"/>
      <c r="AA110" s="143">
        <f t="shared" si="33"/>
        <v>748</v>
      </c>
      <c r="AB110" s="144">
        <f t="shared" si="34"/>
        <v>4.9951137370035214E-3</v>
      </c>
      <c r="AC110" s="140"/>
      <c r="AD110" s="143"/>
      <c r="AE110" s="144" t="str">
        <f t="shared" si="35"/>
        <v/>
      </c>
      <c r="AF110" s="145">
        <f t="shared" si="36"/>
        <v>748</v>
      </c>
      <c r="AG110" s="143"/>
      <c r="AH110" s="144" t="str">
        <f t="shared" si="37"/>
        <v/>
      </c>
      <c r="AI110" s="145">
        <f t="shared" si="38"/>
        <v>748</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v>3500.51</v>
      </c>
      <c r="P111" s="166">
        <v>3345.8</v>
      </c>
      <c r="Q111" s="166">
        <v>940.2</v>
      </c>
      <c r="R111" s="166"/>
      <c r="S111" s="166"/>
      <c r="T111" s="166"/>
      <c r="U111" s="166">
        <v>290</v>
      </c>
      <c r="V111" s="166">
        <v>453</v>
      </c>
      <c r="W111" s="166">
        <v>437</v>
      </c>
      <c r="X111" s="166">
        <v>509</v>
      </c>
      <c r="Y111" s="166">
        <v>471</v>
      </c>
      <c r="Z111" s="166">
        <v>1076</v>
      </c>
      <c r="AA111" s="166">
        <f t="shared" si="33"/>
        <v>11022.51</v>
      </c>
      <c r="AB111" s="167">
        <f t="shared" si="34"/>
        <v>7.3607875825212138E-2</v>
      </c>
      <c r="AC111" s="140"/>
      <c r="AD111" s="166">
        <v>43242.819479999998</v>
      </c>
      <c r="AE111" s="167">
        <f t="shared" si="35"/>
        <v>0.10289999999999999</v>
      </c>
      <c r="AF111" s="168">
        <f t="shared" si="36"/>
        <v>-32220.309479999996</v>
      </c>
      <c r="AG111" s="166">
        <v>28144.880000000001</v>
      </c>
      <c r="AH111" s="167">
        <f t="shared" si="37"/>
        <v>7.5365220290037241E-2</v>
      </c>
      <c r="AI111" s="168">
        <f t="shared" si="38"/>
        <v>-17122.370000000003</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c r="Q114" s="143"/>
      <c r="R114" s="143"/>
      <c r="S114" s="143"/>
      <c r="T114" s="143"/>
      <c r="U114" s="143">
        <v>14</v>
      </c>
      <c r="V114" s="143"/>
      <c r="W114" s="143">
        <v>20</v>
      </c>
      <c r="X114" s="143">
        <v>206</v>
      </c>
      <c r="Y114" s="143">
        <v>64</v>
      </c>
      <c r="Z114" s="143">
        <v>44</v>
      </c>
      <c r="AA114" s="143">
        <f t="shared" ref="AA114:AA119" si="39">SUM(O114:Z114)</f>
        <v>348</v>
      </c>
      <c r="AB114" s="144">
        <f t="shared" ref="AB114:AB119" si="40">IF(AA114=0,"",IFERROR(AA114/AA$19,""))</f>
        <v>2.3239299204240982E-3</v>
      </c>
      <c r="AC114" s="140"/>
      <c r="AD114" s="143"/>
      <c r="AE114" s="144" t="str">
        <f t="shared" ref="AE114:AE119" si="41">IF(AD114=0,"",IFERROR(AD114/AD$19,""))</f>
        <v/>
      </c>
      <c r="AF114" s="145">
        <f t="shared" ref="AF114:AF119" si="42">IF(AND($AA114="",AD114=""),"",$AA114-AD114)</f>
        <v>348</v>
      </c>
      <c r="AG114" s="143">
        <v>136</v>
      </c>
      <c r="AH114" s="144">
        <f t="shared" ref="AH114:AH119" si="43">IF(AG114=0,"",IFERROR(AG114/AG$19,""))</f>
        <v>3.6417529438551748E-4</v>
      </c>
      <c r="AI114" s="145">
        <f t="shared" ref="AI114:AI119" si="44">IF(AND($AA114="",AG114=""),"",$AA114-AG114)</f>
        <v>212</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c r="P115" s="143"/>
      <c r="Q115" s="143"/>
      <c r="R115" s="143"/>
      <c r="S115" s="143"/>
      <c r="T115" s="143"/>
      <c r="U115" s="143">
        <v>42</v>
      </c>
      <c r="V115" s="143">
        <v>110</v>
      </c>
      <c r="W115" s="143">
        <v>254</v>
      </c>
      <c r="X115" s="143">
        <v>337</v>
      </c>
      <c r="Y115" s="143">
        <v>440</v>
      </c>
      <c r="Z115" s="143">
        <v>1001</v>
      </c>
      <c r="AA115" s="143">
        <f t="shared" si="39"/>
        <v>2184</v>
      </c>
      <c r="AB115" s="144">
        <f t="shared" si="40"/>
        <v>1.458466363852365E-2</v>
      </c>
      <c r="AC115" s="140"/>
      <c r="AD115" s="143"/>
      <c r="AE115" s="144" t="str">
        <f t="shared" si="41"/>
        <v/>
      </c>
      <c r="AF115" s="145">
        <f t="shared" si="42"/>
        <v>2184</v>
      </c>
      <c r="AG115" s="143"/>
      <c r="AH115" s="144" t="str">
        <f t="shared" si="43"/>
        <v/>
      </c>
      <c r="AI115" s="145">
        <f t="shared" si="44"/>
        <v>2184</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c r="P116" s="143"/>
      <c r="Q116" s="143"/>
      <c r="R116" s="143"/>
      <c r="S116" s="143"/>
      <c r="T116" s="143"/>
      <c r="U116" s="143"/>
      <c r="V116" s="143"/>
      <c r="W116" s="143">
        <v>13</v>
      </c>
      <c r="X116" s="143">
        <v>432</v>
      </c>
      <c r="Y116" s="143">
        <v>13</v>
      </c>
      <c r="Z116" s="143"/>
      <c r="AA116" s="143">
        <f t="shared" si="39"/>
        <v>458</v>
      </c>
      <c r="AB116" s="144">
        <f t="shared" si="40"/>
        <v>3.0585054699834393E-3</v>
      </c>
      <c r="AC116" s="140"/>
      <c r="AD116" s="143"/>
      <c r="AE116" s="144" t="str">
        <f t="shared" si="41"/>
        <v/>
      </c>
      <c r="AF116" s="145">
        <f t="shared" si="42"/>
        <v>458</v>
      </c>
      <c r="AG116" s="143"/>
      <c r="AH116" s="144" t="str">
        <f t="shared" si="43"/>
        <v/>
      </c>
      <c r="AI116" s="145">
        <f t="shared" si="44"/>
        <v>458</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v>5398.59</v>
      </c>
      <c r="P117" s="143">
        <v>5232.3999999999996</v>
      </c>
      <c r="Q117" s="143">
        <v>2645.2</v>
      </c>
      <c r="R117" s="143"/>
      <c r="S117" s="143"/>
      <c r="T117" s="143"/>
      <c r="U117" s="143"/>
      <c r="V117" s="143"/>
      <c r="W117" s="143"/>
      <c r="X117" s="143"/>
      <c r="Y117" s="143">
        <v>118</v>
      </c>
      <c r="Z117" s="143">
        <v>983.5</v>
      </c>
      <c r="AA117" s="143">
        <f t="shared" si="39"/>
        <v>14377.689999999999</v>
      </c>
      <c r="AB117" s="144">
        <f t="shared" si="40"/>
        <v>9.6013632119489503E-2</v>
      </c>
      <c r="AC117" s="140"/>
      <c r="AD117" s="143">
        <v>85519.084199999998</v>
      </c>
      <c r="AE117" s="144">
        <f t="shared" si="41"/>
        <v>0.20349999999999999</v>
      </c>
      <c r="AF117" s="145">
        <f t="shared" si="42"/>
        <v>-71141.394199999995</v>
      </c>
      <c r="AG117" s="143">
        <v>43467.96</v>
      </c>
      <c r="AH117" s="144">
        <f t="shared" si="43"/>
        <v>0.11639674359807278</v>
      </c>
      <c r="AI117" s="145">
        <f t="shared" si="44"/>
        <v>-29090.27</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v>40</v>
      </c>
      <c r="Q118" s="143"/>
      <c r="R118" s="143"/>
      <c r="S118" s="143"/>
      <c r="T118" s="143"/>
      <c r="U118" s="143"/>
      <c r="V118" s="143"/>
      <c r="W118" s="143"/>
      <c r="X118" s="143"/>
      <c r="Y118" s="143"/>
      <c r="Z118" s="143"/>
      <c r="AA118" s="143">
        <f t="shared" si="39"/>
        <v>40</v>
      </c>
      <c r="AB118" s="144">
        <f t="shared" si="40"/>
        <v>2.6711838165794234E-4</v>
      </c>
      <c r="AC118" s="140"/>
      <c r="AD118" s="143"/>
      <c r="AE118" s="144" t="str">
        <f t="shared" si="41"/>
        <v/>
      </c>
      <c r="AF118" s="145">
        <f t="shared" si="42"/>
        <v>40</v>
      </c>
      <c r="AG118" s="143"/>
      <c r="AH118" s="144" t="str">
        <f t="shared" si="43"/>
        <v/>
      </c>
      <c r="AI118" s="145">
        <f t="shared" si="44"/>
        <v>40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v>5398.59</v>
      </c>
      <c r="P119" s="166">
        <v>5272.4</v>
      </c>
      <c r="Q119" s="166">
        <v>2645.2</v>
      </c>
      <c r="R119" s="166"/>
      <c r="S119" s="166"/>
      <c r="T119" s="166"/>
      <c r="U119" s="166">
        <v>56</v>
      </c>
      <c r="V119" s="166">
        <v>110</v>
      </c>
      <c r="W119" s="166">
        <v>287</v>
      </c>
      <c r="X119" s="166">
        <v>975</v>
      </c>
      <c r="Y119" s="166">
        <v>635</v>
      </c>
      <c r="Z119" s="166">
        <v>2028.5</v>
      </c>
      <c r="AA119" s="166">
        <f t="shared" si="39"/>
        <v>17407.689999999999</v>
      </c>
      <c r="AB119" s="167">
        <f t="shared" si="40"/>
        <v>0.11624784953007863</v>
      </c>
      <c r="AC119" s="140"/>
      <c r="AD119" s="166">
        <v>85519.084199999998</v>
      </c>
      <c r="AE119" s="167">
        <f t="shared" si="41"/>
        <v>0.20349999999999999</v>
      </c>
      <c r="AF119" s="168">
        <f t="shared" si="42"/>
        <v>-68111.394199999995</v>
      </c>
      <c r="AG119" s="166">
        <v>43603.96</v>
      </c>
      <c r="AH119" s="167">
        <f t="shared" si="43"/>
        <v>0.11676091889245831</v>
      </c>
      <c r="AI119" s="168">
        <f t="shared" si="44"/>
        <v>-26196.27</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0</v>
      </c>
      <c r="P121" s="143">
        <f t="shared" si="45"/>
        <v>0</v>
      </c>
      <c r="Q121" s="143">
        <f t="shared" si="45"/>
        <v>0</v>
      </c>
      <c r="R121" s="143">
        <f t="shared" si="45"/>
        <v>0</v>
      </c>
      <c r="S121" s="143">
        <f t="shared" si="45"/>
        <v>0</v>
      </c>
      <c r="T121" s="143">
        <f t="shared" si="45"/>
        <v>0</v>
      </c>
      <c r="U121" s="143">
        <f t="shared" si="45"/>
        <v>42</v>
      </c>
      <c r="V121" s="143">
        <f t="shared" si="45"/>
        <v>25</v>
      </c>
      <c r="W121" s="143">
        <f t="shared" si="45"/>
        <v>224</v>
      </c>
      <c r="X121" s="143">
        <f t="shared" si="45"/>
        <v>297</v>
      </c>
      <c r="Y121" s="143">
        <f t="shared" si="45"/>
        <v>221</v>
      </c>
      <c r="Z121" s="143">
        <f t="shared" si="45"/>
        <v>207</v>
      </c>
      <c r="AA121" s="143">
        <f t="shared" ref="AA121:AA126" si="46">SUM(O121:Z121)</f>
        <v>1016</v>
      </c>
      <c r="AB121" s="144">
        <f t="shared" ref="AB121:AB126" si="47">IF(AA121=0,"",IFERROR(AA121/AA$19,""))</f>
        <v>6.7848068941117343E-3</v>
      </c>
      <c r="AC121" s="140"/>
      <c r="AD121" s="143">
        <f>AD98+AD106+AD114</f>
        <v>0</v>
      </c>
      <c r="AE121" s="144" t="str">
        <f t="shared" ref="AE121:AE126" si="48">IF(AD121=0,"",IFERROR(AD121/AD$19,""))</f>
        <v/>
      </c>
      <c r="AF121" s="145">
        <f t="shared" ref="AF121:AF126" si="49">IF(AND($AA121="",AD121=""),"",$AA121-AD121)</f>
        <v>1016</v>
      </c>
      <c r="AG121" s="143">
        <f>AG98+AG106+AG114</f>
        <v>2858</v>
      </c>
      <c r="AH121" s="144">
        <f t="shared" ref="AH121:AH126" si="50">IF(AG121=0,"",IFERROR(AG121/AG$19,""))</f>
        <v>7.6530367011309487E-3</v>
      </c>
      <c r="AI121" s="145">
        <f t="shared" ref="AI121:AI126" si="51">IF(AND($AA121="",AG121=""),"",$AA121-AG121)</f>
        <v>-1842</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0</v>
      </c>
      <c r="P122" s="143">
        <f t="shared" si="52"/>
        <v>0</v>
      </c>
      <c r="Q122" s="143">
        <f t="shared" si="52"/>
        <v>0</v>
      </c>
      <c r="R122" s="143">
        <f t="shared" si="52"/>
        <v>0</v>
      </c>
      <c r="S122" s="143">
        <f t="shared" si="52"/>
        <v>0</v>
      </c>
      <c r="T122" s="143">
        <f t="shared" si="52"/>
        <v>0</v>
      </c>
      <c r="U122" s="143">
        <f t="shared" si="52"/>
        <v>1191</v>
      </c>
      <c r="V122" s="143">
        <f t="shared" si="52"/>
        <v>822</v>
      </c>
      <c r="W122" s="143">
        <f t="shared" si="52"/>
        <v>3189.28</v>
      </c>
      <c r="X122" s="143">
        <f t="shared" si="52"/>
        <v>4330.7199999999993</v>
      </c>
      <c r="Y122" s="143">
        <f t="shared" si="52"/>
        <v>4911</v>
      </c>
      <c r="Z122" s="143">
        <f t="shared" si="52"/>
        <v>6343</v>
      </c>
      <c r="AA122" s="143">
        <f t="shared" si="46"/>
        <v>20787</v>
      </c>
      <c r="AB122" s="144">
        <f t="shared" si="47"/>
        <v>0.13881474498809118</v>
      </c>
      <c r="AC122" s="140"/>
      <c r="AD122" s="143">
        <f>AD99+AD107+AD115</f>
        <v>0</v>
      </c>
      <c r="AE122" s="144" t="str">
        <f t="shared" si="48"/>
        <v/>
      </c>
      <c r="AF122" s="145">
        <f t="shared" si="49"/>
        <v>20787</v>
      </c>
      <c r="AG122" s="143">
        <f>AG99+AG107+AG115</f>
        <v>0</v>
      </c>
      <c r="AH122" s="144" t="str">
        <f t="shared" si="50"/>
        <v/>
      </c>
      <c r="AI122" s="145">
        <f t="shared" si="51"/>
        <v>20787</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0</v>
      </c>
      <c r="P123" s="143">
        <f t="shared" si="53"/>
        <v>0</v>
      </c>
      <c r="Q123" s="143">
        <f t="shared" si="53"/>
        <v>0</v>
      </c>
      <c r="R123" s="143">
        <f t="shared" si="53"/>
        <v>0</v>
      </c>
      <c r="S123" s="143">
        <f t="shared" si="53"/>
        <v>0</v>
      </c>
      <c r="T123" s="143">
        <f t="shared" si="53"/>
        <v>0</v>
      </c>
      <c r="U123" s="143">
        <f t="shared" si="53"/>
        <v>616</v>
      </c>
      <c r="V123" s="143">
        <f t="shared" si="53"/>
        <v>146</v>
      </c>
      <c r="W123" s="143">
        <f t="shared" si="53"/>
        <v>479</v>
      </c>
      <c r="X123" s="143">
        <f t="shared" si="53"/>
        <v>5714</v>
      </c>
      <c r="Y123" s="143">
        <f t="shared" si="53"/>
        <v>663</v>
      </c>
      <c r="Z123" s="143">
        <f t="shared" si="53"/>
        <v>0</v>
      </c>
      <c r="AA123" s="143">
        <f t="shared" si="46"/>
        <v>7618</v>
      </c>
      <c r="AB123" s="144">
        <f t="shared" si="47"/>
        <v>5.0872695786755115E-2</v>
      </c>
      <c r="AC123" s="140"/>
      <c r="AD123" s="143">
        <f>AD100+AD108+AD116</f>
        <v>0</v>
      </c>
      <c r="AE123" s="144" t="str">
        <f t="shared" si="48"/>
        <v/>
      </c>
      <c r="AF123" s="145">
        <f t="shared" si="49"/>
        <v>7618</v>
      </c>
      <c r="AG123" s="143">
        <f>AG100+AG108+AG116</f>
        <v>0</v>
      </c>
      <c r="AH123" s="144" t="str">
        <f t="shared" si="50"/>
        <v/>
      </c>
      <c r="AI123" s="145">
        <f t="shared" si="51"/>
        <v>7618</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25861.3</v>
      </c>
      <c r="P124" s="143">
        <f t="shared" si="54"/>
        <v>26563.4</v>
      </c>
      <c r="Q124" s="143">
        <f t="shared" si="54"/>
        <v>10741.599999999999</v>
      </c>
      <c r="R124" s="143">
        <f t="shared" si="54"/>
        <v>0</v>
      </c>
      <c r="S124" s="143">
        <f t="shared" si="54"/>
        <v>0</v>
      </c>
      <c r="T124" s="143">
        <f t="shared" si="54"/>
        <v>0</v>
      </c>
      <c r="U124" s="143">
        <f t="shared" si="54"/>
        <v>0</v>
      </c>
      <c r="V124" s="143">
        <f t="shared" si="54"/>
        <v>0</v>
      </c>
      <c r="W124" s="143">
        <f t="shared" si="54"/>
        <v>0</v>
      </c>
      <c r="X124" s="143">
        <f t="shared" si="54"/>
        <v>0</v>
      </c>
      <c r="Y124" s="143">
        <f t="shared" si="54"/>
        <v>1606.04</v>
      </c>
      <c r="Z124" s="143">
        <f t="shared" si="54"/>
        <v>4540.7</v>
      </c>
      <c r="AA124" s="143">
        <f t="shared" si="46"/>
        <v>69313.039999999994</v>
      </c>
      <c r="AB124" s="144">
        <f t="shared" si="47"/>
        <v>0.46286967681480551</v>
      </c>
      <c r="AC124" s="140"/>
      <c r="AD124" s="143">
        <f>AD101+AD109+AD117</f>
        <v>324174.06167999998</v>
      </c>
      <c r="AE124" s="144">
        <f t="shared" si="48"/>
        <v>0.77139999999999997</v>
      </c>
      <c r="AF124" s="145">
        <f t="shared" si="49"/>
        <v>-254861.02168000001</v>
      </c>
      <c r="AG124" s="143">
        <f>AG101+AG109+AG117</f>
        <v>221006.18</v>
      </c>
      <c r="AH124" s="144">
        <f t="shared" si="50"/>
        <v>0.5918014019302843</v>
      </c>
      <c r="AI124" s="145">
        <f t="shared" si="51"/>
        <v>-151693.14000000001</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3002</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3002</v>
      </c>
      <c r="AB125" s="144">
        <f t="shared" si="47"/>
        <v>2.004723454342857E-2</v>
      </c>
      <c r="AC125" s="140"/>
      <c r="AD125" s="143">
        <f>AD102+AD110+AD118</f>
        <v>0</v>
      </c>
      <c r="AE125" s="144" t="str">
        <f t="shared" si="48"/>
        <v/>
      </c>
      <c r="AF125" s="145">
        <f t="shared" si="49"/>
        <v>3002</v>
      </c>
      <c r="AG125" s="143">
        <f>AG102+AG110+AG118</f>
        <v>0</v>
      </c>
      <c r="AH125" s="144" t="str">
        <f t="shared" si="50"/>
        <v/>
      </c>
      <c r="AI125" s="145">
        <f t="shared" si="51"/>
        <v>3002</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25861.3</v>
      </c>
      <c r="P126" s="166">
        <f t="shared" si="56"/>
        <v>29565.4</v>
      </c>
      <c r="Q126" s="166">
        <f t="shared" si="56"/>
        <v>10741.599999999999</v>
      </c>
      <c r="R126" s="166">
        <f t="shared" si="56"/>
        <v>0</v>
      </c>
      <c r="S126" s="166">
        <f t="shared" si="56"/>
        <v>0</v>
      </c>
      <c r="T126" s="166">
        <f t="shared" si="56"/>
        <v>0</v>
      </c>
      <c r="U126" s="166">
        <f t="shared" si="56"/>
        <v>1849</v>
      </c>
      <c r="V126" s="166">
        <f t="shared" si="56"/>
        <v>993</v>
      </c>
      <c r="W126" s="166">
        <f t="shared" si="56"/>
        <v>3892.28</v>
      </c>
      <c r="X126" s="166">
        <f t="shared" si="56"/>
        <v>10341.719999999999</v>
      </c>
      <c r="Y126" s="166">
        <f t="shared" si="56"/>
        <v>7401.04</v>
      </c>
      <c r="Z126" s="166">
        <f t="shared" si="56"/>
        <v>11090.7</v>
      </c>
      <c r="AA126" s="166">
        <f t="shared" si="46"/>
        <v>101736.03999999998</v>
      </c>
      <c r="AB126" s="167">
        <f t="shared" si="47"/>
        <v>0.67938915902719199</v>
      </c>
      <c r="AC126" s="140"/>
      <c r="AD126" s="166">
        <f>SUM(AD121:AD125)</f>
        <v>324174.06167999998</v>
      </c>
      <c r="AE126" s="167">
        <f t="shared" si="48"/>
        <v>0.77139999999999997</v>
      </c>
      <c r="AF126" s="168">
        <f t="shared" si="49"/>
        <v>-222438.02168000001</v>
      </c>
      <c r="AG126" s="166">
        <f>SUM(AG121:AG125)</f>
        <v>223864.18</v>
      </c>
      <c r="AH126" s="167">
        <f t="shared" si="50"/>
        <v>0.59945443863141523</v>
      </c>
      <c r="AI126" s="168">
        <f t="shared" si="51"/>
        <v>-122128.14000000001</v>
      </c>
    </row>
    <row r="127" spans="1:35" x14ac:dyDescent="0.3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v>1078.6400000000001</v>
      </c>
      <c r="P130" s="143">
        <v>2345.7600000000002</v>
      </c>
      <c r="Q130" s="143">
        <v>1024.82</v>
      </c>
      <c r="R130" s="143"/>
      <c r="S130" s="143"/>
      <c r="T130" s="143"/>
      <c r="U130" s="143">
        <v>850.8</v>
      </c>
      <c r="V130" s="143">
        <v>1575.21</v>
      </c>
      <c r="W130" s="143">
        <v>2152.37</v>
      </c>
      <c r="X130" s="143">
        <v>2726.88</v>
      </c>
      <c r="Y130" s="143">
        <v>-367.65</v>
      </c>
      <c r="Z130" s="143">
        <v>-55</v>
      </c>
      <c r="AA130" s="143">
        <f>SUM(O130:Z130)</f>
        <v>11331.83</v>
      </c>
      <c r="AB130" s="436">
        <f>IF(_epmOfflineCondition_,0.233868274793154,IF(AA130=0,"",IFERROR(AA130/_xll.EVGTS($B$1,1,_xll.EVPRO($B$1,$H130,"COSBASIS"),$B$3,$B$5,$B$6,$B$7,$B$9,AA$16,AA$17,AA$11),"")))</f>
        <v>0.233868274793154</v>
      </c>
      <c r="AC130" s="140"/>
      <c r="AD130" s="143">
        <v>26706.81</v>
      </c>
      <c r="AE130" s="436">
        <f>IF(_epmOfflineCondition_,0.278001515055435,IF(AD130=0,"",IFERROR(AD130/_xll.EVGTS($B$1,1,_xll.EVPRO($B$1,$H130,"COSBASIS"),$B$3,$B$5,$B$6,$B$7,$B$9,AD$16,AD$17,AD$18),"")))</f>
        <v>0.27800151505543502</v>
      </c>
      <c r="AF130" s="145">
        <f t="shared" ref="AF130:AF141" si="58">IF(AND($AA130="",AD130=""),"",$AA130-AD130)</f>
        <v>-15374.980000000001</v>
      </c>
      <c r="AG130" s="143">
        <v>97457.71</v>
      </c>
      <c r="AH130" s="436">
        <f>IF(_epmOfflineCondition_,0.649960458587022,IF(AG130=0,"",IFERROR(AG130/_xll.EVGTS($B$1,1,_xll.EVPRO($B$1,$H130,"COSBASIS"),$B$3,$B$5,$B$6,$B$7,$B$9,AG$16,AG$17,AG$18),"")))</f>
        <v>0.64996045858702201</v>
      </c>
      <c r="AI130" s="145">
        <f t="shared" ref="AI130:AI141" si="59">IF(AND($AA130="",AG130=""),"",$AA130-AG130)</f>
        <v>-86125.88</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0.27800358252039298</v>
      </c>
      <c r="P131" s="508">
        <v>0.27798964246352897</v>
      </c>
      <c r="Q131" s="508">
        <v>0.27810583446404302</v>
      </c>
      <c r="R131" s="508"/>
      <c r="S131" s="508"/>
      <c r="T131" s="508"/>
      <c r="U131" s="508">
        <v>0.53308270676691705</v>
      </c>
      <c r="V131" s="508">
        <v>0.36985442592157802</v>
      </c>
      <c r="W131" s="508">
        <v>0.38756860513692198</v>
      </c>
      <c r="X131" s="508">
        <v>0.407918789623119</v>
      </c>
      <c r="Y131" s="508">
        <v>-6.7891351677755701E-2</v>
      </c>
      <c r="Z131" s="508">
        <v>-6.1507492730932698E-3</v>
      </c>
      <c r="AA131" s="508">
        <v>0.233868274793154</v>
      </c>
      <c r="AB131" s="436"/>
      <c r="AC131" s="140"/>
      <c r="AD131" s="508">
        <v>0.27800151505543502</v>
      </c>
      <c r="AE131" s="436"/>
      <c r="AF131" s="521">
        <f t="shared" si="58"/>
        <v>-4.413324026228102E-2</v>
      </c>
      <c r="AG131" s="508">
        <v>0.649960458587023</v>
      </c>
      <c r="AH131" s="436"/>
      <c r="AI131" s="521">
        <f t="shared" si="59"/>
        <v>-0.41609218379386903</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v>5291.54</v>
      </c>
      <c r="P132" s="143">
        <v>5984.77</v>
      </c>
      <c r="Q132" s="143">
        <v>2210.36</v>
      </c>
      <c r="R132" s="143"/>
      <c r="S132" s="143"/>
      <c r="T132" s="143"/>
      <c r="U132" s="143">
        <v>825.01</v>
      </c>
      <c r="V132" s="143">
        <v>408.41</v>
      </c>
      <c r="W132" s="143">
        <v>2003.51</v>
      </c>
      <c r="X132" s="143">
        <v>3086.37</v>
      </c>
      <c r="Y132" s="143">
        <v>2251</v>
      </c>
      <c r="Z132" s="143">
        <v>6.59</v>
      </c>
      <c r="AA132" s="143">
        <f>SUM(O132:Z132)</f>
        <v>22067.56</v>
      </c>
      <c r="AB132" s="436">
        <f>IF(_epmOfflineCondition_,0.216909956393034,IF(AA132=0,"",IFERROR(AA132/_xll.EVGTS($B$1,1,_xll.EVPRO($B$1,$H132,"COSBASIS"),$B$3,$B$5,$B$6,$B$7,$B$9,AA$16,AA$17,AA$11),"")))</f>
        <v>0.21690995639303401</v>
      </c>
      <c r="AC132" s="140"/>
      <c r="AD132" s="143">
        <v>69108.05</v>
      </c>
      <c r="AE132" s="436">
        <f>IF(_epmOfflineCondition_,0.213181923445245,IF(AD132=0,"",IFERROR(AD132/_xll.EVGTS($B$1,1,_xll.EVPRO($B$1,$H132,"COSBASIS"),$B$3,$B$5,$B$6,$B$7,$B$9,AD$16,AD$17,AD$18),"")))</f>
        <v>0.213181923445245</v>
      </c>
      <c r="AF132" s="145">
        <f t="shared" si="58"/>
        <v>-47040.490000000005</v>
      </c>
      <c r="AG132" s="143">
        <v>49131.79</v>
      </c>
      <c r="AH132" s="436">
        <f>IF(_epmOfflineCondition_,0.219471422359754,IF(AG132=0,"",IFERROR(AG132/_xll.EVGTS($B$1,1,_xll.EVPRO($B$1,$H132,"COSBASIS"),$B$3,$B$5,$B$6,$B$7,$B$9,AG$16,AG$17,AG$18),"")))</f>
        <v>0.219471422359754</v>
      </c>
      <c r="AI132" s="145">
        <f t="shared" si="59"/>
        <v>-27064.23</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0.204612297138968</v>
      </c>
      <c r="P133" s="508">
        <v>0.20242479384686199</v>
      </c>
      <c r="Q133" s="508">
        <v>0.20577567587696399</v>
      </c>
      <c r="R133" s="508"/>
      <c r="S133" s="508"/>
      <c r="T133" s="508"/>
      <c r="U133" s="508">
        <v>0.44619253650621998</v>
      </c>
      <c r="V133" s="508">
        <v>0.411289023162135</v>
      </c>
      <c r="W133" s="508">
        <v>0.514739432928772</v>
      </c>
      <c r="X133" s="508">
        <v>0.29843875100080097</v>
      </c>
      <c r="Y133" s="508">
        <v>0.30414644428350601</v>
      </c>
      <c r="Z133" s="508">
        <v>5.9419152984031701E-4</v>
      </c>
      <c r="AA133" s="508">
        <v>0.21690995639303401</v>
      </c>
      <c r="AB133" s="436"/>
      <c r="AC133" s="140"/>
      <c r="AD133" s="508">
        <v>0.213181923445245</v>
      </c>
      <c r="AE133" s="436"/>
      <c r="AF133" s="521">
        <f t="shared" si="58"/>
        <v>3.7280329477890062E-3</v>
      </c>
      <c r="AG133" s="508">
        <v>0.219471422359754</v>
      </c>
      <c r="AH133" s="436"/>
      <c r="AI133" s="521">
        <f t="shared" si="59"/>
        <v>-2.5614659667199946E-3</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v>3222.78</v>
      </c>
      <c r="P134" s="143">
        <v>3979.93</v>
      </c>
      <c r="Q134" s="143">
        <v>1359.64</v>
      </c>
      <c r="R134" s="143"/>
      <c r="S134" s="143"/>
      <c r="T134" s="143"/>
      <c r="U134" s="143">
        <v>475.96</v>
      </c>
      <c r="V134" s="143">
        <v>246.01</v>
      </c>
      <c r="W134" s="143">
        <v>1126.01</v>
      </c>
      <c r="X134" s="143">
        <v>2728.07</v>
      </c>
      <c r="Y134" s="143">
        <v>1479.81</v>
      </c>
      <c r="Z134" s="143">
        <v>6.59</v>
      </c>
      <c r="AA134" s="143">
        <f>SUM(O134:Z134)</f>
        <v>14624.8</v>
      </c>
      <c r="AB134" s="436">
        <f>IF(_epmOfflineCondition_,0.199503886729898,IF(AA134=0,"",IFERROR(AA134/_xll.EVGTS($B$1,1,_xll.EVPRO($B$1,$H134,"COSBASIS"),$B$3,$B$5,$B$6,$B$7,$B$9,AA$16,AA$17,AA$11),"")))</f>
        <v>0.19950388672989799</v>
      </c>
      <c r="AC134" s="140"/>
      <c r="AD134" s="143">
        <v>38903.839999999997</v>
      </c>
      <c r="AE134" s="436">
        <f>IF(_epmOfflineCondition_,0.199086077336089,IF(AD134=0,"",IFERROR(AD134/_xll.EVGTS($B$1,1,_xll.EVPRO($B$1,$H134,"COSBASIS"),$B$3,$B$5,$B$6,$B$7,$B$9,AD$16,AD$17,AD$18),"")))</f>
        <v>0.19908607733608899</v>
      </c>
      <c r="AF134" s="145">
        <f t="shared" si="58"/>
        <v>-24279.039999999997</v>
      </c>
      <c r="AG134" s="143">
        <v>30749.040000000001</v>
      </c>
      <c r="AH134" s="436">
        <f>IF(_epmOfflineCondition_,0.202142926545081,IF(AG134=0,"",IFERROR(AG134/_xll.EVGTS($B$1,1,_xll.EVPRO($B$1,$H134,"COSBASIS"),$B$3,$B$5,$B$6,$B$7,$B$9,AG$16,AG$17,AG$18),"")))</f>
        <v>0.20214292654508101</v>
      </c>
      <c r="AI134" s="145">
        <f t="shared" si="59"/>
        <v>-16124.240000000002</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0.18999775972456401</v>
      </c>
      <c r="P135" s="508">
        <v>0.18999818591506301</v>
      </c>
      <c r="Q135" s="508">
        <v>0.18999468991923099</v>
      </c>
      <c r="R135" s="508"/>
      <c r="S135" s="508"/>
      <c r="T135" s="508"/>
      <c r="U135" s="508">
        <v>0.31667332002661303</v>
      </c>
      <c r="V135" s="508">
        <v>0.57211627906976703</v>
      </c>
      <c r="W135" s="508">
        <v>0.355401037787064</v>
      </c>
      <c r="X135" s="508">
        <v>0.30798783434111698</v>
      </c>
      <c r="Y135" s="508">
        <v>0.23507555154534401</v>
      </c>
      <c r="Z135" s="508">
        <v>8.2517342415666997E-4</v>
      </c>
      <c r="AA135" s="508">
        <v>0.19950388672989799</v>
      </c>
      <c r="AB135" s="436"/>
      <c r="AC135" s="140"/>
      <c r="AD135" s="508">
        <v>0.19908607733608899</v>
      </c>
      <c r="AE135" s="436"/>
      <c r="AF135" s="521">
        <f t="shared" si="58"/>
        <v>4.1780939380900439E-4</v>
      </c>
      <c r="AG135" s="508">
        <v>0.20214292654508101</v>
      </c>
      <c r="AH135" s="436"/>
      <c r="AI135" s="521">
        <f t="shared" si="59"/>
        <v>-2.6390398151830141E-3</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v>735.21</v>
      </c>
      <c r="P136" s="143">
        <v>702.66</v>
      </c>
      <c r="Q136" s="143">
        <v>197.4</v>
      </c>
      <c r="R136" s="143"/>
      <c r="S136" s="143"/>
      <c r="T136" s="143"/>
      <c r="U136" s="143">
        <v>49.69</v>
      </c>
      <c r="V136" s="143">
        <v>76.45</v>
      </c>
      <c r="W136" s="143">
        <v>120.81</v>
      </c>
      <c r="X136" s="143">
        <v>105.26</v>
      </c>
      <c r="Y136" s="143">
        <v>132.19</v>
      </c>
      <c r="Z136" s="143"/>
      <c r="AA136" s="143">
        <f>SUM(O136:Z136)</f>
        <v>2119.67</v>
      </c>
      <c r="AB136" s="436">
        <f>IF(_epmOfflineCondition_,0.192303749327513,IF(AA136=0,"",IFERROR(AA136/_xll.EVGTS($B$1,1,_xll.EVPRO($B$1,$H136,"COSBASIS"),$B$3,$B$5,$B$6,$B$7,$B$9,AA$16,AA$17,AA$11),"")))</f>
        <v>0.19230374932751301</v>
      </c>
      <c r="AC136" s="140"/>
      <c r="AD136" s="143">
        <v>9081.01</v>
      </c>
      <c r="AE136" s="436">
        <f>IF(_epmOfflineCondition_,0.210000414154309,IF(AD136=0,"",IFERROR(AD136/_xll.EVGTS($B$1,1,_xll.EVPRO($B$1,$H136,"COSBASIS"),$B$3,$B$5,$B$6,$B$7,$B$9,AD$16,AD$17,AD$18),"")))</f>
        <v>0.21000041415430901</v>
      </c>
      <c r="AF136" s="145">
        <f t="shared" si="58"/>
        <v>-6961.34</v>
      </c>
      <c r="AG136" s="143">
        <v>5265.61</v>
      </c>
      <c r="AH136" s="436">
        <f>IF(_epmOfflineCondition_,0.187089445753544,IF(AG136=0,"",IFERROR(AG136/_xll.EVGTS($B$1,1,_xll.EVPRO($B$1,$H136,"COSBASIS"),$B$3,$B$5,$B$6,$B$7,$B$9,AG$16,AG$17,AG$18),"")))</f>
        <v>0.187089445753544</v>
      </c>
      <c r="AI136" s="145">
        <f t="shared" si="59"/>
        <v>-3145.9399999999996</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0.21002939571662399</v>
      </c>
      <c r="P137" s="508">
        <v>0.210012553051587</v>
      </c>
      <c r="Q137" s="508">
        <v>0.20995532865347799</v>
      </c>
      <c r="R137" s="508"/>
      <c r="S137" s="508"/>
      <c r="T137" s="508"/>
      <c r="U137" s="508">
        <v>0.171344827586207</v>
      </c>
      <c r="V137" s="508">
        <v>0.168763796909492</v>
      </c>
      <c r="W137" s="508">
        <v>0.27645308924485101</v>
      </c>
      <c r="X137" s="508">
        <v>0.20679764243614901</v>
      </c>
      <c r="Y137" s="508">
        <v>0.28065817409766503</v>
      </c>
      <c r="Z137" s="508"/>
      <c r="AA137" s="508">
        <v>0.19230374932751301</v>
      </c>
      <c r="AB137" s="436"/>
      <c r="AC137" s="140"/>
      <c r="AD137" s="508">
        <v>0.21000041415430901</v>
      </c>
      <c r="AE137" s="436"/>
      <c r="AF137" s="521">
        <f t="shared" si="58"/>
        <v>-1.7696664826795994E-2</v>
      </c>
      <c r="AG137" s="508">
        <v>0.187089445753544</v>
      </c>
      <c r="AH137" s="436"/>
      <c r="AI137" s="521">
        <f t="shared" si="59"/>
        <v>5.2143035739690147E-3</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v>1333.55</v>
      </c>
      <c r="P138" s="143">
        <v>1302.18</v>
      </c>
      <c r="Q138" s="143">
        <v>653.32000000000005</v>
      </c>
      <c r="R138" s="143"/>
      <c r="S138" s="143"/>
      <c r="T138" s="143"/>
      <c r="U138" s="143">
        <v>299.36</v>
      </c>
      <c r="V138" s="143">
        <v>85.95</v>
      </c>
      <c r="W138" s="143">
        <v>756.69</v>
      </c>
      <c r="X138" s="143">
        <v>253.04</v>
      </c>
      <c r="Y138" s="143">
        <v>639</v>
      </c>
      <c r="Z138" s="143"/>
      <c r="AA138" s="143">
        <f>SUM(O138:Z138)</f>
        <v>5323.09</v>
      </c>
      <c r="AB138" s="436">
        <f>IF(_epmOfflineCondition_,0.305789567714039,IF(AA138=0,"",IFERROR(AA138/_xll.EVGTS($B$1,1,_xll.EVPRO($B$1,$H138,"COSBASIS"),$B$3,$B$5,$B$6,$B$7,$B$9,AA$16,AA$17,AA$11),"")))</f>
        <v>0.30578956771403898</v>
      </c>
      <c r="AC138" s="140"/>
      <c r="AD138" s="143">
        <v>21123.200000000001</v>
      </c>
      <c r="AE138" s="436">
        <f>IF(_epmOfflineCondition_,0.246999838662912,IF(AD138=0,"",IFERROR(AD138/_xll.EVGTS($B$1,1,_xll.EVPRO($B$1,$H138,"COSBASIS"),$B$3,$B$5,$B$6,$B$7,$B$9,AD$16,AD$17,AD$18),"")))</f>
        <v>0.246999838662912</v>
      </c>
      <c r="AF138" s="145">
        <f t="shared" si="58"/>
        <v>-15800.11</v>
      </c>
      <c r="AG138" s="143">
        <v>13117.14</v>
      </c>
      <c r="AH138" s="436">
        <f>IF(_epmOfflineCondition_,0.300824512269069,IF(AG138=0,"",IFERROR(AG138/_xll.EVGTS($B$1,1,_xll.EVPRO($B$1,$H138,"COSBASIS"),$B$3,$B$5,$B$6,$B$7,$B$9,AG$16,AG$17,AG$18),"")))</f>
        <v>0.30082451226906898</v>
      </c>
      <c r="AI138" s="145">
        <f t="shared" si="59"/>
        <v>-7794.0499999999993</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0.247018202901128</v>
      </c>
      <c r="P139" s="508">
        <v>0.24698050223807</v>
      </c>
      <c r="Q139" s="508">
        <v>0.246983214879782</v>
      </c>
      <c r="R139" s="508"/>
      <c r="S139" s="508"/>
      <c r="T139" s="508"/>
      <c r="U139" s="508">
        <v>5.3457142857142896</v>
      </c>
      <c r="V139" s="508">
        <v>0.78136363636363604</v>
      </c>
      <c r="W139" s="508">
        <v>2.6365505226480801</v>
      </c>
      <c r="X139" s="508">
        <v>0.25952820512820501</v>
      </c>
      <c r="Y139" s="508">
        <v>1.00629921259843</v>
      </c>
      <c r="Z139" s="508"/>
      <c r="AA139" s="508">
        <v>0.30578956771403898</v>
      </c>
      <c r="AB139" s="436"/>
      <c r="AC139" s="140"/>
      <c r="AD139" s="508">
        <v>0.246999838662912</v>
      </c>
      <c r="AE139" s="436"/>
      <c r="AF139" s="521">
        <f t="shared" si="58"/>
        <v>5.8789729051126977E-2</v>
      </c>
      <c r="AG139" s="508">
        <v>0.30082451226906898</v>
      </c>
      <c r="AH139" s="436"/>
      <c r="AI139" s="521">
        <f t="shared" si="59"/>
        <v>4.9650554449700013E-3</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v>6370.18</v>
      </c>
      <c r="P140" s="143">
        <v>8330.5300000000007</v>
      </c>
      <c r="Q140" s="143">
        <v>3235.18</v>
      </c>
      <c r="R140" s="143"/>
      <c r="S140" s="143"/>
      <c r="T140" s="143"/>
      <c r="U140" s="143">
        <v>1675.81</v>
      </c>
      <c r="V140" s="143">
        <v>1983.62</v>
      </c>
      <c r="W140" s="143">
        <v>4155.88</v>
      </c>
      <c r="X140" s="143">
        <v>5813.25</v>
      </c>
      <c r="Y140" s="143">
        <v>1883.35</v>
      </c>
      <c r="Z140" s="143">
        <v>-48.41</v>
      </c>
      <c r="AA140" s="143">
        <f>SUM(O140:Z140)</f>
        <v>33399.39</v>
      </c>
      <c r="AB140" s="436">
        <f>IF(_epmOfflineCondition_,0.223039775129062,IF(AA140=0,"",IFERROR(AA140/_xll.EVGTS($B$1,1,_xll.EVPRO($B$1,$H140,"COSBASIS"),$B$3,$B$5,$B$6,$B$7,$B$9,AA$16,AA$17,AA$11),"")))</f>
        <v>0.22303977512906201</v>
      </c>
      <c r="AC140" s="140"/>
      <c r="AD140" s="143">
        <v>95814.86</v>
      </c>
      <c r="AE140" s="436">
        <f>IF(_epmOfflineCondition_,0.227999682087335,IF(AD140=0,"",IFERROR(AD140/_xll.EVGTS($B$1,1,_xll.EVPRO($B$1,$H140,"COSBASIS"),$B$3,$B$5,$B$6,$B$7,$B$9,AD$16,AD$17,AD$18),"")))</f>
        <v>0.22799968208733501</v>
      </c>
      <c r="AF140" s="145">
        <f t="shared" si="58"/>
        <v>-62415.47</v>
      </c>
      <c r="AG140" s="143">
        <v>146589.5</v>
      </c>
      <c r="AH140" s="436">
        <f>IF(_epmOfflineCondition_,0.392531428796513,IF(AG140=0,"",IFERROR(AG140/_xll.EVGTS($B$1,1,_xll.EVPRO($B$1,$H140,"COSBASIS"),$B$3,$B$5,$B$6,$B$7,$B$9,AG$16,AG$17,AG$18),"")))</f>
        <v>0.39253142879651298</v>
      </c>
      <c r="AI140" s="145">
        <f t="shared" si="59"/>
        <v>-113190.11</v>
      </c>
    </row>
    <row r="141" spans="1:35" x14ac:dyDescent="0.35">
      <c r="A141" s="11"/>
      <c r="B141" s="11"/>
      <c r="C141" s="208"/>
      <c r="D141" s="11"/>
      <c r="E141" s="11"/>
      <c r="F141" s="11"/>
      <c r="G141" s="11"/>
      <c r="H141" s="185"/>
      <c r="I141" s="122"/>
      <c r="J141" s="122"/>
      <c r="K141" s="11"/>
      <c r="L141" s="90"/>
      <c r="M141" s="90"/>
      <c r="N141" s="493" t="s">
        <v>762</v>
      </c>
      <c r="O141" s="508">
        <f t="shared" ref="O141:AA141" si="60">IFERROR(O140/O85,"")</f>
        <v>0.21418669356533435</v>
      </c>
      <c r="P141" s="508">
        <f t="shared" si="60"/>
        <v>0.21973599595268356</v>
      </c>
      <c r="Q141" s="508">
        <f t="shared" si="60"/>
        <v>0.22760677927943773</v>
      </c>
      <c r="R141" s="508" t="str">
        <f t="shared" si="60"/>
        <v/>
      </c>
      <c r="S141" s="508" t="str">
        <f t="shared" si="60"/>
        <v/>
      </c>
      <c r="T141" s="508" t="str">
        <f t="shared" si="60"/>
        <v/>
      </c>
      <c r="U141" s="508">
        <f t="shared" si="60"/>
        <v>0.48644702467343975</v>
      </c>
      <c r="V141" s="508">
        <f t="shared" si="60"/>
        <v>0.37768849961919265</v>
      </c>
      <c r="W141" s="508">
        <f t="shared" si="60"/>
        <v>0.43997120413305391</v>
      </c>
      <c r="X141" s="508">
        <f t="shared" si="60"/>
        <v>0.34355523300825136</v>
      </c>
      <c r="Y141" s="508">
        <f t="shared" si="60"/>
        <v>0.14732905222364506</v>
      </c>
      <c r="Z141" s="508">
        <f t="shared" si="60"/>
        <v>-2.4165489424790463E-3</v>
      </c>
      <c r="AA141" s="508">
        <f t="shared" si="60"/>
        <v>0.22303977512906153</v>
      </c>
      <c r="AB141" s="436"/>
      <c r="AC141" s="140"/>
      <c r="AD141" s="508">
        <f>IFERROR(AD140/AD85,"")</f>
        <v>0.22799968208733459</v>
      </c>
      <c r="AE141" s="436"/>
      <c r="AF141" s="521">
        <f t="shared" si="58"/>
        <v>-4.9599069582730582E-3</v>
      </c>
      <c r="AG141" s="508">
        <f>IFERROR(AG140/AG85,"")</f>
        <v>0.39253142879651337</v>
      </c>
      <c r="AH141" s="436"/>
      <c r="AI141" s="521">
        <f t="shared" si="59"/>
        <v>-0.16949165366745184</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3.907985046680551E-14</v>
      </c>
      <c r="P145" s="510">
        <f t="shared" si="63"/>
        <v>0</v>
      </c>
      <c r="Q145" s="510">
        <f t="shared" si="63"/>
        <v>2.8421709430404007E-14</v>
      </c>
      <c r="R145" s="510" t="e">
        <f t="shared" si="63"/>
        <v>#VALUE!</v>
      </c>
      <c r="S145" s="510" t="e">
        <f t="shared" si="63"/>
        <v>#VALUE!</v>
      </c>
      <c r="T145" s="510" t="e">
        <f t="shared" si="63"/>
        <v>#VALUE!</v>
      </c>
      <c r="U145" s="510">
        <f t="shared" si="63"/>
        <v>0</v>
      </c>
      <c r="V145" s="510">
        <f t="shared" si="63"/>
        <v>3.1974423109204508E-14</v>
      </c>
      <c r="W145" s="510">
        <f t="shared" si="63"/>
        <v>0</v>
      </c>
      <c r="X145" s="510">
        <f t="shared" si="63"/>
        <v>3.5527136788005009E-14</v>
      </c>
      <c r="Y145" s="510">
        <f t="shared" si="63"/>
        <v>4.7961634663806763E-14</v>
      </c>
      <c r="Z145" s="510">
        <f t="shared" si="63"/>
        <v>0</v>
      </c>
      <c r="AA145" s="510">
        <f t="shared" si="63"/>
        <v>0</v>
      </c>
      <c r="AB145" s="144"/>
      <c r="AC145" s="140"/>
      <c r="AD145" s="510">
        <f>IFERROR(AD$85/AD87,"")-AD88</f>
        <v>0</v>
      </c>
      <c r="AE145" s="144"/>
      <c r="AF145" s="143"/>
      <c r="AG145" s="510">
        <f>IFERROR(AG$85/AG87,"")-AG88</f>
        <v>-4.6185277824406512E-14</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XmezmGEjcSqcj0zsOVPeLoATdd/Jj5IHvpG9eojP0hd+rnHKfgIBf+fVDHgDRxX5BYic9DmtJ2fdYDUUaXz8Fg==" saltValue="Ct04/BM8RhJD/aKq7yWT8g==" spinCount="100000" sheet="1" scenarios="1"/>
  <mergeCells count="2">
    <mergeCell ref="AD31:AE31"/>
    <mergeCell ref="AG31:AH31"/>
  </mergeCells>
  <conditionalFormatting sqref="AD43 AF43:AG43 O43:AA43">
    <cfRule type="expression" dxfId="65" priority="15">
      <formula>ROUND(O42,2)&lt;&gt;ROUND(O43,2)</formula>
    </cfRule>
  </conditionalFormatting>
  <conditionalFormatting sqref="N43">
    <cfRule type="expression" dxfId="64" priority="14">
      <formula>$G43&lt;&gt;0</formula>
    </cfRule>
  </conditionalFormatting>
  <conditionalFormatting sqref="O53:AA53 AD53 AF53:AG53">
    <cfRule type="expression" dxfId="63" priority="13">
      <formula>ROUND(O52,2)&lt;&gt;ROUND(O53,2)</formula>
    </cfRule>
  </conditionalFormatting>
  <conditionalFormatting sqref="N53">
    <cfRule type="expression" dxfId="62" priority="12">
      <formula>$G53&lt;&gt;0</formula>
    </cfRule>
  </conditionalFormatting>
  <conditionalFormatting sqref="O63:AA63 AD63 AF63:AG63">
    <cfRule type="expression" dxfId="61" priority="11">
      <formula>ROUND(O62,2)&lt;&gt;ROUND(O63,2)</formula>
    </cfRule>
  </conditionalFormatting>
  <conditionalFormatting sqref="N63">
    <cfRule type="expression" dxfId="60" priority="10">
      <formula>$G63&lt;&gt;0</formula>
    </cfRule>
  </conditionalFormatting>
  <conditionalFormatting sqref="O73:AA73 AD73 AF73:AG73">
    <cfRule type="expression" dxfId="59" priority="9">
      <formula>ROUND(O72,2)&lt;&gt;ROUND(O73,2)</formula>
    </cfRule>
  </conditionalFormatting>
  <conditionalFormatting sqref="N73">
    <cfRule type="expression" dxfId="58" priority="8">
      <formula>$G73&lt;&gt;0</formula>
    </cfRule>
  </conditionalFormatting>
  <conditionalFormatting sqref="N82">
    <cfRule type="expression" dxfId="57" priority="7">
      <formula>$G82&lt;&gt;0</formula>
    </cfRule>
  </conditionalFormatting>
  <conditionalFormatting sqref="AD82 AF82:AG82 O82:AA82">
    <cfRule type="expression" dxfId="56" priority="6">
      <formula>ROUND(O81,2)&lt;&gt;ROUND(O82,2)</formula>
    </cfRule>
  </conditionalFormatting>
  <conditionalFormatting sqref="AI43">
    <cfRule type="expression" dxfId="55" priority="5">
      <formula>ROUND(AI42,2)&lt;&gt;ROUND(AI43,2)</formula>
    </cfRule>
  </conditionalFormatting>
  <conditionalFormatting sqref="AI53">
    <cfRule type="expression" dxfId="54" priority="4">
      <formula>ROUND(AI52,2)&lt;&gt;ROUND(AI53,2)</formula>
    </cfRule>
  </conditionalFormatting>
  <conditionalFormatting sqref="AI63">
    <cfRule type="expression" dxfId="53" priority="3">
      <formula>ROUND(AI62,2)&lt;&gt;ROUND(AI63,2)</formula>
    </cfRule>
  </conditionalFormatting>
  <conditionalFormatting sqref="AI73">
    <cfRule type="expression" dxfId="52" priority="2">
      <formula>ROUND(AI72,2)&lt;&gt;ROUND(AI73,2)</formula>
    </cfRule>
  </conditionalFormatting>
  <conditionalFormatting sqref="AI82">
    <cfRule type="expression" dxfId="51" priority="1">
      <formula>ROUND(AI81,2)&lt;&gt;ROUND(AI82,2)</formula>
    </cfRule>
  </conditionalFormatting>
  <dataValidations disablePrompts="1" count="2">
    <dataValidation type="list" allowBlank="1" sqref="B29" xr:uid="{00000000-0002-0000-1400-000000000000}">
      <formula1>"SELF,ALL,BAS,DEP,BASMEMBERS,MEMBERS,NOEXPAND,GDEP"</formula1>
    </dataValidation>
    <dataValidation type="list" allowBlank="1" sqref="B28" xr:uid="{00000000-0002-0000-1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346</v>
      </c>
      <c r="C6" s="11" t="str">
        <f>IF(_epmOfflineCondition_,"In Room Dining",_xll.EVDES(B6,$B$1))</f>
        <v>In Room Dining</v>
      </c>
      <c r="D6" s="11"/>
      <c r="E6" s="58" t="str">
        <f>IF(_epmOfflineCondition_,"D2147",_xll.EVPRO($B$1,$B$6,$F$6))</f>
        <v>D2147</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IF(_epmOfflineCondition_,"'IRD'!$B$2:$B$10",_xll.EVRNG($B$2:$B$10))</f>
        <v>'IRD'!$B$2:$B$10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IF(_epmOfflineCondition_,"'IRD'!$O$16:$AN$18",_xll.EVRNG($O$16:$AN$18))</f>
        <v>'IRD'!$O$16:$AN$18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IF(_epmOfflineCondition_,"'IRD'!$H$35:$H$51",_xll.EVRNG(H35:H51))</f>
        <v>'IRD'!$H$35:$H$51</v>
      </c>
      <c r="C19" s="11"/>
      <c r="D19" s="11"/>
      <c r="E19" s="11"/>
      <c r="F19" s="11"/>
      <c r="G19" s="67" t="str">
        <f>$B$6</f>
        <v>D_RS_CON</v>
      </c>
      <c r="H19" s="67">
        <v>400000</v>
      </c>
      <c r="I19" s="68"/>
      <c r="J19" s="68"/>
      <c r="K19" s="67"/>
      <c r="L19" s="67"/>
      <c r="M19" s="67"/>
      <c r="N19" s="67" t="str">
        <f>IF(_epmOfflineCondition_,"Total Revenue",_xll.EVDES(H19))</f>
        <v>Total Revenue</v>
      </c>
      <c r="O19" s="69">
        <f>IF(_epmOfflineCondition_,9443.88,_xll.EVGTS($B$1,1,$B$3,$B$5,$B$7,$B$9,O$16,O$17,O$18,$G$19,$H$19))</f>
        <v>9443.8799999999992</v>
      </c>
      <c r="P19" s="69">
        <f>IF(_epmOfflineCondition_,11577.33,_xll.EVGTS($B$1,1,$B$3,$B$5,$B$7,$B$9,P$16,P$17,P$18,$G$19,$H$19))</f>
        <v>11577.33</v>
      </c>
      <c r="Q19" s="69">
        <f>IF(_epmOfflineCondition_,5436.2,_xll.EVGTS($B$1,1,$B$3,$B$5,$B$7,$B$9,Q$16,Q$17,Q$18,$G$19,$H$19))</f>
        <v>5436.2</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26457.41</v>
      </c>
      <c r="AB19" s="67"/>
      <c r="AC19" s="67"/>
      <c r="AD19" s="69">
        <f>IF(_epmOfflineCondition_,123516.8,_xll.EVGTS($B$1,1,$B$3,$B$5,$B$7,$B$9,AD$16,AD$17,AD$18,$G$19,$H$19))</f>
        <v>123516.8</v>
      </c>
      <c r="AE19" s="67"/>
      <c r="AF19" s="67"/>
      <c r="AG19" s="69">
        <f>IF(_epmOfflineCondition_,14465.36,_xll.EVGTS($B$1,1,$B$3,$B$5,$B$7,$B$9,AG$16,AG$17,AG$18,$G$19,$H$19))</f>
        <v>14465.36</v>
      </c>
      <c r="AH19" s="67"/>
      <c r="AI19" s="67"/>
      <c r="AJ19" s="11"/>
      <c r="AK19" s="11"/>
      <c r="AL19" s="11"/>
      <c r="AM19" s="11"/>
      <c r="AN19" s="11"/>
      <c r="AO19" s="11"/>
    </row>
    <row r="20" spans="1:41" hidden="1" outlineLevel="1" x14ac:dyDescent="0.35">
      <c r="A20" s="65" t="s">
        <v>5</v>
      </c>
      <c r="B20" s="66"/>
      <c r="C20" s="11"/>
      <c r="D20" s="11"/>
      <c r="E20" s="11"/>
      <c r="F20" s="11"/>
      <c r="G20" s="67" t="str">
        <f>$B$6</f>
        <v>D_RS_CON</v>
      </c>
      <c r="H20" s="67">
        <v>946000</v>
      </c>
      <c r="I20" s="68"/>
      <c r="J20" s="68"/>
      <c r="K20" s="67"/>
      <c r="L20" s="68"/>
      <c r="M20" s="68"/>
      <c r="N20" s="67" t="str">
        <f>IF(_epmOfflineCondition_,"Total Customers",_xll.EVDES(H20))</f>
        <v>Total Customers</v>
      </c>
      <c r="O20" s="69">
        <f>IF(_epmOfflineCondition_,358,_xll.EVGTS($B$1,1,$B$3,$B$5,$B$7,$B$9,O$16,O$17,O$18,$G$20,$H$20))</f>
        <v>358</v>
      </c>
      <c r="P20" s="69">
        <f>IF(_epmOfflineCondition_,429,_xll.EVGTS($B$1,1,$B$3,$B$5,$B$7,$B$9,P$16,P$17,P$18,$G$20,$H$20))</f>
        <v>429</v>
      </c>
      <c r="Q20" s="69">
        <f>IF(_epmOfflineCondition_,237,_xll.EVGTS($B$1,1,$B$3,$B$5,$B$7,$B$9,Q$16,Q$17,Q$18,$G$20,$H$20))</f>
        <v>237</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1024</v>
      </c>
      <c r="AB20" s="67"/>
      <c r="AC20" s="67"/>
      <c r="AD20" s="69">
        <f>IF(_epmOfflineCondition_,3815,_xll.EVGTS($B$1,1,$B$3,$B$5,$B$7,$B$9,AD$16,AD$17,AD$18,$G$20,$H$20))</f>
        <v>3815</v>
      </c>
      <c r="AE20" s="67"/>
      <c r="AF20" s="67"/>
      <c r="AG20" s="69">
        <f>IF(_epmOfflineCondition_,564,_xll.EVGTS($B$1,1,$B$3,$B$5,$B$7,$B$9,AG$16,AG$17,AG$18,$G$20,$H$20))</f>
        <v>564</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IF(_epmOfflineCondition_,"'IRD'!$A$36:$F$44",_xll.EVRNG(A36:F44))</f>
        <v>'IRD'!$A$36:$F$44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IF(_epmOfflineCondition_,"'IRD'!$A$125:$B$146",_xll.EVRNG($A$125:$B$146))</f>
        <v>'IRD'!$A$125:$B$146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IF(_epmOfflineCondition_,"In Room Dining Department",IF(_xll.EVDES(B6,$B$1)="#NODATA","",_xll.EVDES(B6,$B$1)&amp;" Department"))</f>
        <v>In Room Dining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D2147=Y,REV_F,BEV,DEP(REV_BEV) AND D2147=Y,REV_BEV,ALLOW_FB,REV_FB,OTHR_REV,DEP(REV_OTHR) AND D2147=Y,REV_OTHR,400000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1"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v>3458</v>
      </c>
      <c r="P35" s="564">
        <v>2986</v>
      </c>
      <c r="Q35" s="564">
        <v>1172</v>
      </c>
      <c r="R35" s="564"/>
      <c r="S35" s="564"/>
      <c r="T35" s="564"/>
      <c r="U35" s="564"/>
      <c r="V35" s="564"/>
      <c r="W35" s="564"/>
      <c r="X35" s="564"/>
      <c r="Y35" s="564"/>
      <c r="Z35" s="564"/>
      <c r="AA35" s="250">
        <f t="shared" ref="AA35:AA51" si="1">IF($I35="B1","",SUM(O35:Z35))</f>
        <v>7616</v>
      </c>
      <c r="AB35" s="565">
        <f t="shared" ref="AB35:AB51" si="2">IF(AA35=0,"",IFERROR(AA35/AA$19,""))</f>
        <v>0.28785886449202702</v>
      </c>
      <c r="AC35" s="437"/>
      <c r="AD35" s="564">
        <v>39752.902999999998</v>
      </c>
      <c r="AE35" s="565">
        <f t="shared" ref="AE35:AE51" si="3">IF(AD35=0,"",IFERROR(AD35/AD$19,""))</f>
        <v>0.32184207330500786</v>
      </c>
      <c r="AF35" s="566">
        <f t="shared" ref="AF35:AF51" si="4">IF(AND($AA35="",AD35=""),"",$AA35-AD35)</f>
        <v>-32136.902999999998</v>
      </c>
      <c r="AG35" s="564">
        <v>4034</v>
      </c>
      <c r="AH35" s="565">
        <f t="shared" ref="AH35:AH51" si="5">IF(AG35=0,"",IFERROR(AG35/AG$19,""))</f>
        <v>0.27887311480668298</v>
      </c>
      <c r="AI35" s="567">
        <f t="shared" ref="AI35:AI51" si="6">IF(AND($AA35="",AG35=""),"",$AA35-AG35)</f>
        <v>3582</v>
      </c>
      <c r="AJ35" s="440">
        <f t="shared" ref="AJ35:AJ51" si="7">IFERROR(AA35/AA$20,0)</f>
        <v>7.4375</v>
      </c>
      <c r="AK35" s="441">
        <f t="shared" ref="AK35:AK51" si="8">IFERROR(AD35/AD$20,0)</f>
        <v>10.420158060288335</v>
      </c>
      <c r="AL35" s="442">
        <f t="shared" ref="AL35:AL51" si="9">IFERROR(AG35/AG$20,0)</f>
        <v>7.1524822695035457</v>
      </c>
      <c r="AM35" s="443" t="str">
        <f t="shared" ref="AM35:AM51" si="10">+IFERROR(ROUND(($AB35-AE35)*100,2)&amp;" pts.",0)</f>
        <v>-3.4 pts.</v>
      </c>
      <c r="AN35" s="444" t="str">
        <f t="shared" ref="AN35:AN51" si="11">+IFERROR(ROUND(($AB35-AH35)*100,2)&amp;" pts.",0)</f>
        <v>0.9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v>617</v>
      </c>
      <c r="P36" s="564">
        <v>1973</v>
      </c>
      <c r="Q36" s="564">
        <v>1044</v>
      </c>
      <c r="R36" s="564"/>
      <c r="S36" s="564"/>
      <c r="T36" s="564"/>
      <c r="U36" s="564"/>
      <c r="V36" s="564"/>
      <c r="W36" s="564"/>
      <c r="X36" s="564"/>
      <c r="Y36" s="564"/>
      <c r="Z36" s="564"/>
      <c r="AA36" s="250">
        <f t="shared" si="1"/>
        <v>3634</v>
      </c>
      <c r="AB36" s="565">
        <f t="shared" si="2"/>
        <v>0.13735282478519251</v>
      </c>
      <c r="AC36" s="437"/>
      <c r="AD36" s="564">
        <v>7894.7280000000001</v>
      </c>
      <c r="AE36" s="565">
        <f t="shared" si="3"/>
        <v>6.3916228399699473E-2</v>
      </c>
      <c r="AF36" s="566">
        <f t="shared" si="4"/>
        <v>-4260.7280000000001</v>
      </c>
      <c r="AG36" s="564">
        <v>1980</v>
      </c>
      <c r="AH36" s="565">
        <f t="shared" si="5"/>
        <v>0.13687872268647305</v>
      </c>
      <c r="AI36" s="567">
        <f t="shared" si="6"/>
        <v>1654</v>
      </c>
      <c r="AJ36" s="440">
        <f t="shared" si="7"/>
        <v>3.548828125</v>
      </c>
      <c r="AK36" s="441">
        <f t="shared" si="8"/>
        <v>2.0693913499344694</v>
      </c>
      <c r="AL36" s="442">
        <f t="shared" si="9"/>
        <v>3.5106382978723403</v>
      </c>
      <c r="AM36" s="443" t="str">
        <f t="shared" si="10"/>
        <v>7.34 pts.</v>
      </c>
      <c r="AN36" s="444" t="str">
        <f t="shared" si="11"/>
        <v>0.05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45">
        <v>2557.9</v>
      </c>
      <c r="P37" s="251">
        <v>2360.75</v>
      </c>
      <c r="Q37" s="251">
        <v>1137.5</v>
      </c>
      <c r="R37" s="251"/>
      <c r="S37" s="251"/>
      <c r="T37" s="251"/>
      <c r="U37" s="251"/>
      <c r="V37" s="251"/>
      <c r="W37" s="251"/>
      <c r="X37" s="251"/>
      <c r="Y37" s="251"/>
      <c r="Z37" s="251"/>
      <c r="AA37" s="251">
        <f t="shared" si="1"/>
        <v>6056.15</v>
      </c>
      <c r="AB37" s="446">
        <f t="shared" si="2"/>
        <v>0.2289018464014429</v>
      </c>
      <c r="AC37" s="437"/>
      <c r="AD37" s="251">
        <v>17676.770199999999</v>
      </c>
      <c r="AE37" s="446">
        <f t="shared" si="3"/>
        <v>0.14311227460555973</v>
      </c>
      <c r="AF37" s="447">
        <f t="shared" si="4"/>
        <v>-11620.620199999999</v>
      </c>
      <c r="AG37" s="251">
        <v>4173</v>
      </c>
      <c r="AH37" s="446">
        <f t="shared" si="5"/>
        <v>0.28848227766194551</v>
      </c>
      <c r="AI37" s="448">
        <f t="shared" si="6"/>
        <v>1883.1499999999996</v>
      </c>
      <c r="AJ37" s="449">
        <f t="shared" si="7"/>
        <v>5.9142089843749996</v>
      </c>
      <c r="AK37" s="450">
        <f t="shared" si="8"/>
        <v>4.6334915334207079</v>
      </c>
      <c r="AL37" s="451">
        <f t="shared" si="9"/>
        <v>7.3989361702127656</v>
      </c>
      <c r="AM37" s="452" t="str">
        <f t="shared" si="10"/>
        <v>8.58 pts.</v>
      </c>
      <c r="AN37" s="453" t="str">
        <f t="shared" si="11"/>
        <v>-5.96 pts.</v>
      </c>
      <c r="AO37" s="11"/>
    </row>
    <row r="38" spans="1:41" x14ac:dyDescent="0.35">
      <c r="A38" s="11" t="s">
        <v>105</v>
      </c>
      <c r="B38" s="11"/>
      <c r="C38" s="104" t="s">
        <v>101</v>
      </c>
      <c r="D38" s="11" t="s">
        <v>106</v>
      </c>
      <c r="E38" s="11"/>
      <c r="F38" s="11" t="s">
        <v>98</v>
      </c>
      <c r="G38" s="11"/>
      <c r="H38" s="88" t="s">
        <v>265</v>
      </c>
      <c r="I38" s="188" t="str">
        <f>IF(_epmOfflineCondition_,"T4",_xll.EVPRO($B$1,$H38,"STYLE"))</f>
        <v>T4</v>
      </c>
      <c r="J38" s="188" t="str">
        <f>IF(_epmOfflineCondition_,"Y",_xll.EVPRO($B$1,$H38,"CALC"))</f>
        <v>Y</v>
      </c>
      <c r="K38" s="189" t="str">
        <f t="shared" si="0"/>
        <v/>
      </c>
      <c r="L38" s="190" t="str">
        <f>IF(_epmOfflineCondition_,"",_xll.EVPRO($B$1,H38,"JDEID"))</f>
        <v/>
      </c>
      <c r="M38" s="190" t="str">
        <f>IF(_epmOfflineCondition_,"",IF(AND(I38="N",J38="N"),_xll.EVPRO($B$1,H38,"PSFTID"),""))</f>
        <v/>
      </c>
      <c r="N38" s="190" t="str">
        <f>IF(_epmOfflineCondition_,"Total Food Revenue",IF(_xll.EVDES(H38,$B$1)="#NODATA","",_xll.EVDES(H38,$B$1)))</f>
        <v>Total Food Revenue</v>
      </c>
      <c r="O38" s="454">
        <v>6632.9</v>
      </c>
      <c r="P38" s="225">
        <v>7319.75</v>
      </c>
      <c r="Q38" s="225">
        <v>3353.5</v>
      </c>
      <c r="R38" s="225"/>
      <c r="S38" s="225"/>
      <c r="T38" s="225"/>
      <c r="U38" s="225"/>
      <c r="V38" s="225"/>
      <c r="W38" s="225"/>
      <c r="X38" s="225"/>
      <c r="Y38" s="225"/>
      <c r="Z38" s="225"/>
      <c r="AA38" s="225">
        <f t="shared" si="1"/>
        <v>17306.150000000001</v>
      </c>
      <c r="AB38" s="226">
        <f t="shared" si="2"/>
        <v>0.65411353567866248</v>
      </c>
      <c r="AC38" s="227"/>
      <c r="AD38" s="225">
        <v>65324.4012</v>
      </c>
      <c r="AE38" s="226">
        <f t="shared" si="3"/>
        <v>0.52887057631026713</v>
      </c>
      <c r="AF38" s="228">
        <f t="shared" si="4"/>
        <v>-48018.251199999999</v>
      </c>
      <c r="AG38" s="225">
        <v>10187</v>
      </c>
      <c r="AH38" s="226">
        <f t="shared" si="5"/>
        <v>0.70423411515510159</v>
      </c>
      <c r="AI38" s="455">
        <f t="shared" si="6"/>
        <v>7119.1500000000015</v>
      </c>
      <c r="AJ38" s="229">
        <f t="shared" si="7"/>
        <v>16.900537109375001</v>
      </c>
      <c r="AK38" s="230">
        <f t="shared" si="8"/>
        <v>17.123040943643513</v>
      </c>
      <c r="AL38" s="232">
        <f t="shared" si="9"/>
        <v>18.062056737588652</v>
      </c>
      <c r="AM38" s="427" t="str">
        <f t="shared" si="10"/>
        <v>12.52 pts.</v>
      </c>
      <c r="AN38" s="456" t="str">
        <f t="shared" si="11"/>
        <v>-5.01 pts.</v>
      </c>
      <c r="AO38" s="11"/>
    </row>
    <row r="39" spans="1:41" x14ac:dyDescent="0.35">
      <c r="A39" s="11" t="s">
        <v>104</v>
      </c>
      <c r="B39" s="11"/>
      <c r="C39" s="104" t="s">
        <v>101</v>
      </c>
      <c r="D39" s="11" t="s">
        <v>106</v>
      </c>
      <c r="E39" s="11"/>
      <c r="F39" s="11" t="s">
        <v>98</v>
      </c>
      <c r="G39" s="11"/>
      <c r="H39" s="88" t="s">
        <v>266</v>
      </c>
      <c r="I39" s="188" t="str">
        <f>IF(_epmOfflineCondition_,"B1",_xll.EVPRO($B$1,$H39,"STYLE"))</f>
        <v>B1</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IF(_epmOfflineCondition_,"Beverage Revenue",IF(_xll.EVDES(H39,$B$1)="#NODATA","",_xll.EVDES(H39,$B$1)))</f>
        <v>Beverage Revenue</v>
      </c>
      <c r="O39" s="568"/>
      <c r="P39" s="210"/>
      <c r="Q39" s="210"/>
      <c r="R39" s="210"/>
      <c r="S39" s="210"/>
      <c r="T39" s="210"/>
      <c r="U39" s="210"/>
      <c r="V39" s="210"/>
      <c r="W39" s="210"/>
      <c r="X39" s="210"/>
      <c r="Y39" s="210"/>
      <c r="Z39" s="210"/>
      <c r="AA39" s="252" t="str">
        <f t="shared" si="1"/>
        <v/>
      </c>
      <c r="AB39" s="211" t="str">
        <f t="shared" si="2"/>
        <v/>
      </c>
      <c r="AC39" s="459"/>
      <c r="AD39" s="210"/>
      <c r="AE39" s="211" t="str">
        <f t="shared" si="3"/>
        <v/>
      </c>
      <c r="AF39" s="253" t="str">
        <f t="shared" si="4"/>
        <v/>
      </c>
      <c r="AG39" s="210"/>
      <c r="AH39" s="211" t="str">
        <f t="shared" si="5"/>
        <v/>
      </c>
      <c r="AI39" s="569" t="str">
        <f t="shared" si="6"/>
        <v/>
      </c>
      <c r="AJ39" s="234">
        <f t="shared" si="7"/>
        <v>0</v>
      </c>
      <c r="AK39" s="235">
        <f t="shared" si="8"/>
        <v>0</v>
      </c>
      <c r="AL39" s="237">
        <f t="shared" si="9"/>
        <v>0</v>
      </c>
      <c r="AM39" s="429">
        <f t="shared" si="10"/>
        <v>0</v>
      </c>
      <c r="AN39" s="462">
        <f t="shared" si="11"/>
        <v>0</v>
      </c>
      <c r="AO39" s="11"/>
    </row>
    <row r="40" spans="1:41" x14ac:dyDescent="0.35">
      <c r="A40" s="11" t="s">
        <v>100</v>
      </c>
      <c r="B40" s="11"/>
      <c r="C40" s="53" t="s">
        <v>101</v>
      </c>
      <c r="D40" s="11" t="s">
        <v>106</v>
      </c>
      <c r="E40" s="11"/>
      <c r="F40" s="11" t="s">
        <v>98</v>
      </c>
      <c r="G40" s="11"/>
      <c r="H40" s="88" t="s">
        <v>267</v>
      </c>
      <c r="I40" s="122" t="str">
        <f>IF(_epmOfflineCondition_,"T5",_xll.EVPRO($B$1,$H40,"STYLE"))</f>
        <v>T5</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IF(_epmOfflineCondition_,"Breakfast  Beverage Revenue",IF(_xll.EVDES(H40,$B$1)="#NODATA","",_xll.EVDES(H40,$B$1)))</f>
        <v>Breakfast  Beverage Revenue</v>
      </c>
      <c r="O40" s="563">
        <v>15</v>
      </c>
      <c r="P40" s="564">
        <v>60</v>
      </c>
      <c r="Q40" s="564">
        <v>20</v>
      </c>
      <c r="R40" s="564"/>
      <c r="S40" s="564"/>
      <c r="T40" s="564"/>
      <c r="U40" s="564"/>
      <c r="V40" s="564"/>
      <c r="W40" s="564"/>
      <c r="X40" s="564"/>
      <c r="Y40" s="564"/>
      <c r="Z40" s="564"/>
      <c r="AA40" s="250">
        <f t="shared" si="1"/>
        <v>95</v>
      </c>
      <c r="AB40" s="565">
        <f t="shared" si="2"/>
        <v>3.5906764872298538E-3</v>
      </c>
      <c r="AC40" s="437"/>
      <c r="AD40" s="564">
        <v>4076.0970000000002</v>
      </c>
      <c r="AE40" s="565">
        <f t="shared" si="3"/>
        <v>3.3000344892354726E-2</v>
      </c>
      <c r="AF40" s="566">
        <f t="shared" si="4"/>
        <v>-3981.0970000000002</v>
      </c>
      <c r="AG40" s="564">
        <v>44</v>
      </c>
      <c r="AH40" s="565">
        <f t="shared" si="5"/>
        <v>3.0417493930327347E-3</v>
      </c>
      <c r="AI40" s="567">
        <f t="shared" si="6"/>
        <v>51</v>
      </c>
      <c r="AJ40" s="440">
        <f t="shared" si="7"/>
        <v>9.27734375E-2</v>
      </c>
      <c r="AK40" s="441">
        <f t="shared" si="8"/>
        <v>1.0684395806028835</v>
      </c>
      <c r="AL40" s="442">
        <f t="shared" si="9"/>
        <v>7.8014184397163122E-2</v>
      </c>
      <c r="AM40" s="443" t="str">
        <f t="shared" si="10"/>
        <v>-2.94 pts.</v>
      </c>
      <c r="AN40" s="444" t="str">
        <f t="shared" si="11"/>
        <v>0.05 pts.</v>
      </c>
      <c r="AO40" s="11"/>
    </row>
    <row r="41" spans="1:41" x14ac:dyDescent="0.35">
      <c r="A41" s="11" t="s">
        <v>102</v>
      </c>
      <c r="B41" s="11"/>
      <c r="C41" s="106" t="s">
        <v>101</v>
      </c>
      <c r="D41" s="11" t="s">
        <v>106</v>
      </c>
      <c r="E41" s="11"/>
      <c r="F41" s="11" t="s">
        <v>98</v>
      </c>
      <c r="G41" s="11"/>
      <c r="H41" s="88" t="s">
        <v>268</v>
      </c>
      <c r="I41" s="122" t="str">
        <f>IF(_epmOfflineCondition_,"T5",_xll.EVPRO($B$1,$H41,"STYLE"))</f>
        <v>T5</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IF(_epmOfflineCondition_,"Lunch Beverage Revenue",IF(_xll.EVDES(H41,$B$1)="#NODATA","",_xll.EVDES(H41,$B$1)))</f>
        <v>Lunch Beverage Revenue</v>
      </c>
      <c r="O41" s="563">
        <v>213</v>
      </c>
      <c r="P41" s="564">
        <v>848</v>
      </c>
      <c r="Q41" s="564">
        <v>576</v>
      </c>
      <c r="R41" s="564"/>
      <c r="S41" s="564"/>
      <c r="T41" s="564"/>
      <c r="U41" s="564"/>
      <c r="V41" s="564"/>
      <c r="W41" s="564"/>
      <c r="X41" s="564"/>
      <c r="Y41" s="564"/>
      <c r="Z41" s="564"/>
      <c r="AA41" s="250">
        <f t="shared" si="1"/>
        <v>1637</v>
      </c>
      <c r="AB41" s="565">
        <f t="shared" si="2"/>
        <v>6.1873025364160741E-2</v>
      </c>
      <c r="AC41" s="437"/>
      <c r="AD41" s="564">
        <v>5785.2719999999999</v>
      </c>
      <c r="AE41" s="565">
        <f t="shared" si="3"/>
        <v>4.6837936215964139E-2</v>
      </c>
      <c r="AF41" s="566">
        <f t="shared" si="4"/>
        <v>-4148.2719999999999</v>
      </c>
      <c r="AG41" s="564">
        <v>288</v>
      </c>
      <c r="AH41" s="565">
        <f t="shared" si="5"/>
        <v>1.9909632390759716E-2</v>
      </c>
      <c r="AI41" s="567">
        <f t="shared" si="6"/>
        <v>1349</v>
      </c>
      <c r="AJ41" s="440">
        <f t="shared" si="7"/>
        <v>1.5986328125</v>
      </c>
      <c r="AK41" s="441">
        <f t="shared" si="8"/>
        <v>1.5164539973787681</v>
      </c>
      <c r="AL41" s="442">
        <f t="shared" si="9"/>
        <v>0.51063829787234039</v>
      </c>
      <c r="AM41" s="443" t="str">
        <f t="shared" si="10"/>
        <v>1.5 pts.</v>
      </c>
      <c r="AN41" s="444" t="str">
        <f t="shared" si="11"/>
        <v>4.2 pts.</v>
      </c>
      <c r="AO41" s="11"/>
    </row>
    <row r="42" spans="1:41" x14ac:dyDescent="0.35">
      <c r="A42" s="11" t="s">
        <v>102</v>
      </c>
      <c r="B42" s="11"/>
      <c r="C42" s="196" t="s">
        <v>101</v>
      </c>
      <c r="D42" s="11" t="s">
        <v>107</v>
      </c>
      <c r="E42" s="11"/>
      <c r="F42" s="11" t="s">
        <v>99</v>
      </c>
      <c r="G42" s="11"/>
      <c r="H42" s="88" t="s">
        <v>269</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IF(_epmOfflineCondition_,"Dinner Beverage Revenue",IF(_xll.EVDES(H42,$B$1)="#NODATA","",_xll.EVDES(H42,$B$1)))</f>
        <v>Dinner Beverage Revenue</v>
      </c>
      <c r="O42" s="445">
        <v>306</v>
      </c>
      <c r="P42" s="251">
        <v>691</v>
      </c>
      <c r="Q42" s="251">
        <v>181</v>
      </c>
      <c r="R42" s="251"/>
      <c r="S42" s="251"/>
      <c r="T42" s="251"/>
      <c r="U42" s="251"/>
      <c r="V42" s="251"/>
      <c r="W42" s="251"/>
      <c r="X42" s="251"/>
      <c r="Y42" s="251"/>
      <c r="Z42" s="251"/>
      <c r="AA42" s="251">
        <f t="shared" si="1"/>
        <v>1178</v>
      </c>
      <c r="AB42" s="446">
        <f t="shared" si="2"/>
        <v>4.4524388441650187E-2</v>
      </c>
      <c r="AC42" s="437"/>
      <c r="AD42" s="251">
        <v>13324.229799999999</v>
      </c>
      <c r="AE42" s="446">
        <f t="shared" si="3"/>
        <v>0.10787382607062358</v>
      </c>
      <c r="AF42" s="447">
        <f t="shared" si="4"/>
        <v>-12146.229799999999</v>
      </c>
      <c r="AG42" s="251">
        <v>596</v>
      </c>
      <c r="AH42" s="446">
        <f t="shared" si="5"/>
        <v>4.1201878141988862E-2</v>
      </c>
      <c r="AI42" s="448">
        <f t="shared" si="6"/>
        <v>582</v>
      </c>
      <c r="AJ42" s="449">
        <f t="shared" si="7"/>
        <v>1.150390625</v>
      </c>
      <c r="AK42" s="450">
        <f t="shared" si="8"/>
        <v>3.4925897247706419</v>
      </c>
      <c r="AL42" s="451">
        <f t="shared" si="9"/>
        <v>1.0567375886524824</v>
      </c>
      <c r="AM42" s="452" t="str">
        <f t="shared" si="10"/>
        <v>-6.33 pts.</v>
      </c>
      <c r="AN42" s="453" t="str">
        <f t="shared" si="11"/>
        <v>0.33 pts.</v>
      </c>
      <c r="AO42" s="11"/>
    </row>
    <row r="43" spans="1:41" x14ac:dyDescent="0.35">
      <c r="A43" s="11" t="s">
        <v>108</v>
      </c>
      <c r="B43" s="11"/>
      <c r="C43" s="106" t="s">
        <v>101</v>
      </c>
      <c r="D43" s="11" t="s">
        <v>106</v>
      </c>
      <c r="E43" s="11"/>
      <c r="F43" s="11" t="s">
        <v>98</v>
      </c>
      <c r="G43" s="11"/>
      <c r="H43" s="88" t="s">
        <v>272</v>
      </c>
      <c r="I43" s="188" t="str">
        <f>IF(_epmOfflineCondition_,"T4",_xll.EVPRO($B$1,$H43,"STYLE"))</f>
        <v>T4</v>
      </c>
      <c r="J43" s="188" t="str">
        <f>IF(_epmOfflineCondition_,"Y",_xll.EVPRO($B$1,$H43,"CALC"))</f>
        <v>Y</v>
      </c>
      <c r="K43" s="189" t="str">
        <f t="shared" si="0"/>
        <v/>
      </c>
      <c r="L43" s="190" t="str">
        <f>IF(_epmOfflineCondition_,"",_xll.EVPRO($B$1,H43,"JDEID"))</f>
        <v/>
      </c>
      <c r="M43" s="190" t="str">
        <f>IF(_epmOfflineCondition_,"",IF(AND(I43="N",J43="N"),_xll.EVPRO($B$1,H43,"PSFTID"),""))</f>
        <v/>
      </c>
      <c r="N43" s="190" t="str">
        <f>IF(_epmOfflineCondition_,"Total Beverage Revenue",IF(_xll.EVDES(H43,$B$1)="#NODATA","",_xll.EVDES(H43,$B$1)))</f>
        <v>Total Beverage Revenue</v>
      </c>
      <c r="O43" s="454">
        <v>534</v>
      </c>
      <c r="P43" s="225">
        <v>1599</v>
      </c>
      <c r="Q43" s="225">
        <v>777</v>
      </c>
      <c r="R43" s="225"/>
      <c r="S43" s="225"/>
      <c r="T43" s="225"/>
      <c r="U43" s="225"/>
      <c r="V43" s="225"/>
      <c r="W43" s="225"/>
      <c r="X43" s="225"/>
      <c r="Y43" s="225"/>
      <c r="Z43" s="225"/>
      <c r="AA43" s="225">
        <f t="shared" si="1"/>
        <v>2910</v>
      </c>
      <c r="AB43" s="226">
        <f t="shared" si="2"/>
        <v>0.10998809029304078</v>
      </c>
      <c r="AC43" s="227"/>
      <c r="AD43" s="225">
        <v>23185.5988</v>
      </c>
      <c r="AE43" s="226">
        <f t="shared" si="3"/>
        <v>0.18771210717894246</v>
      </c>
      <c r="AF43" s="228">
        <f t="shared" si="4"/>
        <v>-20275.5988</v>
      </c>
      <c r="AG43" s="225">
        <v>928</v>
      </c>
      <c r="AH43" s="226">
        <f t="shared" si="5"/>
        <v>6.4153259925781317E-2</v>
      </c>
      <c r="AI43" s="455">
        <f t="shared" si="6"/>
        <v>1982</v>
      </c>
      <c r="AJ43" s="229">
        <f t="shared" si="7"/>
        <v>2.841796875</v>
      </c>
      <c r="AK43" s="230">
        <f t="shared" si="8"/>
        <v>6.0774833027522934</v>
      </c>
      <c r="AL43" s="232">
        <f t="shared" si="9"/>
        <v>1.6453900709219857</v>
      </c>
      <c r="AM43" s="427" t="str">
        <f t="shared" si="10"/>
        <v>-7.77 pts.</v>
      </c>
      <c r="AN43" s="456" t="str">
        <f t="shared" si="11"/>
        <v>4.58 pts.</v>
      </c>
      <c r="AO43" s="11"/>
    </row>
    <row r="44" spans="1:41" x14ac:dyDescent="0.35">
      <c r="A44" s="11" t="s">
        <v>108</v>
      </c>
      <c r="B44" s="11"/>
      <c r="C44" s="196" t="s">
        <v>101</v>
      </c>
      <c r="D44" s="11" t="s">
        <v>107</v>
      </c>
      <c r="E44" s="11"/>
      <c r="F44" s="11" t="s">
        <v>99</v>
      </c>
      <c r="G44" s="11"/>
      <c r="H44" s="88" t="s">
        <v>486</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IF(_epmOfflineCondition_,"Food &amp; Beverage: Allowances",IF(_xll.EVDES(H44,$B$1)="#NODATA","",_xll.EVDES(H44,$B$1)))</f>
        <v>Food &amp; Beverage: Allowances</v>
      </c>
      <c r="O44" s="535"/>
      <c r="P44" s="216">
        <v>-176.34</v>
      </c>
      <c r="Q44" s="216">
        <v>-31.99</v>
      </c>
      <c r="R44" s="216"/>
      <c r="S44" s="216"/>
      <c r="T44" s="216"/>
      <c r="U44" s="216"/>
      <c r="V44" s="216"/>
      <c r="W44" s="216"/>
      <c r="X44" s="216"/>
      <c r="Y44" s="216"/>
      <c r="Z44" s="216"/>
      <c r="AA44" s="216">
        <f t="shared" si="1"/>
        <v>-208.33</v>
      </c>
      <c r="AB44" s="218">
        <f t="shared" si="2"/>
        <v>-7.8741645535220575E-3</v>
      </c>
      <c r="AC44" s="459"/>
      <c r="AD44" s="216"/>
      <c r="AE44" s="218" t="str">
        <f t="shared" si="3"/>
        <v/>
      </c>
      <c r="AF44" s="233">
        <f t="shared" si="4"/>
        <v>-208.33</v>
      </c>
      <c r="AG44" s="216"/>
      <c r="AH44" s="218" t="str">
        <f t="shared" si="5"/>
        <v/>
      </c>
      <c r="AI44" s="536">
        <f t="shared" si="6"/>
        <v>-208.33</v>
      </c>
      <c r="AJ44" s="537">
        <f t="shared" si="7"/>
        <v>-0.20344726562500001</v>
      </c>
      <c r="AK44" s="538">
        <f t="shared" si="8"/>
        <v>0</v>
      </c>
      <c r="AL44" s="539">
        <f t="shared" si="9"/>
        <v>0</v>
      </c>
      <c r="AM44" s="540">
        <f t="shared" si="10"/>
        <v>0</v>
      </c>
      <c r="AN44" s="541">
        <f t="shared" si="11"/>
        <v>0</v>
      </c>
      <c r="AO44" s="11"/>
    </row>
    <row r="45" spans="1:41" x14ac:dyDescent="0.35">
      <c r="A45" s="11"/>
      <c r="B45" s="11"/>
      <c r="C45" s="11"/>
      <c r="D45" s="11"/>
      <c r="E45" s="11"/>
      <c r="F45" s="11"/>
      <c r="G45" s="11"/>
      <c r="H45" s="88" t="s">
        <v>273</v>
      </c>
      <c r="I45" s="188" t="str">
        <f>IF(_epmOfflineCondition_,"T4",_xll.EVPRO($B$1,$H45,"STYLE"))</f>
        <v>T4</v>
      </c>
      <c r="J45" s="188" t="str">
        <f>IF(_epmOfflineCondition_,"Y",_xll.EVPRO($B$1,$H45,"CALC"))</f>
        <v>Y</v>
      </c>
      <c r="K45" s="189" t="str">
        <f t="shared" si="0"/>
        <v/>
      </c>
      <c r="L45" s="190" t="str">
        <f>IF(_epmOfflineCondition_,"",_xll.EVPRO($B$1,H45,"JDEID"))</f>
        <v/>
      </c>
      <c r="M45" s="190" t="str">
        <f>IF(_epmOfflineCondition_,"",IF(AND(I45="N",J45="N"),_xll.EVPRO($B$1,H45,"PSFTID"),""))</f>
        <v/>
      </c>
      <c r="N45" s="190" t="str">
        <f>IF(_epmOfflineCondition_,"Total Food &amp; Beverage Revenue",IF(_xll.EVDES(H45,$B$1)="#NODATA","",_xll.EVDES(H45,$B$1)))</f>
        <v>Total Food &amp; Beverage Revenue</v>
      </c>
      <c r="O45" s="454">
        <v>7166.9</v>
      </c>
      <c r="P45" s="225">
        <v>8742.41</v>
      </c>
      <c r="Q45" s="225">
        <v>4098.51</v>
      </c>
      <c r="R45" s="225"/>
      <c r="S45" s="225"/>
      <c r="T45" s="225"/>
      <c r="U45" s="225"/>
      <c r="V45" s="225"/>
      <c r="W45" s="225"/>
      <c r="X45" s="225"/>
      <c r="Y45" s="225"/>
      <c r="Z45" s="225"/>
      <c r="AA45" s="225">
        <f t="shared" si="1"/>
        <v>20007.82</v>
      </c>
      <c r="AB45" s="226">
        <f t="shared" si="2"/>
        <v>0.75622746141818109</v>
      </c>
      <c r="AC45" s="227"/>
      <c r="AD45" s="225">
        <v>88510</v>
      </c>
      <c r="AE45" s="226">
        <f t="shared" si="3"/>
        <v>0.7165826834892095</v>
      </c>
      <c r="AF45" s="228">
        <f t="shared" si="4"/>
        <v>-68502.179999999993</v>
      </c>
      <c r="AG45" s="225">
        <v>11115</v>
      </c>
      <c r="AH45" s="226">
        <f t="shared" si="5"/>
        <v>0.76838737508088284</v>
      </c>
      <c r="AI45" s="455">
        <f t="shared" si="6"/>
        <v>8892.82</v>
      </c>
      <c r="AJ45" s="229">
        <f t="shared" si="7"/>
        <v>19.53888671875</v>
      </c>
      <c r="AK45" s="230">
        <f t="shared" si="8"/>
        <v>23.200524246395805</v>
      </c>
      <c r="AL45" s="232">
        <f t="shared" si="9"/>
        <v>19.707446808510639</v>
      </c>
      <c r="AM45" s="427" t="str">
        <f t="shared" si="10"/>
        <v>3.96 pts.</v>
      </c>
      <c r="AN45" s="456" t="str">
        <f t="shared" si="11"/>
        <v>-1.22 pts.</v>
      </c>
      <c r="AO45" s="11"/>
    </row>
    <row r="46" spans="1:41" x14ac:dyDescent="0.35">
      <c r="A46" s="11"/>
      <c r="B46" s="11"/>
      <c r="C46" s="11"/>
      <c r="D46" s="11"/>
      <c r="E46" s="11"/>
      <c r="F46" s="11"/>
      <c r="G46" s="11"/>
      <c r="H46" s="88" t="s">
        <v>279</v>
      </c>
      <c r="I46" s="188" t="str">
        <f>IF(_epmOfflineCondition_,"B1",_xll.EVPRO($B$1,$H46,"STYLE"))</f>
        <v>B1</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IF(_epmOfflineCondition_,"Other Revenue",IF(_xll.EVDES(H46,$B$1)="#NODATA","",_xll.EVDES(H46,$B$1)))</f>
        <v>Other Revenue</v>
      </c>
      <c r="O46" s="568"/>
      <c r="P46" s="210"/>
      <c r="Q46" s="210"/>
      <c r="R46" s="210"/>
      <c r="S46" s="210"/>
      <c r="T46" s="210"/>
      <c r="U46" s="210"/>
      <c r="V46" s="210"/>
      <c r="W46" s="210"/>
      <c r="X46" s="210"/>
      <c r="Y46" s="210"/>
      <c r="Z46" s="210"/>
      <c r="AA46" s="252" t="str">
        <f t="shared" si="1"/>
        <v/>
      </c>
      <c r="AB46" s="211" t="str">
        <f t="shared" si="2"/>
        <v/>
      </c>
      <c r="AC46" s="459"/>
      <c r="AD46" s="210"/>
      <c r="AE46" s="211" t="str">
        <f t="shared" si="3"/>
        <v/>
      </c>
      <c r="AF46" s="253" t="str">
        <f t="shared" si="4"/>
        <v/>
      </c>
      <c r="AG46" s="210"/>
      <c r="AH46" s="211" t="str">
        <f t="shared" si="5"/>
        <v/>
      </c>
      <c r="AI46" s="569" t="str">
        <f t="shared" si="6"/>
        <v/>
      </c>
      <c r="AJ46" s="234">
        <f t="shared" si="7"/>
        <v>0</v>
      </c>
      <c r="AK46" s="235">
        <f t="shared" si="8"/>
        <v>0</v>
      </c>
      <c r="AL46" s="237">
        <f t="shared" si="9"/>
        <v>0</v>
      </c>
      <c r="AM46" s="429">
        <f t="shared" si="10"/>
        <v>0</v>
      </c>
      <c r="AN46" s="462">
        <f t="shared" si="11"/>
        <v>0</v>
      </c>
      <c r="AO46" s="11"/>
    </row>
    <row r="47" spans="1:41" x14ac:dyDescent="0.35">
      <c r="A47" s="61" t="str">
        <f>IF(_epmOfflineCondition_,"Evdre:Ok",_xll.EVDRE($B$1,A50:B57,A60:B66))</f>
        <v>Evdre:Ok</v>
      </c>
      <c r="B47" s="11"/>
      <c r="C47" s="11"/>
      <c r="D47" s="11"/>
      <c r="E47" s="11"/>
      <c r="F47" s="11"/>
      <c r="G47" s="11"/>
      <c r="H47" s="88" t="s">
        <v>282</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IF(_epmOfflineCondition_,"Surcharges &amp; Services Charges",IF(_xll.EVDES(H47,$B$1)="#NODATA","",_xll.EVDES(H47,$B$1)))</f>
        <v>Surcharges &amp; Services Charges</v>
      </c>
      <c r="O47" s="563">
        <v>2276.98</v>
      </c>
      <c r="P47" s="564">
        <v>2834.92</v>
      </c>
      <c r="Q47" s="564">
        <v>1337.69</v>
      </c>
      <c r="R47" s="564"/>
      <c r="S47" s="564"/>
      <c r="T47" s="564"/>
      <c r="U47" s="564"/>
      <c r="V47" s="564"/>
      <c r="W47" s="564"/>
      <c r="X47" s="564"/>
      <c r="Y47" s="564"/>
      <c r="Z47" s="564"/>
      <c r="AA47" s="250">
        <f t="shared" si="1"/>
        <v>6449.59</v>
      </c>
      <c r="AB47" s="565">
        <f t="shared" si="2"/>
        <v>0.24377253858181885</v>
      </c>
      <c r="AC47" s="437"/>
      <c r="AD47" s="564">
        <v>35006.800000000003</v>
      </c>
      <c r="AE47" s="565">
        <f t="shared" si="3"/>
        <v>0.28341731651079044</v>
      </c>
      <c r="AF47" s="566">
        <f t="shared" si="4"/>
        <v>-28557.210000000003</v>
      </c>
      <c r="AG47" s="564">
        <v>3350.36</v>
      </c>
      <c r="AH47" s="565">
        <f t="shared" si="5"/>
        <v>0.2316126249191171</v>
      </c>
      <c r="AI47" s="567">
        <f t="shared" si="6"/>
        <v>3099.23</v>
      </c>
      <c r="AJ47" s="440">
        <f t="shared" si="7"/>
        <v>6.2984277343750001</v>
      </c>
      <c r="AK47" s="441">
        <f t="shared" si="8"/>
        <v>9.1760943643512451</v>
      </c>
      <c r="AL47" s="442">
        <f t="shared" si="9"/>
        <v>5.940354609929078</v>
      </c>
      <c r="AM47" s="443" t="str">
        <f t="shared" si="10"/>
        <v>-3.96 pts.</v>
      </c>
      <c r="AN47" s="444" t="str">
        <f t="shared" si="11"/>
        <v>1.22 pts.</v>
      </c>
      <c r="AO47" s="11"/>
    </row>
    <row r="48" spans="1:41" x14ac:dyDescent="0.35">
      <c r="A48" s="11"/>
      <c r="B48" s="11"/>
      <c r="C48" s="11"/>
      <c r="D48" s="11"/>
      <c r="E48" s="11"/>
      <c r="F48" s="11"/>
      <c r="G48" s="11"/>
      <c r="H48" s="88" t="s">
        <v>283</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IF(_epmOfflineCondition_,"Miscellaneous Other Revenue",IF(_xll.EVDES(H48,$B$1)="#NODATA","",_xll.EVDES(H48,$B$1)))</f>
        <v>Miscellaneous Other Revenue</v>
      </c>
      <c r="O48" s="563"/>
      <c r="P48" s="564"/>
      <c r="Q48" s="564"/>
      <c r="R48" s="564"/>
      <c r="S48" s="564"/>
      <c r="T48" s="564"/>
      <c r="U48" s="564"/>
      <c r="V48" s="564"/>
      <c r="W48" s="564"/>
      <c r="X48" s="564"/>
      <c r="Y48" s="564"/>
      <c r="Z48" s="564"/>
      <c r="AA48" s="250">
        <f t="shared" si="1"/>
        <v>0</v>
      </c>
      <c r="AB48" s="565" t="str">
        <f t="shared" si="2"/>
        <v/>
      </c>
      <c r="AC48" s="437"/>
      <c r="AD48" s="564"/>
      <c r="AE48" s="565" t="str">
        <f t="shared" si="3"/>
        <v/>
      </c>
      <c r="AF48" s="566">
        <f t="shared" si="4"/>
        <v>0</v>
      </c>
      <c r="AG48" s="564"/>
      <c r="AH48" s="565" t="str">
        <f t="shared" si="5"/>
        <v/>
      </c>
      <c r="AI48" s="567">
        <f t="shared" si="6"/>
        <v>0</v>
      </c>
      <c r="AJ48" s="440">
        <f t="shared" si="7"/>
        <v>0</v>
      </c>
      <c r="AK48" s="441">
        <f t="shared" si="8"/>
        <v>0</v>
      </c>
      <c r="AL48" s="442">
        <f t="shared" si="9"/>
        <v>0</v>
      </c>
      <c r="AM48" s="443">
        <f t="shared" si="10"/>
        <v>0</v>
      </c>
      <c r="AN48" s="444">
        <f t="shared" si="11"/>
        <v>0</v>
      </c>
      <c r="AO48" s="11"/>
    </row>
    <row r="49" spans="1:41" x14ac:dyDescent="0.35">
      <c r="A49" s="62" t="s">
        <v>0</v>
      </c>
      <c r="B49" s="63" t="s">
        <v>1</v>
      </c>
      <c r="C49" s="11"/>
      <c r="D49" s="11"/>
      <c r="E49" s="11"/>
      <c r="F49" s="11"/>
      <c r="G49" s="11"/>
      <c r="H49" s="88" t="s">
        <v>473</v>
      </c>
      <c r="I49" s="122" t="str">
        <f>IF(_epmOfflineCondition_,"N",_xll.EVPRO($B$1,$H49,"STYLE"))</f>
        <v>N</v>
      </c>
      <c r="J49" s="122" t="str">
        <f>IF(_epmOfflineCondition_,"N",_xll.EVPRO($B$1,$H49,"CALC"))</f>
        <v>N</v>
      </c>
      <c r="K49" s="179" t="str">
        <f t="shared" si="0"/>
        <v/>
      </c>
      <c r="L49" s="90" t="str">
        <f>IF(_epmOfflineCondition_,"468990",_xll.EVPRO($B$1,H49,"JDEID"))</f>
        <v>468990</v>
      </c>
      <c r="M49" s="90" t="str">
        <f>IF(_epmOfflineCondition_,"206022",IF(AND(I49="N",J49="N"),_xll.EVPRO($B$1,H49,"PSFTID"),""))</f>
        <v>206022</v>
      </c>
      <c r="N49" s="90" t="str">
        <f>IF(_epmOfflineCondition_,"Other Revenue: Allowances",IF(_xll.EVDES(H49,$B$1)="#NODATA","",_xll.EVDES(H49,$B$1)))</f>
        <v>Other Revenue: Allowances</v>
      </c>
      <c r="O49" s="445"/>
      <c r="P49" s="251"/>
      <c r="Q49" s="251"/>
      <c r="R49" s="251"/>
      <c r="S49" s="251"/>
      <c r="T49" s="251"/>
      <c r="U49" s="251"/>
      <c r="V49" s="251"/>
      <c r="W49" s="251"/>
      <c r="X49" s="251"/>
      <c r="Y49" s="251"/>
      <c r="Z49" s="251"/>
      <c r="AA49" s="251">
        <f t="shared" si="1"/>
        <v>0</v>
      </c>
      <c r="AB49" s="446" t="str">
        <f t="shared" si="2"/>
        <v/>
      </c>
      <c r="AC49" s="437"/>
      <c r="AD49" s="251"/>
      <c r="AE49" s="446" t="str">
        <f t="shared" si="3"/>
        <v/>
      </c>
      <c r="AF49" s="447">
        <f t="shared" si="4"/>
        <v>0</v>
      </c>
      <c r="AG49" s="251"/>
      <c r="AH49" s="446" t="str">
        <f t="shared" si="5"/>
        <v/>
      </c>
      <c r="AI49" s="448">
        <f t="shared" si="6"/>
        <v>0</v>
      </c>
      <c r="AJ49" s="449">
        <f t="shared" si="7"/>
        <v>0</v>
      </c>
      <c r="AK49" s="450">
        <f t="shared" si="8"/>
        <v>0</v>
      </c>
      <c r="AL49" s="451">
        <f t="shared" si="9"/>
        <v>0</v>
      </c>
      <c r="AM49" s="452">
        <f t="shared" si="10"/>
        <v>0</v>
      </c>
      <c r="AN49" s="453">
        <f t="shared" si="11"/>
        <v>0</v>
      </c>
      <c r="AO49" s="11"/>
    </row>
    <row r="50" spans="1:41" x14ac:dyDescent="0.35">
      <c r="A50" s="65" t="s">
        <v>2</v>
      </c>
      <c r="B50" s="66" t="str">
        <f>IF(_epmOfflineCondition_,"'IRD'!$B$2:$B$10",_xll.EVRNG($B$2:$B$10))</f>
        <v>'IRD'!$B$2:$B$10</v>
      </c>
      <c r="C50" s="11"/>
      <c r="D50" s="11"/>
      <c r="E50" s="11"/>
      <c r="F50" s="11"/>
      <c r="G50" s="11"/>
      <c r="H50" s="88" t="s">
        <v>277</v>
      </c>
      <c r="I50" s="188" t="str">
        <f>IF(_epmOfflineCondition_,"T4",_xll.EVPRO($B$1,$H50,"STYLE"))</f>
        <v>T4</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IF(_epmOfflineCondition_,"Total Other Revenue",IF(_xll.EVDES(H50,$B$1)="#NODATA","",_xll.EVDES(H50,$B$1)))</f>
        <v>Total Other Revenue</v>
      </c>
      <c r="O50" s="463">
        <v>2276.98</v>
      </c>
      <c r="P50" s="238">
        <v>2834.92</v>
      </c>
      <c r="Q50" s="238">
        <v>1337.69</v>
      </c>
      <c r="R50" s="238"/>
      <c r="S50" s="238"/>
      <c r="T50" s="238"/>
      <c r="U50" s="238"/>
      <c r="V50" s="238"/>
      <c r="W50" s="238"/>
      <c r="X50" s="238"/>
      <c r="Y50" s="238"/>
      <c r="Z50" s="238"/>
      <c r="AA50" s="238">
        <f t="shared" si="1"/>
        <v>6449.59</v>
      </c>
      <c r="AB50" s="239">
        <f t="shared" si="2"/>
        <v>0.24377253858181885</v>
      </c>
      <c r="AC50" s="240"/>
      <c r="AD50" s="238">
        <v>35006.800000000003</v>
      </c>
      <c r="AE50" s="239">
        <f t="shared" si="3"/>
        <v>0.28341731651079044</v>
      </c>
      <c r="AF50" s="241">
        <f t="shared" si="4"/>
        <v>-28557.210000000003</v>
      </c>
      <c r="AG50" s="238">
        <v>3350.36</v>
      </c>
      <c r="AH50" s="239">
        <f t="shared" si="5"/>
        <v>0.2316126249191171</v>
      </c>
      <c r="AI50" s="464">
        <f t="shared" si="6"/>
        <v>3099.23</v>
      </c>
      <c r="AJ50" s="242">
        <f t="shared" si="7"/>
        <v>6.2984277343750001</v>
      </c>
      <c r="AK50" s="243">
        <f t="shared" si="8"/>
        <v>9.1760943643512451</v>
      </c>
      <c r="AL50" s="245">
        <f t="shared" si="9"/>
        <v>5.940354609929078</v>
      </c>
      <c r="AM50" s="431" t="str">
        <f t="shared" si="10"/>
        <v>-3.96 pts.</v>
      </c>
      <c r="AN50" s="465" t="str">
        <f t="shared" si="11"/>
        <v>1.22 pts.</v>
      </c>
      <c r="AO50" s="11"/>
    </row>
    <row r="51" spans="1:41" x14ac:dyDescent="0.35">
      <c r="A51" s="65" t="s">
        <v>3</v>
      </c>
      <c r="B51" s="66" t="str">
        <f>IF(_epmOfflineCondition_,"'IRD'!$O$16:$AN$18",_xll.EVRNG($O$16:$AN$18))</f>
        <v>'IRD'!$O$16:$AN$18</v>
      </c>
      <c r="C51" s="11"/>
      <c r="D51" s="11"/>
      <c r="E51" s="11"/>
      <c r="F51" s="11"/>
      <c r="G51" s="11"/>
      <c r="H51" s="88" t="s">
        <v>280</v>
      </c>
      <c r="I51" s="188" t="str">
        <f>IF(_epmOfflineCondition_,"T3",_xll.EVPRO($B$1,$H51,"STYLE"))</f>
        <v>T3</v>
      </c>
      <c r="J51" s="188" t="str">
        <f>IF(_epmOfflineCondition_,"Y",_xll.EVPRO($B$1,$H51,"CALC"))</f>
        <v>Y</v>
      </c>
      <c r="K51" s="189" t="str">
        <f t="shared" si="0"/>
        <v/>
      </c>
      <c r="L51" s="190" t="str">
        <f>IF(_epmOfflineCondition_,"400000",_xll.EVPRO($B$1,H51,"JDEID"))</f>
        <v>400000</v>
      </c>
      <c r="M51" s="190" t="str">
        <f>IF(_epmOfflineCondition_,"",IF(AND(I51="N",J51="N"),_xll.EVPRO($B$1,H51,"PSFTID"),""))</f>
        <v/>
      </c>
      <c r="N51" s="190" t="str">
        <f>IF(_epmOfflineCondition_,"Total Revenue",IF(_xll.EVDES(H51,$B$1)="#NODATA","",_xll.EVDES(H51,$B$1)))</f>
        <v>Total Revenue</v>
      </c>
      <c r="O51" s="454">
        <v>9443.8799999999992</v>
      </c>
      <c r="P51" s="225">
        <v>11577.33</v>
      </c>
      <c r="Q51" s="225">
        <v>5436.2</v>
      </c>
      <c r="R51" s="225"/>
      <c r="S51" s="225"/>
      <c r="T51" s="225"/>
      <c r="U51" s="225"/>
      <c r="V51" s="225"/>
      <c r="W51" s="225"/>
      <c r="X51" s="225"/>
      <c r="Y51" s="225"/>
      <c r="Z51" s="225"/>
      <c r="AA51" s="225">
        <f t="shared" si="1"/>
        <v>26457.41</v>
      </c>
      <c r="AB51" s="226">
        <f t="shared" si="2"/>
        <v>1</v>
      </c>
      <c r="AC51" s="227"/>
      <c r="AD51" s="225">
        <v>123516.8</v>
      </c>
      <c r="AE51" s="226">
        <f t="shared" si="3"/>
        <v>1</v>
      </c>
      <c r="AF51" s="228">
        <f t="shared" si="4"/>
        <v>-97059.39</v>
      </c>
      <c r="AG51" s="225">
        <v>14465.36</v>
      </c>
      <c r="AH51" s="226">
        <f t="shared" si="5"/>
        <v>1</v>
      </c>
      <c r="AI51" s="455">
        <f t="shared" si="6"/>
        <v>11992.05</v>
      </c>
      <c r="AJ51" s="229">
        <f t="shared" si="7"/>
        <v>25.837314453125</v>
      </c>
      <c r="AK51" s="230">
        <f t="shared" si="8"/>
        <v>32.376618610747052</v>
      </c>
      <c r="AL51" s="232">
        <f t="shared" si="9"/>
        <v>25.647801418439716</v>
      </c>
      <c r="AM51" s="427" t="str">
        <f t="shared" si="10"/>
        <v>0 pts.</v>
      </c>
      <c r="AN51" s="456" t="str">
        <f t="shared" si="11"/>
        <v>0 pts.</v>
      </c>
      <c r="AO51" s="11"/>
    </row>
    <row r="52" spans="1:41" x14ac:dyDescent="0.35">
      <c r="A52" s="65" t="s">
        <v>4</v>
      </c>
      <c r="B52" s="66" t="str">
        <f>IF(_epmOfflineCondition_,"'IRD'!$H$55:$H$61",_xll.EVRNG(H55:H61))</f>
        <v>'IRD'!$H$55:$H$61</v>
      </c>
      <c r="C52" s="11"/>
      <c r="D52" s="11"/>
      <c r="E52" s="11"/>
      <c r="F52" s="11"/>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203"/>
      <c r="AE52" s="204"/>
      <c r="AF52" s="118"/>
      <c r="AG52" s="204"/>
      <c r="AH52" s="204"/>
      <c r="AI52" s="118"/>
      <c r="AJ52" s="11"/>
      <c r="AK52" s="11"/>
      <c r="AL52" s="11"/>
      <c r="AM52" s="11"/>
      <c r="AN52" s="11"/>
      <c r="AO52" s="11"/>
    </row>
    <row r="53" spans="1:41" x14ac:dyDescent="0.35">
      <c r="A53" s="65" t="s">
        <v>5</v>
      </c>
      <c r="B53" s="66"/>
      <c r="C53" s="11"/>
      <c r="D53" s="11"/>
      <c r="E53" s="11"/>
      <c r="F53" s="384"/>
      <c r="G53" s="11"/>
      <c r="H53" s="11" t="s">
        <v>281</v>
      </c>
      <c r="I53" s="59" t="str">
        <f>IF(_epmOfflineCondition_,"B1",_xll.EVPRO($B$1,$H53,"STYLE"))</f>
        <v>B1</v>
      </c>
      <c r="J53" s="59" t="str">
        <f>IF(_epmOfflineCondition_,"Y",_xll.EVPRO($B$1,$H53,"CALC"))</f>
        <v>Y</v>
      </c>
      <c r="K53" s="11"/>
      <c r="L53" s="11"/>
      <c r="M53" s="11"/>
      <c r="N53" s="105" t="str">
        <f>IF(_epmOfflineCondition_,"Cost of Sales",IF(_xll.EVDES(H53,$B$1)="#NODATA","",_xll.EVDES(H53,$B$1)))</f>
        <v>Cost of Sales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35">
      <c r="A54" s="65" t="s">
        <v>6</v>
      </c>
      <c r="B54" s="66"/>
      <c r="C54" s="11"/>
      <c r="D54" s="11"/>
      <c r="E54" s="11"/>
      <c r="F54" s="384"/>
      <c r="G54" s="11"/>
      <c r="H54" s="11" t="s">
        <v>284</v>
      </c>
      <c r="I54" s="59" t="str">
        <f>IF(_epmOfflineCondition_,"B1",_xll.EVPRO($B$1,$H54,"STYLE"))</f>
        <v>B1</v>
      </c>
      <c r="J54" s="59" t="str">
        <f>IF(_epmOfflineCondition_,"Y",_xll.EVPRO($B$1,$H54,"CALC"))</f>
        <v>Y</v>
      </c>
      <c r="K54" s="11"/>
      <c r="L54" s="11"/>
      <c r="M54" s="11"/>
      <c r="N54" s="53" t="str">
        <f>IF(_epmOfflineCondition_,"Cost of Food &amp; Beverage Sales",IF(_xll.EVDES(H54,$B$1)="#NODATA","",_xll.EVDES(H54,$B$1)))</f>
        <v>Cost of Food &amp; Beverage Sales</v>
      </c>
      <c r="O54" s="203"/>
      <c r="P54" s="204"/>
      <c r="Q54" s="204"/>
      <c r="R54" s="204"/>
      <c r="S54" s="204"/>
      <c r="T54" s="204"/>
      <c r="U54" s="204"/>
      <c r="V54" s="204"/>
      <c r="W54" s="204"/>
      <c r="X54" s="204"/>
      <c r="Y54" s="204"/>
      <c r="Z54" s="204"/>
      <c r="AA54" s="204"/>
      <c r="AB54" s="118"/>
      <c r="AC54" s="11"/>
      <c r="AD54" s="203"/>
      <c r="AE54" s="204"/>
      <c r="AF54" s="118"/>
      <c r="AG54" s="204"/>
      <c r="AH54" s="204"/>
      <c r="AI54" s="118"/>
      <c r="AJ54" s="11"/>
      <c r="AK54" s="11"/>
      <c r="AL54" s="11"/>
      <c r="AM54" s="11"/>
      <c r="AN54" s="11"/>
      <c r="AO54" s="11"/>
    </row>
    <row r="55" spans="1:41" x14ac:dyDescent="0.35">
      <c r="A55" s="65" t="s">
        <v>7</v>
      </c>
      <c r="B55" s="66" t="str">
        <f>IF(_epmOfflineCondition_,"'IRD'!$A$69:$F$77",_xll.EVRNG(A69:F77))</f>
        <v>'IRD'!$A$69:$F$77</v>
      </c>
      <c r="C55" s="11"/>
      <c r="D55" s="11"/>
      <c r="E55" s="11"/>
      <c r="F55" s="384"/>
      <c r="G55" s="11"/>
      <c r="H55" s="88" t="s">
        <v>285</v>
      </c>
      <c r="I55" s="122" t="str">
        <f>IF(_epmOfflineCondition_,"T5",_xll.EVPRO($B$1,$H55,"STYLE"))</f>
        <v>T5</v>
      </c>
      <c r="J55" s="122" t="str">
        <f>IF(_epmOfflineCondition_,"Y",_xll.EVPRO($B$1,$H55,"CALC"))</f>
        <v>Y</v>
      </c>
      <c r="K55" s="179" t="str">
        <f t="shared" ref="K55:K63" si="12">IF(AND(I55&gt;="T5"),"&gt;","")</f>
        <v>&gt;</v>
      </c>
      <c r="L55" s="90" t="str">
        <f>IF(_epmOfflineCondition_,"561100",_xll.EVPRO($B$1,H55,"JDEID"))</f>
        <v>561100</v>
      </c>
      <c r="M55" s="90" t="str">
        <f>IF(_epmOfflineCondition_,"",IF(AND(I55="N",J55="N"),_xll.EVPRO($B$1,H55,"PSFTID"),""))</f>
        <v/>
      </c>
      <c r="N55" s="90" t="str">
        <f>IF(_epmOfflineCondition_,"Cost of Food Sales",IF(_xll.EVDES(H55,$B$1)="#NODATA","",_xll.EVDES(H55,$B$1)))</f>
        <v>Cost of Food Sales</v>
      </c>
      <c r="O55" s="563">
        <v>1923.57</v>
      </c>
      <c r="P55" s="564">
        <v>2122.8000000000002</v>
      </c>
      <c r="Q55" s="564">
        <v>976.21</v>
      </c>
      <c r="R55" s="564"/>
      <c r="S55" s="564"/>
      <c r="T55" s="564"/>
      <c r="U55" s="564"/>
      <c r="V55" s="564"/>
      <c r="W55" s="564"/>
      <c r="X55" s="564"/>
      <c r="Y55" s="564"/>
      <c r="Z55" s="564"/>
      <c r="AA55" s="250">
        <f t="shared" ref="AA55:AA61" si="13">IF($I55="B1","",SUM(O55:Z55))</f>
        <v>5022.58</v>
      </c>
      <c r="AB55" s="565">
        <f>IF(_epmOfflineCondition_,0.290219372881895,IF(AA55=0,"",IFERROR(AA55/_xll.EVGTS($B$1,1,_xll.EVPRO($B$1,$H55,"COSBASIS"),$B$3,$B$5,$B$6,$B$7,$B$9,AA$16,AA$17,AA$11),"")))</f>
        <v>0.29021937288189498</v>
      </c>
      <c r="AC55" s="437"/>
      <c r="AD55" s="564">
        <v>18944.07</v>
      </c>
      <c r="AE55" s="565">
        <f>IF(_epmOfflineCondition_,0.289999902823449,IF(AD55=0,"",IFERROR(AD55/_xll.EVGTS($B$1,1,_xll.EVPRO($B$1,$H55,"COSBASIS"),$B$3,$B$5,$B$6,$B$7,$B$9,AD$16,AD$17,AD$18),"")))</f>
        <v>0.28999990282344901</v>
      </c>
      <c r="AF55" s="566">
        <f t="shared" ref="AF55:AF63" si="14">IF(AND($AA55="",AD55=""),"",$AA55-AD55)</f>
        <v>-13921.49</v>
      </c>
      <c r="AG55" s="564">
        <v>2954.23</v>
      </c>
      <c r="AH55" s="565">
        <f>IF(_epmOfflineCondition_,0.29,IF(AG55=0,"",IFERROR(AG55/_xll.EVGTS($B$1,1,_xll.EVPRO($B$1,$H55,"COSBASIS"),$B$3,$B$5,$B$6,$B$7,$B$9,AG$16,AG$17,AG$18),"")))</f>
        <v>0.28999999999999998</v>
      </c>
      <c r="AI55" s="567">
        <f t="shared" ref="AI55:AI63" si="15">IF(AND($AA55="",AG55=""),"",$AA55-AG55)</f>
        <v>2068.35</v>
      </c>
      <c r="AJ55" s="440">
        <f t="shared" ref="AJ55:AJ63" si="16">IFERROR(AA55/AA$20,0)</f>
        <v>4.9048632812499999</v>
      </c>
      <c r="AK55" s="441">
        <f t="shared" ref="AK55:AK63" si="17">IFERROR(AD55/AD$20,0)</f>
        <v>4.9656802096985579</v>
      </c>
      <c r="AL55" s="442">
        <f t="shared" ref="AL55:AL63" si="18">IFERROR(AG55/AG$20,0)</f>
        <v>5.2379964539007089</v>
      </c>
      <c r="AM55" s="443" t="str">
        <f t="shared" ref="AM55:AM63" si="19">+IFERROR(ROUND(($AB55-AE55)*100,2)&amp;" pts.",0)</f>
        <v>0.02 pts.</v>
      </c>
      <c r="AN55" s="444" t="str">
        <f t="shared" ref="AN55:AN63" si="20">+IFERROR(ROUND(($AB55-AH55)*100,2)&amp;" pts.",0)</f>
        <v>0.02 pts.</v>
      </c>
      <c r="AO55" s="11"/>
    </row>
    <row r="56" spans="1:41" x14ac:dyDescent="0.35">
      <c r="A56" s="65" t="s">
        <v>47</v>
      </c>
      <c r="B56" s="66" t="str">
        <f>IF(_epmOfflineCondition_,"'IRD'!$A$125:$B$146",_xll.EVRNG($A$125:$B$146))</f>
        <v>'IRD'!$A$125:$B$146</v>
      </c>
      <c r="C56" s="11"/>
      <c r="D56" s="11"/>
      <c r="E56" s="11"/>
      <c r="F56" s="11"/>
      <c r="G56" s="11"/>
      <c r="H56" s="88" t="s">
        <v>636</v>
      </c>
      <c r="I56" s="122" t="str">
        <f>IF(_epmOfflineCondition_,"T5",_xll.EVPRO($B$1,$H56,"STYLE"))</f>
        <v>T5</v>
      </c>
      <c r="J56" s="122" t="str">
        <f>IF(_epmOfflineCondition_,"Y",_xll.EVPRO($B$1,$H56,"CALC"))</f>
        <v>Y</v>
      </c>
      <c r="K56" s="179" t="str">
        <f t="shared" si="12"/>
        <v>&gt;</v>
      </c>
      <c r="L56" s="90" t="str">
        <f>IF(_epmOfflineCondition_,"",_xll.EVPRO($B$1,H56,"JDEID"))</f>
        <v/>
      </c>
      <c r="M56" s="90" t="str">
        <f>IF(_epmOfflineCondition_,"",IF(AND(I56="N",J56="N"),_xll.EVPRO($B$1,H56,"PSFTID"),""))</f>
        <v/>
      </c>
      <c r="N56" s="90" t="str">
        <f>IF(_epmOfflineCondition_,"Cost of Beverage Sales",IF(_xll.EVDES(H56,$B$1)="#NODATA","",_xll.EVDES(H56,$B$1)))</f>
        <v>Cost of Beverage Sales</v>
      </c>
      <c r="O56" s="445">
        <v>122.41</v>
      </c>
      <c r="P56" s="251">
        <v>353.55</v>
      </c>
      <c r="Q56" s="251">
        <v>166.97</v>
      </c>
      <c r="R56" s="251"/>
      <c r="S56" s="251"/>
      <c r="T56" s="251"/>
      <c r="U56" s="251"/>
      <c r="V56" s="251"/>
      <c r="W56" s="251"/>
      <c r="X56" s="251"/>
      <c r="Y56" s="251"/>
      <c r="Z56" s="251"/>
      <c r="AA56" s="251">
        <f t="shared" si="13"/>
        <v>642.93000000000006</v>
      </c>
      <c r="AB56" s="446">
        <f>IF(_epmOfflineCondition_,0.220938144329897,IF(AA56=0,"",IFERROR(AA56/_xll.EVGTS($B$1,1,_xll.EVPRO($B$1,$H56,"COSBASIS"),$B$3,$B$5,$B$6,$B$7,$B$9,AA$16,AA$17,AA$11),"")))</f>
        <v>0.220938144329897</v>
      </c>
      <c r="AC56" s="437"/>
      <c r="AD56" s="251">
        <v>4990.79</v>
      </c>
      <c r="AE56" s="446">
        <f>IF(_epmOfflineCondition_,0.215253875608337,IF(AD56=0,"",IFERROR(AD56/_xll.EVGTS($B$1,1,_xll.EVPRO($B$1,$H56,"COSBASIS"),$B$3,$B$5,$B$6,$B$7,$B$9,AD$16,AD$17,AD$18),"")))</f>
        <v>0.215253875608337</v>
      </c>
      <c r="AF56" s="447">
        <f t="shared" si="14"/>
        <v>-4347.8599999999997</v>
      </c>
      <c r="AG56" s="251">
        <v>207.51</v>
      </c>
      <c r="AH56" s="446">
        <f>IF(_epmOfflineCondition_,0.223609913793103,IF(AG56=0,"",IFERROR(AG56/_xll.EVGTS($B$1,1,_xll.EVPRO($B$1,$H56,"COSBASIS"),$B$3,$B$5,$B$6,$B$7,$B$9,AG$16,AG$17,AG$18),"")))</f>
        <v>0.22360991379310299</v>
      </c>
      <c r="AI56" s="448">
        <f t="shared" si="15"/>
        <v>435.42000000000007</v>
      </c>
      <c r="AJ56" s="449">
        <f t="shared" si="16"/>
        <v>0.62786132812500006</v>
      </c>
      <c r="AK56" s="450">
        <f t="shared" si="17"/>
        <v>1.3082018348623854</v>
      </c>
      <c r="AL56" s="451">
        <f t="shared" si="18"/>
        <v>0.36792553191489358</v>
      </c>
      <c r="AM56" s="452" t="str">
        <f t="shared" si="19"/>
        <v>0.57 pts.</v>
      </c>
      <c r="AN56" s="453" t="str">
        <f t="shared" si="20"/>
        <v>-0.27 pts.</v>
      </c>
      <c r="AO56" s="11"/>
    </row>
    <row r="57" spans="1:41" x14ac:dyDescent="0.35">
      <c r="A57" s="65" t="s">
        <v>8</v>
      </c>
      <c r="B57" s="66"/>
      <c r="C57" s="11"/>
      <c r="D57" s="11"/>
      <c r="E57" s="11"/>
      <c r="F57" s="11"/>
      <c r="G57" s="11"/>
      <c r="H57" s="88" t="s">
        <v>286</v>
      </c>
      <c r="I57" s="188" t="str">
        <f>IF(_epmOfflineCondition_,"T4",_xll.EVPRO($B$1,$H57,"STYLE"))</f>
        <v>T4</v>
      </c>
      <c r="J57" s="188" t="str">
        <f>IF(_epmOfflineCondition_,"Y",_xll.EVPRO($B$1,$H57,"CALC"))</f>
        <v>Y</v>
      </c>
      <c r="K57" s="189" t="str">
        <f t="shared" si="12"/>
        <v/>
      </c>
      <c r="L57" s="190" t="str">
        <f>IF(_epmOfflineCondition_,"",_xll.EVPRO($B$1,H57,"JDEID"))</f>
        <v/>
      </c>
      <c r="M57" s="190" t="str">
        <f>IF(_epmOfflineCondition_,"",IF(AND(I57="N",J57="N"),_xll.EVPRO($B$1,H57,"PSFTID"),""))</f>
        <v/>
      </c>
      <c r="N57" s="190" t="str">
        <f>IF(_epmOfflineCondition_,"Total Cost of Food &amp; Beverage Sales",IF(_xll.EVDES(H57,$B$1)="#NODATA","",_xll.EVDES(H57,$B$1)))</f>
        <v>Total Cost of Food &amp; Beverage Sales</v>
      </c>
      <c r="O57" s="454">
        <v>2045.98</v>
      </c>
      <c r="P57" s="225">
        <v>2476.35</v>
      </c>
      <c r="Q57" s="225">
        <v>1143.18</v>
      </c>
      <c r="R57" s="225"/>
      <c r="S57" s="225"/>
      <c r="T57" s="225"/>
      <c r="U57" s="225"/>
      <c r="V57" s="225"/>
      <c r="W57" s="225"/>
      <c r="X57" s="225"/>
      <c r="Y57" s="225"/>
      <c r="Z57" s="225"/>
      <c r="AA57" s="225">
        <f t="shared" si="13"/>
        <v>5665.51</v>
      </c>
      <c r="AB57" s="226">
        <f>IF(_epmOfflineCondition_,0.283164782570015,IF(AA57=0,"",IFERROR(AA57/_xll.EVGTS($B$1,1,_xll.EVPRO($B$1,$H57,"COSBASIS"),$B$3,$B$5,$B$6,$B$7,$B$9,AA$16,AA$17,AA$11),"")))</f>
        <v>0.28316478257001498</v>
      </c>
      <c r="AC57" s="227"/>
      <c r="AD57" s="225">
        <v>23934.86</v>
      </c>
      <c r="AE57" s="226">
        <f>IF(_epmOfflineCondition_,0.270419839566151,IF(AD57=0,"",IFERROR(AD57/_xll.EVGTS($B$1,1,_xll.EVPRO($B$1,$H57,"COSBASIS"),$B$3,$B$5,$B$6,$B$7,$B$9,AD$16,AD$17,AD$18),"")))</f>
        <v>0.27041983956615101</v>
      </c>
      <c r="AF57" s="228">
        <f t="shared" si="14"/>
        <v>-18269.349999999999</v>
      </c>
      <c r="AG57" s="225">
        <v>3161.74</v>
      </c>
      <c r="AH57" s="226">
        <f>IF(_epmOfflineCondition_,0.284457040035987,IF(AG57=0,"",IFERROR(AG57/_xll.EVGTS($B$1,1,_xll.EVPRO($B$1,$H57,"COSBASIS"),$B$3,$B$5,$B$6,$B$7,$B$9,AG$16,AG$17,AG$18),"")))</f>
        <v>0.28445704003598699</v>
      </c>
      <c r="AI57" s="455">
        <f t="shared" si="15"/>
        <v>2503.7700000000004</v>
      </c>
      <c r="AJ57" s="229">
        <f t="shared" si="16"/>
        <v>5.5327246093750002</v>
      </c>
      <c r="AK57" s="230">
        <f t="shared" si="17"/>
        <v>6.2738820445609438</v>
      </c>
      <c r="AL57" s="232">
        <f t="shared" si="18"/>
        <v>5.6059219858156029</v>
      </c>
      <c r="AM57" s="427" t="str">
        <f t="shared" si="19"/>
        <v>1.27 pts.</v>
      </c>
      <c r="AN57" s="456" t="str">
        <f t="shared" si="20"/>
        <v>-0.13 pts.</v>
      </c>
      <c r="AO57" s="11"/>
    </row>
    <row r="58" spans="1:41" x14ac:dyDescent="0.35">
      <c r="A58" s="11"/>
      <c r="B58" s="11"/>
      <c r="C58" s="11"/>
      <c r="D58" s="11"/>
      <c r="E58" s="11"/>
      <c r="F58" s="11"/>
      <c r="G58" s="76"/>
      <c r="H58" s="88" t="s">
        <v>287</v>
      </c>
      <c r="I58" s="188" t="str">
        <f>IF(_epmOfflineCondition_,"B1",_xll.EVPRO($B$1,$H58,"STYLE"))</f>
        <v>B1</v>
      </c>
      <c r="J58" s="188" t="str">
        <f>IF(_epmOfflineCondition_,"Y",_xll.EVPRO($B$1,$H58,"CALC"))</f>
        <v>Y</v>
      </c>
      <c r="K58" s="189" t="str">
        <f t="shared" si="12"/>
        <v/>
      </c>
      <c r="L58" s="190" t="str">
        <f>IF(_epmOfflineCondition_,"",_xll.EVPRO($B$1,H58,"JDEID"))</f>
        <v/>
      </c>
      <c r="M58" s="190" t="str">
        <f>IF(_epmOfflineCondition_,"",IF(AND(I58="N",J58="N"),_xll.EVPRO($B$1,H58,"PSFTID"),""))</f>
        <v/>
      </c>
      <c r="N58" s="190" t="str">
        <f>IF(_epmOfflineCondition_,"Cost of Other Revenue",IF(_xll.EVDES(H58,$B$1)="#NODATA","",_xll.EVDES(H58,$B$1)))</f>
        <v>Cost of Other Revenue</v>
      </c>
      <c r="O58" s="568"/>
      <c r="P58" s="210"/>
      <c r="Q58" s="210"/>
      <c r="R58" s="210"/>
      <c r="S58" s="210"/>
      <c r="T58" s="210"/>
      <c r="U58" s="210"/>
      <c r="V58" s="210"/>
      <c r="W58" s="210"/>
      <c r="X58" s="210"/>
      <c r="Y58" s="210"/>
      <c r="Z58" s="210"/>
      <c r="AA58" s="252" t="str">
        <f t="shared" si="13"/>
        <v/>
      </c>
      <c r="AB58" s="211" t="str">
        <f>IF(_epmOfflineCondition_,"",IF(AA58=0,"",IFERROR(AA58/_xll.EVGTS($B$1,1,_xll.EVPRO($B$1,$H58,"COSBASIS"),$B$3,$B$5,$B$6,$B$7,$B$9,AA$16,AA$17,AA$11),"")))</f>
        <v/>
      </c>
      <c r="AC58" s="459"/>
      <c r="AD58" s="210"/>
      <c r="AE58" s="211" t="str">
        <f>IF(_epmOfflineCondition_,"",IF(AD58=0,"",IFERROR(AD58/_xll.EVGTS($B$1,1,_xll.EVPRO($B$1,$H58,"COSBASIS"),$B$3,$B$5,$B$6,$B$7,$B$9,AD$16,AD$17,AD$18),"")))</f>
        <v/>
      </c>
      <c r="AF58" s="253" t="str">
        <f t="shared" si="14"/>
        <v/>
      </c>
      <c r="AG58" s="210"/>
      <c r="AH58" s="211" t="str">
        <f>IF(_epmOfflineCondition_,"",IF(AG58=0,"",IFERROR(AG58/_xll.EVGTS($B$1,1,_xll.EVPRO($B$1,$H58,"COSBASIS"),$B$3,$B$5,$B$6,$B$7,$B$9,AG$16,AG$17,AG$18),"")))</f>
        <v/>
      </c>
      <c r="AI58" s="569" t="str">
        <f t="shared" si="15"/>
        <v/>
      </c>
      <c r="AJ58" s="234">
        <f t="shared" si="16"/>
        <v>0</v>
      </c>
      <c r="AK58" s="235">
        <f t="shared" si="17"/>
        <v>0</v>
      </c>
      <c r="AL58" s="237">
        <f t="shared" si="18"/>
        <v>0</v>
      </c>
      <c r="AM58" s="429">
        <f t="shared" si="19"/>
        <v>0</v>
      </c>
      <c r="AN58" s="462">
        <f t="shared" si="20"/>
        <v>0</v>
      </c>
      <c r="AO58" s="11"/>
    </row>
    <row r="59" spans="1:41" x14ac:dyDescent="0.35">
      <c r="A59" s="62" t="s">
        <v>9</v>
      </c>
      <c r="B59" s="63" t="s">
        <v>10</v>
      </c>
      <c r="C59" s="11"/>
      <c r="D59" s="11"/>
      <c r="E59" s="11"/>
      <c r="F59" s="11"/>
      <c r="G59" s="11"/>
      <c r="H59" s="88" t="s">
        <v>639</v>
      </c>
      <c r="I59" s="122" t="str">
        <f>IF(_epmOfflineCondition_,"T5",_xll.EVPRO($B$1,$H59,"STYLE"))</f>
        <v>T5</v>
      </c>
      <c r="J59" s="122" t="str">
        <f>IF(_epmOfflineCondition_,"Y",_xll.EVPRO($B$1,$H59,"CALC"))</f>
        <v>Y</v>
      </c>
      <c r="K59" s="179" t="str">
        <f t="shared" si="12"/>
        <v>&gt;</v>
      </c>
      <c r="L59" s="90" t="str">
        <f>IF(_epmOfflineCondition_,"",_xll.EVPRO($B$1,H59,"JDEID"))</f>
        <v/>
      </c>
      <c r="M59" s="90" t="str">
        <f>IF(_epmOfflineCondition_,"",IF(AND(I59="N",J59="N"),_xll.EVPRO($B$1,H59,"PSFTID"),""))</f>
        <v/>
      </c>
      <c r="N59" s="90" t="str">
        <f>IF(_epmOfflineCondition_,"Miscellaneous Cost",IF(_xll.EVDES(H59,$B$1)="#NODATA","",_xll.EVDES(H59,$B$1)))</f>
        <v>Miscellaneous Cost</v>
      </c>
      <c r="O59" s="445"/>
      <c r="P59" s="251"/>
      <c r="Q59" s="251"/>
      <c r="R59" s="251"/>
      <c r="S59" s="251"/>
      <c r="T59" s="251"/>
      <c r="U59" s="251"/>
      <c r="V59" s="251"/>
      <c r="W59" s="251"/>
      <c r="X59" s="251"/>
      <c r="Y59" s="251"/>
      <c r="Z59" s="251"/>
      <c r="AA59" s="251">
        <f t="shared" si="13"/>
        <v>0</v>
      </c>
      <c r="AB59" s="446" t="str">
        <f>IF(_epmOfflineCondition_,"",IF(AA59=0,"",IFERROR(AA59/_xll.EVGTS($B$1,1,_xll.EVPRO($B$1,$H59,"COSBASIS"),$B$3,$B$5,$B$6,$B$7,$B$9,AA$16,AA$17,AA$11),"")))</f>
        <v/>
      </c>
      <c r="AC59" s="437"/>
      <c r="AD59" s="251"/>
      <c r="AE59" s="446" t="str">
        <f>IF(_epmOfflineCondition_,"",IF(AD59=0,"",IFERROR(AD59/_xll.EVGTS($B$1,1,_xll.EVPRO($B$1,$H59,"COSBASIS"),$B$3,$B$5,$B$6,$B$7,$B$9,AD$16,AD$17,AD$18),"")))</f>
        <v/>
      </c>
      <c r="AF59" s="447">
        <f t="shared" si="14"/>
        <v>0</v>
      </c>
      <c r="AG59" s="251"/>
      <c r="AH59" s="446" t="str">
        <f>IF(_epmOfflineCondition_,"",IF(AG59=0,"",IFERROR(AG59/_xll.EVGTS($B$1,1,_xll.EVPRO($B$1,$H59,"COSBASIS"),$B$3,$B$5,$B$6,$B$7,$B$9,AG$16,AG$17,AG$18),"")))</f>
        <v/>
      </c>
      <c r="AI59" s="448">
        <f t="shared" si="15"/>
        <v>0</v>
      </c>
      <c r="AJ59" s="449">
        <f t="shared" si="16"/>
        <v>0</v>
      </c>
      <c r="AK59" s="450">
        <f t="shared" si="17"/>
        <v>0</v>
      </c>
      <c r="AL59" s="451">
        <f t="shared" si="18"/>
        <v>0</v>
      </c>
      <c r="AM59" s="452">
        <f t="shared" si="19"/>
        <v>0</v>
      </c>
      <c r="AN59" s="453">
        <f t="shared" si="20"/>
        <v>0</v>
      </c>
      <c r="AO59" s="11"/>
    </row>
    <row r="60" spans="1:41" x14ac:dyDescent="0.35">
      <c r="A60" s="65" t="s">
        <v>11</v>
      </c>
      <c r="B60" s="66" t="s">
        <v>21</v>
      </c>
      <c r="C60" s="11"/>
      <c r="D60" s="11"/>
      <c r="E60" s="11"/>
      <c r="F60" s="11"/>
      <c r="G60" s="11"/>
      <c r="H60" s="88" t="s">
        <v>288</v>
      </c>
      <c r="I60" s="188" t="str">
        <f>IF(_epmOfflineCondition_,"T4",_xll.EVPRO($B$1,$H60,"STYLE"))</f>
        <v>T4</v>
      </c>
      <c r="J60" s="188" t="str">
        <f>IF(_epmOfflineCondition_,"Y",_xll.EVPRO($B$1,$H60,"CALC"))</f>
        <v>Y</v>
      </c>
      <c r="K60" s="189" t="str">
        <f t="shared" si="12"/>
        <v/>
      </c>
      <c r="L60" s="190" t="str">
        <f>IF(_epmOfflineCondition_,"",_xll.EVPRO($B$1,H60,"JDEID"))</f>
        <v/>
      </c>
      <c r="M60" s="190" t="str">
        <f>IF(_epmOfflineCondition_,"",IF(AND(I60="N",J60="N"),_xll.EVPRO($B$1,H60,"PSFTID"),""))</f>
        <v/>
      </c>
      <c r="N60" s="190" t="str">
        <f>IF(_epmOfflineCondition_,"Total Cost of Other Revenue",IF(_xll.EVDES(H60,$B$1)="#NODATA","",_xll.EVDES(H60,$B$1)))</f>
        <v>Total Cost of Other Revenue</v>
      </c>
      <c r="O60" s="463"/>
      <c r="P60" s="238"/>
      <c r="Q60" s="238"/>
      <c r="R60" s="238"/>
      <c r="S60" s="238"/>
      <c r="T60" s="238"/>
      <c r="U60" s="238"/>
      <c r="V60" s="238"/>
      <c r="W60" s="238"/>
      <c r="X60" s="238"/>
      <c r="Y60" s="238"/>
      <c r="Z60" s="238"/>
      <c r="AA60" s="238">
        <f t="shared" si="13"/>
        <v>0</v>
      </c>
      <c r="AB60" s="239" t="str">
        <f>IF(_epmOfflineCondition_,"",IF(AA60=0,"",IFERROR(AA60/_xll.EVGTS($B$1,1,_xll.EVPRO($B$1,$H60,"COSBASIS"),$B$3,$B$5,$B$6,$B$7,$B$9,AA$16,AA$17,AA$11),"")))</f>
        <v/>
      </c>
      <c r="AC60" s="240"/>
      <c r="AD60" s="238"/>
      <c r="AE60" s="239" t="str">
        <f>IF(_epmOfflineCondition_,"",IF(AD60=0,"",IFERROR(AD60/_xll.EVGTS($B$1,1,_xll.EVPRO($B$1,$H60,"COSBASIS"),$B$3,$B$5,$B$6,$B$7,$B$9,AD$16,AD$17,AD$18),"")))</f>
        <v/>
      </c>
      <c r="AF60" s="241">
        <f t="shared" si="14"/>
        <v>0</v>
      </c>
      <c r="AG60" s="238"/>
      <c r="AH60" s="239" t="str">
        <f>IF(_epmOfflineCondition_,"",IF(AG60=0,"",IFERROR(AG60/_xll.EVGTS($B$1,1,_xll.EVPRO($B$1,$H60,"COSBASIS"),$B$3,$B$5,$B$6,$B$7,$B$9,AG$16,AG$17,AG$18),"")))</f>
        <v/>
      </c>
      <c r="AI60" s="464">
        <f t="shared" si="15"/>
        <v>0</v>
      </c>
      <c r="AJ60" s="242">
        <f t="shared" si="16"/>
        <v>0</v>
      </c>
      <c r="AK60" s="243">
        <f t="shared" si="17"/>
        <v>0</v>
      </c>
      <c r="AL60" s="245">
        <f t="shared" si="18"/>
        <v>0</v>
      </c>
      <c r="AM60" s="431">
        <f t="shared" si="19"/>
        <v>0</v>
      </c>
      <c r="AN60" s="465">
        <f t="shared" si="20"/>
        <v>0</v>
      </c>
      <c r="AO60" s="11"/>
    </row>
    <row r="61" spans="1:41" x14ac:dyDescent="0.35">
      <c r="A61" s="65" t="s">
        <v>12</v>
      </c>
      <c r="B61" s="66" t="s">
        <v>22</v>
      </c>
      <c r="C61" s="11"/>
      <c r="D61" s="11"/>
      <c r="E61" s="11"/>
      <c r="F61" s="11"/>
      <c r="G61" s="11"/>
      <c r="H61" s="88" t="s">
        <v>289</v>
      </c>
      <c r="I61" s="188" t="str">
        <f>IF(_epmOfflineCondition_,"T3",_xll.EVPRO($B$1,$H61,"STYLE"))</f>
        <v>T3</v>
      </c>
      <c r="J61" s="188" t="str">
        <f>IF(_epmOfflineCondition_,"Y",_xll.EVPRO($B$1,$H61,"CALC"))</f>
        <v>Y</v>
      </c>
      <c r="K61" s="189" t="str">
        <f t="shared" si="12"/>
        <v/>
      </c>
      <c r="L61" s="190" t="str">
        <f>IF(_epmOfflineCondition_,"500001",_xll.EVPRO($B$1,H61,"JDEID"))</f>
        <v>500001</v>
      </c>
      <c r="M61" s="190" t="str">
        <f>IF(_epmOfflineCondition_,"",IF(AND(I61="N",J61="N"),_xll.EVPRO($B$1,H61,"PSFTID"),""))</f>
        <v/>
      </c>
      <c r="N61" s="190" t="str">
        <f>IF(_epmOfflineCondition_,"Total Cost of Sales",IF(_xll.EVDES(H61,$B$1)="#NODATA","",_xll.EVDES(H61,$B$1)))</f>
        <v>Total Cost of Sales</v>
      </c>
      <c r="O61" s="454">
        <v>2045.98</v>
      </c>
      <c r="P61" s="225">
        <v>2476.35</v>
      </c>
      <c r="Q61" s="225">
        <v>1143.18</v>
      </c>
      <c r="R61" s="225"/>
      <c r="S61" s="225"/>
      <c r="T61" s="225"/>
      <c r="U61" s="225"/>
      <c r="V61" s="225"/>
      <c r="W61" s="225"/>
      <c r="X61" s="225"/>
      <c r="Y61" s="225"/>
      <c r="Z61" s="225"/>
      <c r="AA61" s="225">
        <f t="shared" si="13"/>
        <v>5665.51</v>
      </c>
      <c r="AB61" s="226">
        <f>IF(_epmOfflineCondition_,0.214136984685954,IF(AA61=0,"",IFERROR(AA61/_xll.EVGTS($B$1,1,_xll.EVPRO($B$1,$H61,"COSBASIS"),$B$3,$B$5,$B$6,$B$7,$B$9,AA$16,AA$17,AA$11),"")))</f>
        <v>0.21413698468595399</v>
      </c>
      <c r="AC61" s="227"/>
      <c r="AD61" s="225">
        <v>23934.86</v>
      </c>
      <c r="AE61" s="226">
        <f>IF(_epmOfflineCondition_,0.193778174305034,IF(AD61=0,"",IFERROR(AD61/_xll.EVGTS($B$1,1,_xll.EVPRO($B$1,$H61,"COSBASIS"),$B$3,$B$5,$B$6,$B$7,$B$9,AD$16,AD$17,AD$18),"")))</f>
        <v>0.193778174305034</v>
      </c>
      <c r="AF61" s="228">
        <f t="shared" si="14"/>
        <v>-18269.349999999999</v>
      </c>
      <c r="AG61" s="225">
        <v>3161.74</v>
      </c>
      <c r="AH61" s="226">
        <f>IF(_epmOfflineCondition_,0.21857319831653,IF(AG61=0,"",IFERROR(AG61/_xll.EVGTS($B$1,1,_xll.EVPRO($B$1,$H61,"COSBASIS"),$B$3,$B$5,$B$6,$B$7,$B$9,AG$16,AG$17,AG$18),"")))</f>
        <v>0.21857319831652999</v>
      </c>
      <c r="AI61" s="455">
        <f t="shared" si="15"/>
        <v>2503.7700000000004</v>
      </c>
      <c r="AJ61" s="229">
        <f t="shared" si="16"/>
        <v>5.5327246093750002</v>
      </c>
      <c r="AK61" s="230">
        <f t="shared" si="17"/>
        <v>6.2738820445609438</v>
      </c>
      <c r="AL61" s="232">
        <f t="shared" si="18"/>
        <v>5.6059219858156029</v>
      </c>
      <c r="AM61" s="427" t="str">
        <f t="shared" si="19"/>
        <v>2.04 pts.</v>
      </c>
      <c r="AN61" s="456" t="str">
        <f t="shared" si="20"/>
        <v>-0.44 pts.</v>
      </c>
      <c r="AO61" s="11"/>
    </row>
    <row r="62" spans="1:41" x14ac:dyDescent="0.35">
      <c r="A62" s="65" t="s">
        <v>13</v>
      </c>
      <c r="B62" s="66" t="str">
        <f>"DEP(COS_FB) AND "&amp;$E$6&amp;"=Y,COS_FB,COSOTH,DEP(COS_OTHR) AND "&amp;$E$6&amp;"=Y,COS_OTHR,500001"</f>
        <v>DEP(COS_FB) AND D2147=Y,COS_FB,COSOTH,DEP(COS_OTHR) AND D2147=Y,COS_OTHR,500001</v>
      </c>
      <c r="C62" s="11"/>
      <c r="D62" s="11"/>
      <c r="E62" s="11"/>
      <c r="F62" s="11"/>
      <c r="G62" s="11"/>
      <c r="H62" s="185" t="s">
        <v>175</v>
      </c>
      <c r="I62" s="89" t="str">
        <f>IF(_epmOfflineCondition_,"B1",_xll.EVPRO($B$1,$H62,"STYLE"))</f>
        <v>B1</v>
      </c>
      <c r="J62" s="89" t="str">
        <f>IF(_epmOfflineCondition_,"Y",_xll.EVPRO($B$1,$H62,"CALC"))</f>
        <v>Y</v>
      </c>
      <c r="K62" s="265" t="str">
        <f t="shared" si="12"/>
        <v/>
      </c>
      <c r="L62" s="265"/>
      <c r="M62" s="265"/>
      <c r="N62" s="106" t="str">
        <f>IF(_epmOfflineCondition_,"BLANKROW",IF(_xll.EVDES(H62,$B$1)="#NODATA","",_xll.EVDES(H62,$B$1)))</f>
        <v>BLANKROW</v>
      </c>
      <c r="O62" s="205"/>
      <c r="P62" s="205"/>
      <c r="Q62" s="205"/>
      <c r="R62" s="205"/>
      <c r="S62" s="205"/>
      <c r="T62" s="205"/>
      <c r="U62" s="205"/>
      <c r="V62" s="205"/>
      <c r="W62" s="205"/>
      <c r="X62" s="205"/>
      <c r="Y62" s="205"/>
      <c r="Z62" s="205"/>
      <c r="AA62" s="205"/>
      <c r="AB62" s="206" t="str">
        <f>IF(_epmOfflineCondition_,"",IF(O62=0,"",IFERROR(O62/_xll.EVGTS($B$1,1,INDEX($C$152:$C$175,MATCH($H62,$A$152:$A$175,0)),$B$3,$B$5,$B$6,$B$7,$B$9,O$16,O$17,O$18),"")))</f>
        <v/>
      </c>
      <c r="AC62" s="11"/>
      <c r="AD62" s="205"/>
      <c r="AE62" s="206" t="str">
        <f>IF(_epmOfflineCondition_,"",IF(AD62=0,"",IFERROR(AD62/_xll.EVGTS($B$1,1,INDEX($C$152:$C$175,MATCH($H62,$A$152:$A$175,0)),$B$3,$B$5,$B$6,$B$7,$B$9,AD$16,AD$17,AD$18),"")))</f>
        <v/>
      </c>
      <c r="AF62" s="207" t="str">
        <f t="shared" si="14"/>
        <v/>
      </c>
      <c r="AG62" s="205"/>
      <c r="AH62" s="206" t="str">
        <f>IF(_epmOfflineCondition_,"",IF(AG62=0,"",IFERROR(AG62/_xll.EVGTS($B$1,1,INDEX($C$152:$C$175,MATCH($H62,$A$152:$A$175,0)),$B$3,$B$5,$B$6,$B$7,$B$9,AG$16,AG$17,AG$18),"")))</f>
        <v/>
      </c>
      <c r="AI62" s="207" t="str">
        <f t="shared" si="15"/>
        <v/>
      </c>
      <c r="AJ62" s="523">
        <f t="shared" si="16"/>
        <v>0</v>
      </c>
      <c r="AK62" s="524">
        <f t="shared" si="17"/>
        <v>0</v>
      </c>
      <c r="AL62" s="525">
        <f t="shared" si="18"/>
        <v>0</v>
      </c>
      <c r="AM62" s="526">
        <f t="shared" si="19"/>
        <v>0</v>
      </c>
      <c r="AN62" s="527">
        <f t="shared" si="20"/>
        <v>0</v>
      </c>
      <c r="AO62" s="11"/>
    </row>
    <row r="63" spans="1:41" x14ac:dyDescent="0.35">
      <c r="A63" s="65" t="s">
        <v>14</v>
      </c>
      <c r="B63" s="66"/>
      <c r="C63" s="11"/>
      <c r="D63" s="11"/>
      <c r="E63" s="11"/>
      <c r="F63" s="11"/>
      <c r="G63" s="11"/>
      <c r="H63" s="185" t="s">
        <v>292</v>
      </c>
      <c r="I63" s="89" t="str">
        <f>IF(_epmOfflineCondition_,"T3",_xll.EVPRO($B$1,$H63,"STYLE"))</f>
        <v>T3</v>
      </c>
      <c r="J63" s="89" t="str">
        <f>IF(_epmOfflineCondition_,"Y",_xll.EVPRO($B$1,$H63,"CALC"))</f>
        <v>Y</v>
      </c>
      <c r="K63" s="265" t="str">
        <f t="shared" si="12"/>
        <v/>
      </c>
      <c r="L63" s="265"/>
      <c r="M63" s="265"/>
      <c r="N63" s="106" t="str">
        <f>IF(_epmOfflineCondition_,"Gross Profit",IF(_xll.EVDES(H63,$B$1)="#NODATA","",_xll.EVDES(H63,$B$1)))</f>
        <v>Gross Profit</v>
      </c>
      <c r="O63" s="123">
        <f t="shared" ref="O63:Z63" si="21">SUMIF($H$35:$H$61,"400000",O35:O61)-SUMIF($H$35:$H$61,"500001",O35:O61)</f>
        <v>7397.9</v>
      </c>
      <c r="P63" s="123">
        <f t="shared" si="21"/>
        <v>9100.98</v>
      </c>
      <c r="Q63" s="123">
        <f t="shared" si="21"/>
        <v>4293.0199999999995</v>
      </c>
      <c r="R63" s="123">
        <f t="shared" si="21"/>
        <v>0</v>
      </c>
      <c r="S63" s="123">
        <f t="shared" si="21"/>
        <v>0</v>
      </c>
      <c r="T63" s="123">
        <f t="shared" si="21"/>
        <v>0</v>
      </c>
      <c r="U63" s="123">
        <f t="shared" si="21"/>
        <v>0</v>
      </c>
      <c r="V63" s="123">
        <f t="shared" si="21"/>
        <v>0</v>
      </c>
      <c r="W63" s="123">
        <f t="shared" si="21"/>
        <v>0</v>
      </c>
      <c r="X63" s="123">
        <f t="shared" si="21"/>
        <v>0</v>
      </c>
      <c r="Y63" s="123">
        <f t="shared" si="21"/>
        <v>0</v>
      </c>
      <c r="Z63" s="123">
        <f t="shared" si="21"/>
        <v>0</v>
      </c>
      <c r="AA63" s="123">
        <f>IF($I63="B1","",SUM(O63:Z63))</f>
        <v>20791.899999999998</v>
      </c>
      <c r="AB63" s="192">
        <f>IF(AA63=0,"",IFERROR(AA63/AA$19,""))</f>
        <v>0.78586301531404612</v>
      </c>
      <c r="AC63" s="11"/>
      <c r="AD63" s="123">
        <f>SUMIF($H$35:$H$61,"400000",AD35:AD61)-SUMIF($H$35:$H$61,"500001",AD35:AD61)</f>
        <v>99581.94</v>
      </c>
      <c r="AE63" s="192">
        <f>IF(AD63=0,"",IFERROR(AD63/AD$19,""))</f>
        <v>0.80622182569496614</v>
      </c>
      <c r="AF63" s="125">
        <f t="shared" si="14"/>
        <v>-78790.040000000008</v>
      </c>
      <c r="AG63" s="123">
        <f>SUMIF($H$35:$H$61,"400000",AG35:AG61)-SUMIF($H$35:$H$61,"500001",AG35:AG61)</f>
        <v>11303.62</v>
      </c>
      <c r="AH63" s="192">
        <f>IF(AG63=0,"",IFERROR(AG63/AG$19,""))</f>
        <v>0.78142680168347001</v>
      </c>
      <c r="AI63" s="125">
        <f t="shared" si="15"/>
        <v>9488.279999999997</v>
      </c>
      <c r="AJ63" s="388">
        <f t="shared" si="16"/>
        <v>20.304589843749998</v>
      </c>
      <c r="AK63" s="389">
        <f t="shared" si="17"/>
        <v>26.10273656618611</v>
      </c>
      <c r="AL63" s="390">
        <f t="shared" si="18"/>
        <v>20.041879432624114</v>
      </c>
      <c r="AM63" s="391" t="str">
        <f t="shared" si="19"/>
        <v>-2.04 pts.</v>
      </c>
      <c r="AN63" s="544" t="str">
        <f t="shared" si="20"/>
        <v>0.44 pts.</v>
      </c>
      <c r="AO63" s="11"/>
    </row>
    <row r="64" spans="1:41" x14ac:dyDescent="0.35">
      <c r="A64" s="65" t="s">
        <v>15</v>
      </c>
      <c r="B64" s="66"/>
      <c r="C64" s="11"/>
      <c r="D64" s="11"/>
      <c r="E64" s="11"/>
      <c r="F64" s="11"/>
      <c r="G64" s="11"/>
      <c r="H64" s="11"/>
      <c r="I64" s="59"/>
      <c r="J64" s="59"/>
      <c r="K64" s="11"/>
      <c r="L64" s="11"/>
      <c r="M64" s="11"/>
      <c r="N64" s="11"/>
      <c r="O64" s="393"/>
      <c r="P64" s="394"/>
      <c r="Q64" s="394"/>
      <c r="R64" s="394"/>
      <c r="S64" s="394"/>
      <c r="T64" s="394"/>
      <c r="U64" s="394"/>
      <c r="V64" s="394"/>
      <c r="W64" s="394"/>
      <c r="X64" s="394"/>
      <c r="Y64" s="394"/>
      <c r="Z64" s="394"/>
      <c r="AA64" s="394"/>
      <c r="AB64" s="118"/>
      <c r="AC64" s="11"/>
      <c r="AD64" s="203"/>
      <c r="AE64" s="204"/>
      <c r="AF64" s="118"/>
      <c r="AG64" s="204"/>
      <c r="AH64" s="204"/>
      <c r="AI64" s="118"/>
      <c r="AJ64" s="11"/>
      <c r="AK64" s="11"/>
      <c r="AL64" s="11"/>
      <c r="AM64" s="11"/>
      <c r="AN64" s="11"/>
      <c r="AO64" s="11"/>
    </row>
    <row r="65" spans="1:41" x14ac:dyDescent="0.35">
      <c r="A65" s="65" t="s">
        <v>16</v>
      </c>
      <c r="B65" s="66"/>
      <c r="C65" s="11"/>
      <c r="D65" s="11"/>
      <c r="E65" s="11"/>
      <c r="F65" s="11"/>
      <c r="G65" s="11"/>
      <c r="H65" s="11" t="s">
        <v>73</v>
      </c>
      <c r="I65" s="59" t="str">
        <f>IF(_epmOfflineCondition_,"B1",_xll.EVPRO($B$1,$H65,"STYLE"))</f>
        <v>B1</v>
      </c>
      <c r="J65" s="59" t="str">
        <f>IF(_epmOfflineCondition_,"Y",_xll.EVPRO($B$1,$H65,"CALC"))</f>
        <v>Y</v>
      </c>
      <c r="K65" s="11"/>
      <c r="L65" s="11"/>
      <c r="M65" s="11"/>
      <c r="N65" s="105" t="str">
        <f>IF(_epmOfflineCondition_,"Labor &amp; Related Expenses",IF(_xll.EVDES(H65,$B$1)="#NODATA","",_xll.EVDES(H65,$B$1)))</f>
        <v>Labor &amp; Related Expenses</v>
      </c>
      <c r="O65" s="203"/>
      <c r="P65" s="204"/>
      <c r="Q65" s="204"/>
      <c r="R65" s="204"/>
      <c r="S65" s="204"/>
      <c r="T65" s="204"/>
      <c r="U65" s="204"/>
      <c r="V65" s="204"/>
      <c r="W65" s="204"/>
      <c r="X65" s="204"/>
      <c r="Y65" s="204"/>
      <c r="Z65" s="204"/>
      <c r="AA65" s="204"/>
      <c r="AB65" s="410"/>
      <c r="AC65" s="11"/>
      <c r="AD65" s="411"/>
      <c r="AE65" s="412"/>
      <c r="AF65" s="118"/>
      <c r="AG65" s="204"/>
      <c r="AH65" s="412"/>
      <c r="AI65" s="118"/>
      <c r="AJ65" s="11"/>
      <c r="AK65" s="11"/>
      <c r="AL65" s="11"/>
      <c r="AM65" s="11"/>
      <c r="AN65" s="11"/>
      <c r="AO65" s="11"/>
    </row>
    <row r="66" spans="1:41" x14ac:dyDescent="0.35">
      <c r="A66" s="65" t="s">
        <v>17</v>
      </c>
      <c r="B66" s="66"/>
      <c r="C66" s="11"/>
      <c r="D66" s="11"/>
      <c r="E66" s="11"/>
      <c r="F66" s="11"/>
      <c r="G66" s="11"/>
      <c r="H66" s="11" t="s">
        <v>74</v>
      </c>
      <c r="I66" s="59" t="str">
        <f>IF(_epmOfflineCondition_,"B1",_xll.EVPRO($B$1,$H66,"STYLE"))</f>
        <v>B1</v>
      </c>
      <c r="J66" s="59" t="str">
        <f>IF(_epmOfflineCondition_,"Y",_xll.EVPRO($B$1,$H66,"CALC"))</f>
        <v>Y</v>
      </c>
      <c r="K66" s="11"/>
      <c r="L66" s="11"/>
      <c r="M66" s="11"/>
      <c r="N66" s="53" t="str">
        <f>IF(_epmOfflineCondition_,"Salaries &amp; Wages",IF(_xll.EVDES(H66,$B$1)="#NODATA","",_xll.EVDES(H66,$B$1)))</f>
        <v>Salaries &amp; Wages</v>
      </c>
      <c r="O66" s="119"/>
      <c r="P66" s="120"/>
      <c r="Q66" s="120"/>
      <c r="R66" s="120"/>
      <c r="S66" s="120"/>
      <c r="T66" s="120"/>
      <c r="U66" s="120"/>
      <c r="V66" s="120"/>
      <c r="W66" s="120"/>
      <c r="X66" s="120"/>
      <c r="Y66" s="120"/>
      <c r="Z66" s="120"/>
      <c r="AA66" s="120"/>
      <c r="AB66" s="121"/>
      <c r="AC66" s="11"/>
      <c r="AD66" s="119"/>
      <c r="AE66" s="120"/>
      <c r="AF66" s="121"/>
      <c r="AG66" s="120"/>
      <c r="AH66" s="120"/>
      <c r="AI66" s="121"/>
      <c r="AJ66" s="11"/>
      <c r="AK66" s="11"/>
      <c r="AL66" s="11"/>
      <c r="AM66" s="11"/>
      <c r="AN66" s="11"/>
      <c r="AO66" s="11"/>
    </row>
    <row r="67" spans="1:41" hidden="1" x14ac:dyDescent="0.35">
      <c r="A67" s="204"/>
      <c r="B67" s="204"/>
      <c r="C67" s="11"/>
      <c r="D67" s="11"/>
      <c r="E67" s="11"/>
      <c r="F67" s="11"/>
      <c r="G67" s="11"/>
      <c r="H67" s="88" t="s">
        <v>667</v>
      </c>
      <c r="I67" s="122" t="str">
        <f>IF(_epmOfflineCondition_,"",_xll.EVPRO($B$1,$H67,"STYLE"))</f>
        <v/>
      </c>
      <c r="J67" s="122" t="str">
        <f>IF(_epmOfflineCondition_,"",_xll.EVPRO($B$1,$H67,"CALC"))</f>
        <v/>
      </c>
      <c r="K67" s="179" t="str">
        <f t="shared" ref="K67:K78" si="22">IF(AND(I67&gt;="T3"),"&gt;","")</f>
        <v/>
      </c>
      <c r="L67" s="90" t="str">
        <f>IF(_epmOfflineCondition_,"",_xll.EVPRO($B$1,H67,"JDEID"))</f>
        <v/>
      </c>
      <c r="M67" s="90" t="str">
        <f>IF(_epmOfflineCondition_,"",IF(AND(I67="N",J67="N"),_xll.EVPRO($B$1,H67,"PSFTID"),""))</f>
        <v/>
      </c>
      <c r="N67" s="90" t="str">
        <f>IF(_epmOfflineCondition_,"",IF(_xll.EVDES(H67,$B$1)="#NODATA","",_xll.EVDES(H67,$B$1)))</f>
        <v/>
      </c>
      <c r="O67" s="217"/>
      <c r="P67" s="217"/>
      <c r="Q67" s="217"/>
      <c r="R67" s="217"/>
      <c r="S67" s="217"/>
      <c r="T67" s="217"/>
      <c r="U67" s="217"/>
      <c r="V67" s="217"/>
      <c r="W67" s="217"/>
      <c r="X67" s="217"/>
      <c r="Y67" s="217"/>
      <c r="Z67" s="217"/>
      <c r="AA67" s="251">
        <f t="shared" ref="AA67:AA78" si="23">IF($I67="B1","",SUM(O67:Z67))</f>
        <v>0</v>
      </c>
      <c r="AB67" s="219" t="str">
        <f t="shared" ref="AB67:AB78" si="24">IF(AA67=0,"",IFERROR(AA67/AA$19,""))</f>
        <v/>
      </c>
      <c r="AC67" s="140"/>
      <c r="AD67" s="217"/>
      <c r="AE67" s="219" t="str">
        <f t="shared" ref="AE67:AE78" si="25">IF(AD67=0,"",IFERROR(AD67/AD$19,""))</f>
        <v/>
      </c>
      <c r="AF67" s="220">
        <f t="shared" ref="AF67:AF78" si="26">IF(AND($AA67="",AD67=""),"",$AA67-AD67)</f>
        <v>0</v>
      </c>
      <c r="AG67" s="217"/>
      <c r="AH67" s="219" t="str">
        <f t="shared" ref="AH67:AH78" si="27">IF(AG67=0,"",IFERROR(AG67/AG$19,""))</f>
        <v/>
      </c>
      <c r="AI67" s="220">
        <f t="shared" ref="AI67:AI78" si="28">IF(AND($AA67="",AG67=""),"",$AA67-AG67)</f>
        <v>0</v>
      </c>
      <c r="AJ67" s="440">
        <f t="shared" ref="AJ67:AJ78" si="29">IFERROR(AA67/AA$20,0)</f>
        <v>0</v>
      </c>
      <c r="AK67" s="441">
        <f t="shared" ref="AK67:AK78" si="30">IFERROR(AD67/AD$20,0)</f>
        <v>0</v>
      </c>
      <c r="AL67" s="442">
        <f t="shared" ref="AL67:AL78" si="31">IFERROR(AG67/AG$20,0)</f>
        <v>0</v>
      </c>
      <c r="AM67" s="443">
        <f t="shared" ref="AM67:AM78" si="32">+IFERROR(ROUND(($AB67-AE67)*100,2)&amp;" pts.",0)</f>
        <v>0</v>
      </c>
      <c r="AN67" s="444">
        <f t="shared" ref="AN67:AN78" si="33">+IFERROR(ROUND(($AB67-AH67)*100,2)&amp;" pts.",0)</f>
        <v>0</v>
      </c>
      <c r="AO67" s="11"/>
    </row>
    <row r="68" spans="1:41" hidden="1" x14ac:dyDescent="0.35">
      <c r="A68" s="97" t="s">
        <v>92</v>
      </c>
      <c r="B68" s="98" t="s">
        <v>93</v>
      </c>
      <c r="C68" s="98" t="s">
        <v>94</v>
      </c>
      <c r="D68" s="98" t="s">
        <v>95</v>
      </c>
      <c r="E68" s="98" t="s">
        <v>96</v>
      </c>
      <c r="F68" s="99" t="s">
        <v>97</v>
      </c>
      <c r="G68" s="11"/>
      <c r="H68" s="88"/>
      <c r="I68" s="122" t="str">
        <f>IF(_epmOfflineCondition_,"",_xll.EVPRO($B$1,$H68,"STYLE"))</f>
        <v/>
      </c>
      <c r="J68" s="122" t="str">
        <f>IF(_epmOfflineCondition_,"",_xll.EVPRO($B$1,$H68,"CALC"))</f>
        <v/>
      </c>
      <c r="K68" s="179" t="str">
        <f t="shared" si="22"/>
        <v/>
      </c>
      <c r="L68" s="90" t="str">
        <f>IF(_epmOfflineCondition_,"",_xll.EVPRO($B$1,H68,"JDEID"))</f>
        <v/>
      </c>
      <c r="M68" s="90" t="str">
        <f>IF(_epmOfflineCondition_,"",IF(AND(I68="N",J68="N"),_xll.EVPRO($B$1,H68,"PSFTID"),""))</f>
        <v/>
      </c>
      <c r="N68" s="90" t="str">
        <f>IF(_epmOfflineCondition_,"",IF(_xll.EVDES(H68,$B$1)="#NODATA","",_xll.EVDES(H68,$B$1)))</f>
        <v/>
      </c>
      <c r="O68" s="217"/>
      <c r="P68" s="217"/>
      <c r="Q68" s="217"/>
      <c r="R68" s="217"/>
      <c r="S68" s="217"/>
      <c r="T68" s="217"/>
      <c r="U68" s="217"/>
      <c r="V68" s="217"/>
      <c r="W68" s="217"/>
      <c r="X68" s="217"/>
      <c r="Y68" s="217"/>
      <c r="Z68" s="217"/>
      <c r="AA68" s="251">
        <f t="shared" si="23"/>
        <v>0</v>
      </c>
      <c r="AB68" s="219" t="str">
        <f t="shared" si="24"/>
        <v/>
      </c>
      <c r="AC68" s="140"/>
      <c r="AD68" s="217"/>
      <c r="AE68" s="219" t="str">
        <f t="shared" si="25"/>
        <v/>
      </c>
      <c r="AF68" s="220">
        <f t="shared" si="26"/>
        <v>0</v>
      </c>
      <c r="AG68" s="217"/>
      <c r="AH68" s="219" t="str">
        <f t="shared" si="27"/>
        <v/>
      </c>
      <c r="AI68" s="220">
        <f t="shared" si="28"/>
        <v>0</v>
      </c>
      <c r="AJ68" s="440">
        <f t="shared" si="29"/>
        <v>0</v>
      </c>
      <c r="AK68" s="441">
        <f t="shared" si="30"/>
        <v>0</v>
      </c>
      <c r="AL68" s="442">
        <f t="shared" si="31"/>
        <v>0</v>
      </c>
      <c r="AM68" s="443">
        <f t="shared" si="32"/>
        <v>0</v>
      </c>
      <c r="AN68" s="444">
        <f t="shared" si="33"/>
        <v>0</v>
      </c>
      <c r="AO68" s="11"/>
    </row>
    <row r="69" spans="1:41" x14ac:dyDescent="0.35">
      <c r="A69" s="11"/>
      <c r="B69" s="11"/>
      <c r="C69" s="11"/>
      <c r="D69" s="11"/>
      <c r="E69" s="11"/>
      <c r="F69" s="11"/>
      <c r="G69" s="11"/>
      <c r="H69" s="88" t="s">
        <v>75</v>
      </c>
      <c r="I69" s="89" t="str">
        <f>IF(_epmOfflineCondition_,"B1",_xll.EVPRO($B$1,$H69,"STYLE"))</f>
        <v>B1</v>
      </c>
      <c r="J69" s="89" t="str">
        <f>IF(_epmOfflineCondition_,"Y",_xll.EVPRO($B$1,$H69,"CALC"))</f>
        <v>Y</v>
      </c>
      <c r="K69" s="265" t="str">
        <f t="shared" si="22"/>
        <v/>
      </c>
      <c r="L69" s="106" t="str">
        <f>IF(_epmOfflineCondition_,"",_xll.EVPRO($B$1,H69,"JDEID"))</f>
        <v/>
      </c>
      <c r="M69" s="90" t="str">
        <f>IF(_epmOfflineCondition_,"",IF(AND(I69="N",J69="N"),_xll.EVPRO($B$1,H69,"PSFTID"),""))</f>
        <v/>
      </c>
      <c r="N69" s="106" t="str">
        <f>IF(_epmOfflineCondition_,"Non-Management",IF(_xll.EVDES(H69,$B$1)="#NODATA","",_xll.EVDES(H69,$B$1)))</f>
        <v>Non-Management</v>
      </c>
      <c r="O69" s="91"/>
      <c r="P69" s="91"/>
      <c r="Q69" s="91"/>
      <c r="R69" s="91"/>
      <c r="S69" s="91"/>
      <c r="T69" s="91"/>
      <c r="U69" s="91"/>
      <c r="V69" s="91"/>
      <c r="W69" s="91"/>
      <c r="X69" s="91"/>
      <c r="Y69" s="91"/>
      <c r="Z69" s="91"/>
      <c r="AA69" s="180" t="str">
        <f t="shared" si="23"/>
        <v/>
      </c>
      <c r="AB69" s="100" t="str">
        <f t="shared" si="24"/>
        <v/>
      </c>
      <c r="AC69" s="11"/>
      <c r="AD69" s="91"/>
      <c r="AE69" s="100" t="str">
        <f t="shared" si="25"/>
        <v/>
      </c>
      <c r="AF69" s="92" t="str">
        <f t="shared" si="26"/>
        <v/>
      </c>
      <c r="AG69" s="91"/>
      <c r="AH69" s="100" t="str">
        <f t="shared" si="27"/>
        <v/>
      </c>
      <c r="AI69" s="92" t="str">
        <f t="shared" si="28"/>
        <v/>
      </c>
      <c r="AJ69" s="397">
        <f t="shared" si="29"/>
        <v>0</v>
      </c>
      <c r="AK69" s="398">
        <f t="shared" si="30"/>
        <v>0</v>
      </c>
      <c r="AL69" s="399">
        <f t="shared" si="31"/>
        <v>0</v>
      </c>
      <c r="AM69" s="400">
        <f t="shared" si="32"/>
        <v>0</v>
      </c>
      <c r="AN69" s="401">
        <f t="shared" si="33"/>
        <v>0</v>
      </c>
      <c r="AO69" s="11"/>
    </row>
    <row r="70" spans="1:41" x14ac:dyDescent="0.35">
      <c r="A70" s="11" t="s">
        <v>209</v>
      </c>
      <c r="B70" s="11" t="s">
        <v>21</v>
      </c>
      <c r="C70" s="395"/>
      <c r="D70" s="11" t="s">
        <v>590</v>
      </c>
      <c r="E70" s="11"/>
      <c r="F70" s="11" t="s">
        <v>99</v>
      </c>
      <c r="G70" s="11"/>
      <c r="H70" s="88" t="s">
        <v>872</v>
      </c>
      <c r="I70" s="122" t="str">
        <f>IF(_epmOfflineCondition_,"T3",_xll.EVPRO($B$1,$H70,"STYLE"))</f>
        <v>T3</v>
      </c>
      <c r="J70" s="122" t="str">
        <f>IF(_epmOfflineCondition_,"Y",_xll.EVPRO($B$1,$H70,"CALC"))</f>
        <v>Y</v>
      </c>
      <c r="K70" s="179" t="str">
        <f t="shared" si="22"/>
        <v>&gt;</v>
      </c>
      <c r="L70" s="90" t="str">
        <f>IF(_epmOfflineCondition_,"",_xll.EVPRO($B$1,H70,"JDEID"))</f>
        <v/>
      </c>
      <c r="M70" s="90" t="str">
        <f>IF(_epmOfflineCondition_,"",IF(AND(I70="N",J70="N"),_xll.EVPRO($B$1,H70,"PSFTID"),""))</f>
        <v/>
      </c>
      <c r="N70" s="90" t="str">
        <f>IF(_epmOfflineCondition_,"F&amp;B Venues",IF(_xll.EVDES(H70,$B$1)="#NODATA","",_xll.EVDES(H70,$B$1)))</f>
        <v>F&amp;B Venues</v>
      </c>
      <c r="O70" s="217">
        <v>702</v>
      </c>
      <c r="P70" s="217">
        <v>855</v>
      </c>
      <c r="Q70" s="217">
        <v>404</v>
      </c>
      <c r="R70" s="217"/>
      <c r="S70" s="217"/>
      <c r="T70" s="217"/>
      <c r="U70" s="217"/>
      <c r="V70" s="217"/>
      <c r="W70" s="217"/>
      <c r="X70" s="217"/>
      <c r="Y70" s="217"/>
      <c r="Z70" s="217"/>
      <c r="AA70" s="251">
        <f t="shared" si="23"/>
        <v>1961</v>
      </c>
      <c r="AB70" s="219">
        <f t="shared" si="24"/>
        <v>7.4119122015344666E-2</v>
      </c>
      <c r="AC70" s="140"/>
      <c r="AD70" s="217">
        <v>9168</v>
      </c>
      <c r="AE70" s="219">
        <f t="shared" si="25"/>
        <v>7.4224720847690356E-2</v>
      </c>
      <c r="AF70" s="220">
        <f t="shared" si="26"/>
        <v>-7207</v>
      </c>
      <c r="AG70" s="217">
        <v>800.59</v>
      </c>
      <c r="AH70" s="219">
        <f t="shared" si="27"/>
        <v>5.5345321512910842E-2</v>
      </c>
      <c r="AI70" s="220">
        <f t="shared" si="28"/>
        <v>1160.4099999999999</v>
      </c>
      <c r="AJ70" s="449">
        <f t="shared" si="29"/>
        <v>1.9150390625</v>
      </c>
      <c r="AK70" s="450">
        <f t="shared" si="30"/>
        <v>2.4031454783748361</v>
      </c>
      <c r="AL70" s="451">
        <f t="shared" si="31"/>
        <v>1.4194858156028369</v>
      </c>
      <c r="AM70" s="452" t="str">
        <f t="shared" si="32"/>
        <v>-0.01 pts.</v>
      </c>
      <c r="AN70" s="453" t="str">
        <f t="shared" si="33"/>
        <v>1.88 pts.</v>
      </c>
      <c r="AO70" s="11"/>
    </row>
    <row r="71" spans="1:41" x14ac:dyDescent="0.35">
      <c r="A71" s="11" t="s">
        <v>105</v>
      </c>
      <c r="B71" s="11"/>
      <c r="C71" s="104" t="s">
        <v>101</v>
      </c>
      <c r="D71" s="11" t="s">
        <v>106</v>
      </c>
      <c r="E71" s="11"/>
      <c r="F71" s="11" t="s">
        <v>98</v>
      </c>
      <c r="G71" s="11"/>
      <c r="H71" s="88" t="s">
        <v>852</v>
      </c>
      <c r="I71" s="188" t="str">
        <f>IF(_epmOfflineCondition_,"T2",_xll.EVPRO($B$1,$H71,"STYLE"))</f>
        <v>T2</v>
      </c>
      <c r="J71" s="188" t="str">
        <f>IF(_epmOfflineCondition_,"Y",_xll.EVPRO($B$1,$H71,"CALC"))</f>
        <v>Y</v>
      </c>
      <c r="K71" s="189" t="str">
        <f t="shared" si="22"/>
        <v/>
      </c>
      <c r="L71" s="190" t="str">
        <f>IF(_epmOfflineCondition_,"",_xll.EVPRO($B$1,H71,"JDEID"))</f>
        <v/>
      </c>
      <c r="M71" s="190" t="str">
        <f>IF(_epmOfflineCondition_,"",IF(AND(I71="N",J71="N"),_xll.EVPRO($B$1,H71,"PSFTID"),""))</f>
        <v/>
      </c>
      <c r="N71" s="190" t="str">
        <f>IF(_epmOfflineCondition_,"Total Salaries and Wages",IF(_xll.EVDES(H71,$B$1)="#NODATA","",_xll.EVDES(H71,$B$1)))</f>
        <v>Total Salaries and Wages</v>
      </c>
      <c r="O71" s="225">
        <v>702</v>
      </c>
      <c r="P71" s="225">
        <v>855</v>
      </c>
      <c r="Q71" s="225">
        <v>404</v>
      </c>
      <c r="R71" s="225"/>
      <c r="S71" s="225"/>
      <c r="T71" s="225"/>
      <c r="U71" s="225"/>
      <c r="V71" s="225"/>
      <c r="W71" s="225"/>
      <c r="X71" s="225"/>
      <c r="Y71" s="225"/>
      <c r="Z71" s="225"/>
      <c r="AA71" s="225">
        <f t="shared" si="23"/>
        <v>1961</v>
      </c>
      <c r="AB71" s="226">
        <f t="shared" si="24"/>
        <v>7.4119122015344666E-2</v>
      </c>
      <c r="AC71" s="227"/>
      <c r="AD71" s="225">
        <v>9168</v>
      </c>
      <c r="AE71" s="226">
        <f t="shared" si="25"/>
        <v>7.4224720847690356E-2</v>
      </c>
      <c r="AF71" s="228">
        <f t="shared" si="26"/>
        <v>-7207</v>
      </c>
      <c r="AG71" s="225">
        <v>800.59</v>
      </c>
      <c r="AH71" s="226">
        <f t="shared" si="27"/>
        <v>5.5345321512910842E-2</v>
      </c>
      <c r="AI71" s="228">
        <f t="shared" si="28"/>
        <v>1160.4099999999999</v>
      </c>
      <c r="AJ71" s="229">
        <f t="shared" si="29"/>
        <v>1.9150390625</v>
      </c>
      <c r="AK71" s="230">
        <f t="shared" si="30"/>
        <v>2.4031454783748361</v>
      </c>
      <c r="AL71" s="232">
        <f t="shared" si="31"/>
        <v>1.4194858156028369</v>
      </c>
      <c r="AM71" s="427" t="str">
        <f t="shared" si="32"/>
        <v>-0.01 pts.</v>
      </c>
      <c r="AN71" s="456" t="str">
        <f t="shared" si="33"/>
        <v>1.88 pts.</v>
      </c>
      <c r="AO71" s="11"/>
    </row>
    <row r="72" spans="1:41" x14ac:dyDescent="0.35">
      <c r="A72" s="11" t="s">
        <v>104</v>
      </c>
      <c r="B72" s="11"/>
      <c r="C72" s="104" t="s">
        <v>101</v>
      </c>
      <c r="D72" s="11" t="s">
        <v>106</v>
      </c>
      <c r="E72" s="11"/>
      <c r="F72" s="11" t="s">
        <v>98</v>
      </c>
      <c r="G72" s="11"/>
      <c r="H72" s="88" t="s">
        <v>873</v>
      </c>
      <c r="I72" s="122" t="str">
        <f>IF(_epmOfflineCondition_,"T3",_xll.EVPRO($B$1,$H72,"STYLE"))</f>
        <v>T3</v>
      </c>
      <c r="J72" s="122" t="str">
        <f>IF(_epmOfflineCondition_,"Y",_xll.EVPRO($B$1,$H72,"CALC"))</f>
        <v>Y</v>
      </c>
      <c r="K72" s="179" t="str">
        <f t="shared" si="22"/>
        <v>&gt;</v>
      </c>
      <c r="L72" s="90" t="str">
        <f>IF(_epmOfflineCondition_,"",_xll.EVPRO($B$1,H72,"JDEID"))</f>
        <v/>
      </c>
      <c r="M72" s="90" t="str">
        <f>IF(_epmOfflineCondition_,"",IF(AND(I72="N",J72="N"),_xll.EVPRO($B$1,H72,"PSFTID"),""))</f>
        <v/>
      </c>
      <c r="N72" s="90" t="str">
        <f>IF(_epmOfflineCondition_,"Service Charge Distribution",IF(_xll.EVDES(H72,$B$1)="#NODATA","",_xll.EVDES(H72,$B$1)))</f>
        <v>Service Charge Distribution</v>
      </c>
      <c r="O72" s="216">
        <v>1281.82</v>
      </c>
      <c r="P72" s="216">
        <v>1753.83</v>
      </c>
      <c r="Q72" s="216">
        <v>11324.73</v>
      </c>
      <c r="R72" s="216"/>
      <c r="S72" s="216"/>
      <c r="T72" s="216"/>
      <c r="U72" s="216">
        <v>601.38</v>
      </c>
      <c r="V72" s="216">
        <v>944.1</v>
      </c>
      <c r="W72" s="216">
        <v>1742.85</v>
      </c>
      <c r="X72" s="216">
        <v>-3288.33</v>
      </c>
      <c r="Y72" s="216">
        <v>3696.1</v>
      </c>
      <c r="Z72" s="216">
        <v>-3696.1</v>
      </c>
      <c r="AA72" s="216">
        <f t="shared" si="23"/>
        <v>14360.38</v>
      </c>
      <c r="AB72" s="218">
        <f t="shared" si="24"/>
        <v>0.54277346119669312</v>
      </c>
      <c r="AC72" s="140"/>
      <c r="AD72" s="216">
        <v>15931.8</v>
      </c>
      <c r="AE72" s="218">
        <f t="shared" si="25"/>
        <v>0.12898488302805772</v>
      </c>
      <c r="AF72" s="233">
        <f t="shared" si="26"/>
        <v>-1571.42</v>
      </c>
      <c r="AG72" s="216">
        <v>2025.36</v>
      </c>
      <c r="AH72" s="218">
        <f t="shared" si="27"/>
        <v>0.1400144897880177</v>
      </c>
      <c r="AI72" s="233">
        <f t="shared" si="28"/>
        <v>12335.019999999999</v>
      </c>
      <c r="AJ72" s="537">
        <f t="shared" si="29"/>
        <v>14.023808593749999</v>
      </c>
      <c r="AK72" s="538">
        <f t="shared" si="30"/>
        <v>4.1760943643512451</v>
      </c>
      <c r="AL72" s="539">
        <f t="shared" si="31"/>
        <v>3.5910638297872337</v>
      </c>
      <c r="AM72" s="540" t="str">
        <f t="shared" si="32"/>
        <v>41.38 pts.</v>
      </c>
      <c r="AN72" s="541" t="str">
        <f t="shared" si="33"/>
        <v>40.28 pts.</v>
      </c>
      <c r="AO72" s="11"/>
    </row>
    <row r="73" spans="1:41" x14ac:dyDescent="0.35">
      <c r="A73" s="11" t="s">
        <v>100</v>
      </c>
      <c r="B73" s="11"/>
      <c r="C73" s="53" t="s">
        <v>101</v>
      </c>
      <c r="D73" s="11" t="s">
        <v>106</v>
      </c>
      <c r="E73" s="11"/>
      <c r="F73" s="11" t="s">
        <v>98</v>
      </c>
      <c r="G73" s="11"/>
      <c r="H73" s="88" t="s">
        <v>854</v>
      </c>
      <c r="I73" s="188" t="str">
        <f>IF(_epmOfflineCondition_,"T2",_xll.EVPRO($B$1,$H73,"STYLE"))</f>
        <v>T2</v>
      </c>
      <c r="J73" s="188" t="str">
        <f>IF(_epmOfflineCondition_,"Y",_xll.EVPRO($B$1,$H73,"CALC"))</f>
        <v>Y</v>
      </c>
      <c r="K73" s="189" t="str">
        <f t="shared" si="22"/>
        <v/>
      </c>
      <c r="L73" s="190" t="str">
        <f>IF(_epmOfflineCondition_,"",_xll.EVPRO($B$1,H73,"JDEID"))</f>
        <v/>
      </c>
      <c r="M73" s="190" t="str">
        <f>IF(_epmOfflineCondition_,"",IF(AND(I73="N",J73="N"),_xll.EVPRO($B$1,H73,"PSFTID"),""))</f>
        <v/>
      </c>
      <c r="N73" s="190" t="str">
        <f>IF(_epmOfflineCondition_,"Total Labor Expense",IF(_xll.EVDES(H73,$B$1)="#NODATA","",_xll.EVDES(H73,$B$1)))</f>
        <v>Total Labor Expense</v>
      </c>
      <c r="O73" s="225">
        <v>1983.82</v>
      </c>
      <c r="P73" s="225">
        <v>2608.83</v>
      </c>
      <c r="Q73" s="225">
        <v>11728.73</v>
      </c>
      <c r="R73" s="225"/>
      <c r="S73" s="225"/>
      <c r="T73" s="225"/>
      <c r="U73" s="225">
        <v>601.38</v>
      </c>
      <c r="V73" s="225">
        <v>944.1</v>
      </c>
      <c r="W73" s="225">
        <v>1742.85</v>
      </c>
      <c r="X73" s="225">
        <v>-3288.33</v>
      </c>
      <c r="Y73" s="225">
        <v>3696.1</v>
      </c>
      <c r="Z73" s="225">
        <v>-3696.1</v>
      </c>
      <c r="AA73" s="225">
        <f t="shared" si="23"/>
        <v>16321.379999999996</v>
      </c>
      <c r="AB73" s="226">
        <f t="shared" si="24"/>
        <v>0.61689258321203755</v>
      </c>
      <c r="AC73" s="227"/>
      <c r="AD73" s="225">
        <v>25099.8</v>
      </c>
      <c r="AE73" s="226">
        <f t="shared" si="25"/>
        <v>0.20320960387574807</v>
      </c>
      <c r="AF73" s="228">
        <f t="shared" si="26"/>
        <v>-8778.4200000000037</v>
      </c>
      <c r="AG73" s="225">
        <v>2825.95</v>
      </c>
      <c r="AH73" s="226">
        <f t="shared" si="27"/>
        <v>0.19535981130092855</v>
      </c>
      <c r="AI73" s="228">
        <f t="shared" si="28"/>
        <v>13495.429999999997</v>
      </c>
      <c r="AJ73" s="229">
        <f t="shared" si="29"/>
        <v>15.938847656249996</v>
      </c>
      <c r="AK73" s="230">
        <f t="shared" si="30"/>
        <v>6.5792398427260812</v>
      </c>
      <c r="AL73" s="232">
        <f t="shared" si="31"/>
        <v>5.0105496453900704</v>
      </c>
      <c r="AM73" s="427" t="str">
        <f t="shared" si="32"/>
        <v>41.37 pts.</v>
      </c>
      <c r="AN73" s="456" t="str">
        <f t="shared" si="33"/>
        <v>42.15 pts.</v>
      </c>
      <c r="AO73" s="11"/>
    </row>
    <row r="74" spans="1:41" x14ac:dyDescent="0.35">
      <c r="A74" s="11" t="s">
        <v>102</v>
      </c>
      <c r="B74" s="11"/>
      <c r="C74" s="106" t="s">
        <v>101</v>
      </c>
      <c r="D74" s="11" t="s">
        <v>106</v>
      </c>
      <c r="E74" s="11"/>
      <c r="F74" s="11" t="s">
        <v>98</v>
      </c>
      <c r="G74" s="11"/>
      <c r="H74" s="88" t="s">
        <v>855</v>
      </c>
      <c r="I74" s="122" t="str">
        <f>IF(_epmOfflineCondition_,"T3",_xll.EVPRO($B$1,$H74,"STYLE"))</f>
        <v>T3</v>
      </c>
      <c r="J74" s="122" t="str">
        <f>IF(_epmOfflineCondition_,"Y",_xll.EVPRO($B$1,$H74,"CALC"))</f>
        <v>Y</v>
      </c>
      <c r="K74" s="179" t="str">
        <f t="shared" si="22"/>
        <v>&gt;</v>
      </c>
      <c r="L74" s="90" t="str">
        <f>IF(_epmOfflineCondition_,"",_xll.EVPRO($B$1,H74,"JDEID"))</f>
        <v/>
      </c>
      <c r="M74" s="90" t="str">
        <f>IF(_epmOfflineCondition_,"",IF(AND(I74="N",J74="N"),_xll.EVPRO($B$1,H74,"PSFTID"),""))</f>
        <v/>
      </c>
      <c r="N74" s="90" t="str">
        <f>IF(_epmOfflineCondition_,"Payroll Taxes",IF(_xll.EVDES(H74,$B$1)="#NODATA","",_xll.EVDES(H74,$B$1)))</f>
        <v>Payroll Taxes</v>
      </c>
      <c r="O74" s="216">
        <v>84.24</v>
      </c>
      <c r="P74" s="216">
        <v>102.6</v>
      </c>
      <c r="Q74" s="216">
        <v>48.48</v>
      </c>
      <c r="R74" s="216"/>
      <c r="S74" s="216"/>
      <c r="T74" s="216"/>
      <c r="U74" s="216"/>
      <c r="V74" s="216"/>
      <c r="W74" s="216"/>
      <c r="X74" s="216"/>
      <c r="Y74" s="216">
        <v>55.83</v>
      </c>
      <c r="Z74" s="216"/>
      <c r="AA74" s="216">
        <f t="shared" si="23"/>
        <v>291.14999999999998</v>
      </c>
      <c r="AB74" s="218">
        <f t="shared" si="24"/>
        <v>1.100447851849444E-2</v>
      </c>
      <c r="AC74" s="140"/>
      <c r="AD74" s="216">
        <v>2706.4603224087</v>
      </c>
      <c r="AE74" s="218">
        <f t="shared" si="25"/>
        <v>2.1911677783173624E-2</v>
      </c>
      <c r="AF74" s="233">
        <f t="shared" si="26"/>
        <v>-2415.3103224086999</v>
      </c>
      <c r="AG74" s="216">
        <v>96.07</v>
      </c>
      <c r="AH74" s="218">
        <f t="shared" si="27"/>
        <v>6.6413832770148814E-3</v>
      </c>
      <c r="AI74" s="233">
        <f t="shared" si="28"/>
        <v>195.07999999999998</v>
      </c>
      <c r="AJ74" s="537">
        <f t="shared" si="29"/>
        <v>0.28432617187499998</v>
      </c>
      <c r="AK74" s="538">
        <f t="shared" si="30"/>
        <v>0.70942603470739185</v>
      </c>
      <c r="AL74" s="539">
        <f t="shared" si="31"/>
        <v>0.1703368794326241</v>
      </c>
      <c r="AM74" s="540" t="str">
        <f t="shared" si="32"/>
        <v>-1.09 pts.</v>
      </c>
      <c r="AN74" s="541" t="str">
        <f t="shared" si="33"/>
        <v>0.44 pts.</v>
      </c>
      <c r="AO74" s="11"/>
    </row>
    <row r="75" spans="1:41" x14ac:dyDescent="0.35">
      <c r="A75" s="11" t="s">
        <v>102</v>
      </c>
      <c r="B75" s="11"/>
      <c r="C75" s="196" t="s">
        <v>101</v>
      </c>
      <c r="D75" s="11" t="s">
        <v>107</v>
      </c>
      <c r="E75" s="11"/>
      <c r="F75" s="11" t="s">
        <v>99</v>
      </c>
      <c r="G75" s="11"/>
      <c r="H75" s="88" t="s">
        <v>856</v>
      </c>
      <c r="I75" s="122" t="str">
        <f>IF(_epmOfflineCondition_,"T3",_xll.EVPRO($B$1,$H75,"STYLE"))</f>
        <v>T3</v>
      </c>
      <c r="J75" s="122" t="str">
        <f>IF(_epmOfflineCondition_,"Y",_xll.EVPRO($B$1,$H75,"CALC"))</f>
        <v>Y</v>
      </c>
      <c r="K75" s="179" t="str">
        <f t="shared" si="22"/>
        <v>&gt;</v>
      </c>
      <c r="L75" s="90" t="str">
        <f>IF(_epmOfflineCondition_,"",_xll.EVPRO($B$1,H75,"JDEID"))</f>
        <v/>
      </c>
      <c r="M75" s="90" t="str">
        <f>IF(_epmOfflineCondition_,"",IF(AND(I75="N",J75="N"),_xll.EVPRO($B$1,H75,"PSFTID"),""))</f>
        <v/>
      </c>
      <c r="N75" s="90" t="str">
        <f>IF(_epmOfflineCondition_,"Supplemental Pay",IF(_xll.EVDES(H75,$B$1)="#NODATA","",_xll.EVDES(H75,$B$1)))</f>
        <v>Supplemental Pay</v>
      </c>
      <c r="O75" s="217"/>
      <c r="P75" s="217"/>
      <c r="Q75" s="217"/>
      <c r="R75" s="217"/>
      <c r="S75" s="217"/>
      <c r="T75" s="217"/>
      <c r="U75" s="217"/>
      <c r="V75" s="217"/>
      <c r="W75" s="217"/>
      <c r="X75" s="217"/>
      <c r="Y75" s="217"/>
      <c r="Z75" s="217"/>
      <c r="AA75" s="251">
        <f t="shared" si="23"/>
        <v>0</v>
      </c>
      <c r="AB75" s="219" t="str">
        <f t="shared" si="24"/>
        <v/>
      </c>
      <c r="AC75" s="140"/>
      <c r="AD75" s="217">
        <v>348.97118279580002</v>
      </c>
      <c r="AE75" s="219">
        <f t="shared" si="25"/>
        <v>2.82529326209714E-3</v>
      </c>
      <c r="AF75" s="220">
        <f t="shared" si="26"/>
        <v>-348.97118279580002</v>
      </c>
      <c r="AG75" s="217"/>
      <c r="AH75" s="219" t="str">
        <f t="shared" si="27"/>
        <v/>
      </c>
      <c r="AI75" s="220">
        <f t="shared" si="28"/>
        <v>0</v>
      </c>
      <c r="AJ75" s="449">
        <f t="shared" si="29"/>
        <v>0</v>
      </c>
      <c r="AK75" s="450">
        <f t="shared" si="30"/>
        <v>9.1473442410432509E-2</v>
      </c>
      <c r="AL75" s="451">
        <f t="shared" si="31"/>
        <v>0</v>
      </c>
      <c r="AM75" s="452">
        <f t="shared" si="32"/>
        <v>0</v>
      </c>
      <c r="AN75" s="453">
        <f t="shared" si="33"/>
        <v>0</v>
      </c>
      <c r="AO75" s="11"/>
    </row>
    <row r="76" spans="1:41" x14ac:dyDescent="0.35">
      <c r="A76" s="11" t="s">
        <v>108</v>
      </c>
      <c r="B76" s="11"/>
      <c r="C76" s="106" t="s">
        <v>101</v>
      </c>
      <c r="D76" s="11" t="s">
        <v>106</v>
      </c>
      <c r="E76" s="11"/>
      <c r="F76" s="11" t="s">
        <v>98</v>
      </c>
      <c r="G76" s="11"/>
      <c r="H76" s="88" t="s">
        <v>857</v>
      </c>
      <c r="I76" s="122" t="str">
        <f>IF(_epmOfflineCondition_,"T3",_xll.EVPRO($B$1,$H76,"STYLE"))</f>
        <v>T3</v>
      </c>
      <c r="J76" s="122" t="str">
        <f>IF(_epmOfflineCondition_,"Y",_xll.EVPRO($B$1,$H76,"CALC"))</f>
        <v>Y</v>
      </c>
      <c r="K76" s="179" t="str">
        <f t="shared" si="22"/>
        <v>&gt;</v>
      </c>
      <c r="L76" s="90" t="str">
        <f>IF(_epmOfflineCondition_,"",_xll.EVPRO($B$1,H76,"JDEID"))</f>
        <v/>
      </c>
      <c r="M76" s="90" t="str">
        <f>IF(_epmOfflineCondition_,"",IF(AND(I76="N",J76="N"),_xll.EVPRO($B$1,H76,"PSFTID"),""))</f>
        <v/>
      </c>
      <c r="N76" s="90" t="str">
        <f>IF(_epmOfflineCondition_,"Employee Benefits",IF(_xll.EVDES(H76,$B$1)="#NODATA","",_xll.EVDES(H76,$B$1)))</f>
        <v>Employee Benefits</v>
      </c>
      <c r="O76" s="217"/>
      <c r="P76" s="217"/>
      <c r="Q76" s="217"/>
      <c r="R76" s="217"/>
      <c r="S76" s="217"/>
      <c r="T76" s="217"/>
      <c r="U76" s="217"/>
      <c r="V76" s="217"/>
      <c r="W76" s="217"/>
      <c r="X76" s="217"/>
      <c r="Y76" s="217">
        <v>6.08</v>
      </c>
      <c r="Z76" s="217"/>
      <c r="AA76" s="251">
        <f t="shared" si="23"/>
        <v>6.08</v>
      </c>
      <c r="AB76" s="219">
        <f t="shared" si="24"/>
        <v>2.2980329518271063E-4</v>
      </c>
      <c r="AC76" s="140"/>
      <c r="AD76" s="217">
        <v>853.95030415710005</v>
      </c>
      <c r="AE76" s="219">
        <f t="shared" si="25"/>
        <v>6.9136368830563944E-3</v>
      </c>
      <c r="AF76" s="220">
        <f t="shared" si="26"/>
        <v>-847.87030415710001</v>
      </c>
      <c r="AG76" s="217"/>
      <c r="AH76" s="219" t="str">
        <f t="shared" si="27"/>
        <v/>
      </c>
      <c r="AI76" s="220">
        <f t="shared" si="28"/>
        <v>6.08</v>
      </c>
      <c r="AJ76" s="449">
        <f t="shared" si="29"/>
        <v>5.9375000000000001E-3</v>
      </c>
      <c r="AK76" s="450">
        <f t="shared" si="30"/>
        <v>0.2238401845759109</v>
      </c>
      <c r="AL76" s="451">
        <f t="shared" si="31"/>
        <v>0</v>
      </c>
      <c r="AM76" s="452" t="str">
        <f t="shared" si="32"/>
        <v>-0.67 pts.</v>
      </c>
      <c r="AN76" s="453">
        <f t="shared" si="33"/>
        <v>0</v>
      </c>
      <c r="AO76" s="11"/>
    </row>
    <row r="77" spans="1:41" x14ac:dyDescent="0.35">
      <c r="A77" s="11" t="s">
        <v>108</v>
      </c>
      <c r="B77" s="11"/>
      <c r="C77" s="196" t="s">
        <v>101</v>
      </c>
      <c r="D77" s="11" t="s">
        <v>107</v>
      </c>
      <c r="E77" s="11"/>
      <c r="F77" s="11" t="s">
        <v>99</v>
      </c>
      <c r="G77" s="11"/>
      <c r="H77" s="88" t="s">
        <v>858</v>
      </c>
      <c r="I77" s="188" t="str">
        <f>IF(_epmOfflineCondition_,"T2",_xll.EVPRO($B$1,$H77,"STYLE"))</f>
        <v>T2</v>
      </c>
      <c r="J77" s="188" t="str">
        <f>IF(_epmOfflineCondition_,"Y",_xll.EVPRO($B$1,$H77,"CALC"))</f>
        <v>Y</v>
      </c>
      <c r="K77" s="189" t="str">
        <f t="shared" si="22"/>
        <v/>
      </c>
      <c r="L77" s="190" t="str">
        <f>IF(_epmOfflineCondition_,"",_xll.EVPRO($B$1,H77,"JDEID"))</f>
        <v/>
      </c>
      <c r="M77" s="190" t="str">
        <f>IF(_epmOfflineCondition_,"",IF(AND(I77="N",J77="N"),_xll.EVPRO($B$1,H77,"PSFTID"),""))</f>
        <v/>
      </c>
      <c r="N77" s="190" t="str">
        <f>IF(_epmOfflineCondition_,"Total Payroll Related",IF(_xll.EVDES(H77,$B$1)="#NODATA","",_xll.EVDES(H77,$B$1)))</f>
        <v>Total Payroll Related</v>
      </c>
      <c r="O77" s="238">
        <v>84.24</v>
      </c>
      <c r="P77" s="238">
        <v>102.6</v>
      </c>
      <c r="Q77" s="238">
        <v>48.48</v>
      </c>
      <c r="R77" s="238"/>
      <c r="S77" s="238"/>
      <c r="T77" s="238"/>
      <c r="U77" s="238"/>
      <c r="V77" s="238"/>
      <c r="W77" s="238"/>
      <c r="X77" s="238"/>
      <c r="Y77" s="238">
        <v>61.91</v>
      </c>
      <c r="Z77" s="238"/>
      <c r="AA77" s="238">
        <f t="shared" si="23"/>
        <v>297.22999999999996</v>
      </c>
      <c r="AB77" s="239">
        <f t="shared" si="24"/>
        <v>1.123428181367715E-2</v>
      </c>
      <c r="AC77" s="240"/>
      <c r="AD77" s="238">
        <v>3909.3818093616001</v>
      </c>
      <c r="AE77" s="239">
        <f t="shared" si="25"/>
        <v>3.1650607928327155E-2</v>
      </c>
      <c r="AF77" s="241">
        <f t="shared" si="26"/>
        <v>-3612.1518093616</v>
      </c>
      <c r="AG77" s="238">
        <v>96.07</v>
      </c>
      <c r="AH77" s="239">
        <f t="shared" si="27"/>
        <v>6.6413832770148814E-3</v>
      </c>
      <c r="AI77" s="241">
        <f t="shared" si="28"/>
        <v>201.15999999999997</v>
      </c>
      <c r="AJ77" s="242">
        <f t="shared" si="29"/>
        <v>0.29026367187499996</v>
      </c>
      <c r="AK77" s="243">
        <f t="shared" si="30"/>
        <v>1.0247396616937352</v>
      </c>
      <c r="AL77" s="245">
        <f t="shared" si="31"/>
        <v>0.1703368794326241</v>
      </c>
      <c r="AM77" s="431" t="str">
        <f t="shared" si="32"/>
        <v>-2.04 pts.</v>
      </c>
      <c r="AN77" s="465" t="str">
        <f t="shared" si="33"/>
        <v>0.46 pts.</v>
      </c>
      <c r="AO77" s="11"/>
    </row>
    <row r="78" spans="1:41" x14ac:dyDescent="0.35">
      <c r="A78" s="11"/>
      <c r="B78" s="11"/>
      <c r="C78" s="11"/>
      <c r="D78" s="11"/>
      <c r="E78" s="11"/>
      <c r="F78" s="11"/>
      <c r="G78" s="11"/>
      <c r="H78" s="88" t="s">
        <v>76</v>
      </c>
      <c r="I78" s="188" t="str">
        <f>IF(_epmOfflineCondition_,"T1",_xll.EVPRO($B$1,$H78,"STYLE"))</f>
        <v>T1</v>
      </c>
      <c r="J78" s="188" t="str">
        <f>IF(_epmOfflineCondition_,"Y",_xll.EVPRO($B$1,$H78,"CALC"))</f>
        <v>Y</v>
      </c>
      <c r="K78" s="189" t="str">
        <f t="shared" si="22"/>
        <v/>
      </c>
      <c r="L78" s="190" t="str">
        <f>IF(_epmOfflineCondition_,"600000",_xll.EVPRO($B$1,H78,"JDEID"))</f>
        <v>600000</v>
      </c>
      <c r="M78" s="190" t="str">
        <f>IF(_epmOfflineCondition_,"",IF(AND(I78="N",J78="N"),_xll.EVPRO($B$1,H78,"PSFTID"),""))</f>
        <v/>
      </c>
      <c r="N78" s="190" t="str">
        <f>IF(_epmOfflineCondition_,"Total Labor &amp; Related Exp",IF(_xll.EVDES(H78,$B$1)="#NODATA","",_xll.EVDES(H78,$B$1)))</f>
        <v>Total Labor &amp; Related Exp</v>
      </c>
      <c r="O78" s="238">
        <v>2068.06</v>
      </c>
      <c r="P78" s="238">
        <v>2711.43</v>
      </c>
      <c r="Q78" s="238">
        <v>11777.21</v>
      </c>
      <c r="R78" s="238"/>
      <c r="S78" s="238"/>
      <c r="T78" s="238"/>
      <c r="U78" s="238">
        <v>601.38</v>
      </c>
      <c r="V78" s="238">
        <v>944.1</v>
      </c>
      <c r="W78" s="238">
        <v>1742.85</v>
      </c>
      <c r="X78" s="238">
        <v>-3288.33</v>
      </c>
      <c r="Y78" s="238">
        <v>3758.01</v>
      </c>
      <c r="Z78" s="238">
        <v>-3696.1</v>
      </c>
      <c r="AA78" s="238">
        <f t="shared" si="23"/>
        <v>16618.61</v>
      </c>
      <c r="AB78" s="239">
        <f t="shared" si="24"/>
        <v>0.62812686502571491</v>
      </c>
      <c r="AC78" s="240"/>
      <c r="AD78" s="238">
        <v>29009.181809361598</v>
      </c>
      <c r="AE78" s="239">
        <f t="shared" si="25"/>
        <v>0.23486021180407521</v>
      </c>
      <c r="AF78" s="241">
        <f t="shared" si="26"/>
        <v>-12390.571809361598</v>
      </c>
      <c r="AG78" s="238">
        <v>2922.02</v>
      </c>
      <c r="AH78" s="239">
        <f t="shared" si="27"/>
        <v>0.20200119457794344</v>
      </c>
      <c r="AI78" s="241">
        <f t="shared" si="28"/>
        <v>13696.59</v>
      </c>
      <c r="AJ78" s="242">
        <f t="shared" si="29"/>
        <v>16.229111328125001</v>
      </c>
      <c r="AK78" s="243">
        <f t="shared" si="30"/>
        <v>7.603979504419816</v>
      </c>
      <c r="AL78" s="245">
        <f t="shared" si="31"/>
        <v>5.1808865248226947</v>
      </c>
      <c r="AM78" s="431" t="str">
        <f t="shared" si="32"/>
        <v>39.33 pts.</v>
      </c>
      <c r="AN78" s="465" t="str">
        <f t="shared" si="33"/>
        <v>42.61 pts.</v>
      </c>
      <c r="AO78" s="11"/>
    </row>
    <row r="79" spans="1:41" x14ac:dyDescent="0.35">
      <c r="A79" s="11"/>
      <c r="B79" s="11"/>
      <c r="C79" s="208"/>
      <c r="D79" s="11"/>
      <c r="E79" s="11"/>
      <c r="F79" s="11"/>
      <c r="G79" s="11"/>
      <c r="H79" s="11"/>
      <c r="I79" s="59"/>
      <c r="J79" s="59"/>
      <c r="K79" s="11"/>
      <c r="L79" s="11"/>
      <c r="M79" s="11"/>
      <c r="N79" s="11"/>
      <c r="O79" s="129"/>
      <c r="P79" s="130"/>
      <c r="Q79" s="130"/>
      <c r="R79" s="130"/>
      <c r="S79" s="130"/>
      <c r="T79" s="130"/>
      <c r="U79" s="130"/>
      <c r="V79" s="130"/>
      <c r="W79" s="130"/>
      <c r="X79" s="130"/>
      <c r="Y79" s="130"/>
      <c r="Z79" s="130"/>
      <c r="AA79" s="130"/>
      <c r="AB79" s="131"/>
      <c r="AC79" s="11"/>
      <c r="AD79" s="129"/>
      <c r="AE79" s="130"/>
      <c r="AF79" s="131"/>
      <c r="AG79" s="129"/>
      <c r="AH79" s="130"/>
      <c r="AI79" s="131"/>
      <c r="AJ79" s="11"/>
      <c r="AK79" s="11"/>
      <c r="AL79" s="11"/>
      <c r="AM79" s="11"/>
      <c r="AN79" s="11"/>
      <c r="AO79" s="11"/>
    </row>
    <row r="80" spans="1:41" x14ac:dyDescent="0.35">
      <c r="A80" s="61" t="str">
        <f>IF(_epmOfflineCondition_,"Evdre:Ok",_xll.EVDRE($B$1,A83:B90,A93:B99))</f>
        <v>Evdre:Ok</v>
      </c>
      <c r="B80" s="11"/>
      <c r="C80" s="11"/>
      <c r="D80" s="11"/>
      <c r="E80" s="11"/>
      <c r="F80" s="11"/>
      <c r="G80" s="11"/>
      <c r="H80" s="11" t="s">
        <v>82</v>
      </c>
      <c r="I80" s="59" t="str">
        <f>IF(_epmOfflineCondition_,"B1",_xll.EVPRO($B$1,$H80,"STYLE"))</f>
        <v>B1</v>
      </c>
      <c r="J80" s="59" t="str">
        <f>IF(_epmOfflineCondition_,"Y",_xll.EVPRO($B$1,$H80,"CALC"))</f>
        <v>Y</v>
      </c>
      <c r="K80" s="11"/>
      <c r="L80" s="11"/>
      <c r="M80" s="11"/>
      <c r="N80" s="105" t="str">
        <f>IF(_epmOfflineCondition_,"Other Expenses",IF(_xll.EVDES(H80,$B$1)="#NODATA","",_xll.EVDES(H80,$B$1)))</f>
        <v>Other Expenses</v>
      </c>
      <c r="O80" s="119"/>
      <c r="P80" s="120"/>
      <c r="Q80" s="120"/>
      <c r="R80" s="120"/>
      <c r="S80" s="120"/>
      <c r="T80" s="120"/>
      <c r="U80" s="120"/>
      <c r="V80" s="120"/>
      <c r="W80" s="120"/>
      <c r="X80" s="120"/>
      <c r="Y80" s="120"/>
      <c r="Z80" s="120"/>
      <c r="AA80" s="120"/>
      <c r="AB80" s="121"/>
      <c r="AC80" s="11"/>
      <c r="AD80" s="119"/>
      <c r="AE80" s="120"/>
      <c r="AF80" s="121"/>
      <c r="AG80" s="119"/>
      <c r="AH80" s="120"/>
      <c r="AI80" s="121"/>
      <c r="AJ80" s="11"/>
      <c r="AK80" s="11"/>
      <c r="AL80" s="11"/>
      <c r="AM80" s="11"/>
      <c r="AN80" s="11"/>
      <c r="AO80" s="11"/>
    </row>
    <row r="81" spans="1:41" x14ac:dyDescent="0.35">
      <c r="A81" s="11"/>
      <c r="B81" s="11"/>
      <c r="C81" s="11"/>
      <c r="D81" s="11"/>
      <c r="E81" s="11"/>
      <c r="F81" s="11"/>
      <c r="G81" s="11"/>
      <c r="H81" s="88" t="s">
        <v>860</v>
      </c>
      <c r="I81" s="122" t="str">
        <f>IF(_epmOfflineCondition_,"N",_xll.EVPRO($B$1,$H81,"STYLE"))</f>
        <v>N</v>
      </c>
      <c r="J81" s="122" t="str">
        <f>IF(_epmOfflineCondition_,"N",_xll.EVPRO($B$1,$H81,"CALC"))</f>
        <v>N</v>
      </c>
      <c r="K81" s="179" t="str">
        <f t="shared" ref="K81:K88" si="34">IF(AND(I81&lt;&gt;"B1",J81="Y"),"&gt;","")</f>
        <v/>
      </c>
      <c r="L81" s="90" t="str">
        <f>IF(_epmOfflineCondition_,"701300",_xll.EVPRO($B$1,H81,"JDEID"))</f>
        <v>701300</v>
      </c>
      <c r="M81" s="90" t="str">
        <f>IF(_epmOfflineCondition_,"690205",IF(AND(I81="N",J81="N"),_xll.EVPRO($B$1,H81,"PSFTID"),""))</f>
        <v>690205</v>
      </c>
      <c r="N81" s="90" t="str">
        <f>IF(_epmOfflineCondition_,"Printing &amp; Stationery",IF(_xll.EVDES(H81,$B$1)="#NODATA","",_xll.EVDES(H81,$B$1)))</f>
        <v>Printing &amp; Stationery</v>
      </c>
      <c r="O81" s="143"/>
      <c r="P81" s="143"/>
      <c r="Q81" s="143"/>
      <c r="R81" s="143"/>
      <c r="S81" s="143"/>
      <c r="T81" s="143"/>
      <c r="U81" s="143"/>
      <c r="V81" s="143"/>
      <c r="W81" s="143"/>
      <c r="X81" s="143"/>
      <c r="Y81" s="143"/>
      <c r="Z81" s="143"/>
      <c r="AA81" s="250">
        <f t="shared" ref="AA81:AA89" si="35">IF($I81="B1","",SUM(O81:Z81))</f>
        <v>0</v>
      </c>
      <c r="AB81" s="144" t="str">
        <f t="shared" ref="AB81:AB89" si="36">IF(AA81=0,"",IFERROR(AA81/AA$19,""))</f>
        <v/>
      </c>
      <c r="AC81" s="140"/>
      <c r="AD81" s="143">
        <v>76.3</v>
      </c>
      <c r="AE81" s="144">
        <f t="shared" ref="AE81:AE89" si="37">IF(AD81=0,"",IFERROR(AD81/AD$19,""))</f>
        <v>6.1772973393093081E-4</v>
      </c>
      <c r="AF81" s="145">
        <f t="shared" ref="AF81:AF89" si="38">IF(AND($AA81="",AD81=""),"",$AA81-AD81)</f>
        <v>-76.3</v>
      </c>
      <c r="AG81" s="143"/>
      <c r="AH81" s="144" t="str">
        <f t="shared" ref="AH81:AH89" si="39">IF(AG81=0,"",IFERROR(AG81/AG$19,""))</f>
        <v/>
      </c>
      <c r="AI81" s="145">
        <f t="shared" ref="AI81:AI89" si="40">IF(AND($AA81="",AG81=""),"",$AA81-AG81)</f>
        <v>0</v>
      </c>
      <c r="AJ81" s="440">
        <f t="shared" ref="AJ81:AJ89" si="41">IFERROR(AA81/AA$20,0)</f>
        <v>0</v>
      </c>
      <c r="AK81" s="441">
        <f t="shared" ref="AK81:AK89" si="42">IFERROR(AD81/AD$20,0)</f>
        <v>0.02</v>
      </c>
      <c r="AL81" s="442">
        <f t="shared" ref="AL81:AL89" si="43">IFERROR(AG81/AG$20,0)</f>
        <v>0</v>
      </c>
      <c r="AM81" s="443">
        <f t="shared" ref="AM81:AM89" si="44">+IFERROR(ROUND(($AB81-AE81)*100,2)&amp;" pts.",0)</f>
        <v>0</v>
      </c>
      <c r="AN81" s="444">
        <f t="shared" ref="AN81:AN89" si="45">+IFERROR(ROUND(($AB81-AH81)*100,2)&amp;" pts.",0)</f>
        <v>0</v>
      </c>
      <c r="AO81" s="11"/>
    </row>
    <row r="82" spans="1:41" x14ac:dyDescent="0.35">
      <c r="A82" s="62" t="s">
        <v>0</v>
      </c>
      <c r="B82" s="63" t="s">
        <v>1</v>
      </c>
      <c r="C82" s="11"/>
      <c r="D82" s="11"/>
      <c r="E82" s="11"/>
      <c r="F82" s="11"/>
      <c r="G82" s="11"/>
      <c r="H82" s="88" t="s">
        <v>830</v>
      </c>
      <c r="I82" s="122" t="str">
        <f>IF(_epmOfflineCondition_,"T4",_xll.EVPRO($B$1,$H82,"STYLE"))</f>
        <v>T4</v>
      </c>
      <c r="J82" s="122" t="str">
        <f>IF(_epmOfflineCondition_,"Y",_xll.EVPRO($B$1,$H82,"CALC"))</f>
        <v>Y</v>
      </c>
      <c r="K82" s="179" t="str">
        <f t="shared" si="34"/>
        <v>&gt;</v>
      </c>
      <c r="L82" s="90" t="str">
        <f>IF(_epmOfflineCondition_,"701500",_xll.EVPRO($B$1,H82,"JDEID"))</f>
        <v>701500</v>
      </c>
      <c r="M82" s="90" t="str">
        <f>IF(_epmOfflineCondition_,"",IF(AND(I82="N",J82="N"),_xll.EVPRO($B$1,H82,"PSFTID"),""))</f>
        <v/>
      </c>
      <c r="N82" s="90" t="str">
        <f>IF(_epmOfflineCondition_,"Operating Supplies",IF(_xll.EVDES(H82,$B$1)="#NODATA","",_xll.EVDES(H82,$B$1)))</f>
        <v>Operating Supplies</v>
      </c>
      <c r="O82" s="143">
        <v>19</v>
      </c>
      <c r="P82" s="143">
        <v>39.43</v>
      </c>
      <c r="Q82" s="143">
        <v>20.99</v>
      </c>
      <c r="R82" s="143"/>
      <c r="S82" s="143"/>
      <c r="T82" s="143"/>
      <c r="U82" s="143"/>
      <c r="V82" s="143"/>
      <c r="W82" s="143"/>
      <c r="X82" s="143"/>
      <c r="Y82" s="143"/>
      <c r="Z82" s="143"/>
      <c r="AA82" s="250">
        <f t="shared" si="35"/>
        <v>79.42</v>
      </c>
      <c r="AB82" s="144">
        <f t="shared" si="36"/>
        <v>3.0018055433241576E-3</v>
      </c>
      <c r="AC82" s="140"/>
      <c r="AD82" s="143">
        <v>243.739</v>
      </c>
      <c r="AE82" s="144">
        <f t="shared" si="37"/>
        <v>1.9733267053550609E-3</v>
      </c>
      <c r="AF82" s="145">
        <f t="shared" si="38"/>
        <v>-164.31900000000002</v>
      </c>
      <c r="AG82" s="143">
        <v>23.99</v>
      </c>
      <c r="AH82" s="144">
        <f t="shared" si="39"/>
        <v>1.658444725883075E-3</v>
      </c>
      <c r="AI82" s="145">
        <f t="shared" si="40"/>
        <v>55.430000000000007</v>
      </c>
      <c r="AJ82" s="440">
        <f t="shared" si="41"/>
        <v>7.7558593750000002E-2</v>
      </c>
      <c r="AK82" s="441">
        <f t="shared" si="42"/>
        <v>6.3889646133682837E-2</v>
      </c>
      <c r="AL82" s="442">
        <f t="shared" si="43"/>
        <v>4.2535460992907802E-2</v>
      </c>
      <c r="AM82" s="443" t="str">
        <f t="shared" si="44"/>
        <v>0.1 pts.</v>
      </c>
      <c r="AN82" s="444" t="str">
        <f t="shared" si="45"/>
        <v>0.13 pts.</v>
      </c>
      <c r="AO82" s="11"/>
    </row>
    <row r="83" spans="1:41" x14ac:dyDescent="0.35">
      <c r="A83" s="65" t="s">
        <v>2</v>
      </c>
      <c r="B83" s="66" t="str">
        <f>IF(_epmOfflineCondition_,"'IRD'!$B$2:$B$10",_xll.EVRNG($B$2:$B$10))</f>
        <v>'IRD'!$B$2:$B$10</v>
      </c>
      <c r="C83" s="11"/>
      <c r="D83" s="11"/>
      <c r="E83" s="11"/>
      <c r="F83" s="11"/>
      <c r="G83" s="11"/>
      <c r="H83" s="88" t="s">
        <v>861</v>
      </c>
      <c r="I83" s="122" t="str">
        <f>IF(_epmOfflineCondition_,"N",_xll.EVPRO($B$1,$H83,"STYLE"))</f>
        <v>N</v>
      </c>
      <c r="J83" s="122" t="str">
        <f>IF(_epmOfflineCondition_,"N",_xll.EVPRO($B$1,$H83,"CALC"))</f>
        <v>N</v>
      </c>
      <c r="K83" s="179" t="str">
        <f t="shared" si="34"/>
        <v/>
      </c>
      <c r="L83" s="90" t="str">
        <f>IF(_epmOfflineCondition_,"701600",_xll.EVPRO($B$1,H83,"JDEID"))</f>
        <v>701600</v>
      </c>
      <c r="M83" s="90" t="str">
        <f>IF(_epmOfflineCondition_,"590015",IF(AND(I83="N",J83="N"),_xll.EVPRO($B$1,H83,"PSFTID"),""))</f>
        <v>590015</v>
      </c>
      <c r="N83" s="90" t="str">
        <f>IF(_epmOfflineCondition_,"Cleaning Supplies",IF(_xll.EVDES(H83,$B$1)="#NODATA","",_xll.EVDES(H83,$B$1)))</f>
        <v>Cleaning Supplies</v>
      </c>
      <c r="O83" s="143">
        <v>18</v>
      </c>
      <c r="P83" s="143">
        <v>18</v>
      </c>
      <c r="Q83" s="143"/>
      <c r="R83" s="143"/>
      <c r="S83" s="143"/>
      <c r="T83" s="143"/>
      <c r="U83" s="143"/>
      <c r="V83" s="143"/>
      <c r="W83" s="143"/>
      <c r="X83" s="143"/>
      <c r="Y83" s="143"/>
      <c r="Z83" s="143"/>
      <c r="AA83" s="250">
        <f t="shared" si="35"/>
        <v>36</v>
      </c>
      <c r="AB83" s="144">
        <f t="shared" si="36"/>
        <v>1.3606774056871024E-3</v>
      </c>
      <c r="AC83" s="140"/>
      <c r="AD83" s="143">
        <v>228.9</v>
      </c>
      <c r="AE83" s="144">
        <f t="shared" si="37"/>
        <v>1.8531892017927926E-3</v>
      </c>
      <c r="AF83" s="145">
        <f t="shared" si="38"/>
        <v>-192.9</v>
      </c>
      <c r="AG83" s="143"/>
      <c r="AH83" s="144" t="str">
        <f t="shared" si="39"/>
        <v/>
      </c>
      <c r="AI83" s="145">
        <f t="shared" si="40"/>
        <v>36</v>
      </c>
      <c r="AJ83" s="440">
        <f t="shared" si="41"/>
        <v>3.515625E-2</v>
      </c>
      <c r="AK83" s="441">
        <f t="shared" si="42"/>
        <v>6.0000000000000005E-2</v>
      </c>
      <c r="AL83" s="442">
        <f t="shared" si="43"/>
        <v>0</v>
      </c>
      <c r="AM83" s="443" t="str">
        <f t="shared" si="44"/>
        <v>-0.05 pts.</v>
      </c>
      <c r="AN83" s="444">
        <f t="shared" si="45"/>
        <v>0</v>
      </c>
      <c r="AO83" s="11"/>
    </row>
    <row r="84" spans="1:41" x14ac:dyDescent="0.35">
      <c r="A84" s="65" t="s">
        <v>3</v>
      </c>
      <c r="B84" s="66" t="str">
        <f>IF(_epmOfflineCondition_,"'IRD'!$O$16:$AN$18",_xll.EVRNG($O$16:$AN$18))</f>
        <v>'IRD'!$O$16:$AN$18</v>
      </c>
      <c r="C84" s="11"/>
      <c r="D84" s="11"/>
      <c r="E84" s="11"/>
      <c r="F84" s="11"/>
      <c r="G84" s="11"/>
      <c r="H84" s="88" t="s">
        <v>862</v>
      </c>
      <c r="I84" s="122" t="str">
        <f>IF(_epmOfflineCondition_,"N",_xll.EVPRO($B$1,$H84,"STYLE"))</f>
        <v>N</v>
      </c>
      <c r="J84" s="122" t="str">
        <f>IF(_epmOfflineCondition_,"N",_xll.EVPRO($B$1,$H84,"CALC"))</f>
        <v>N</v>
      </c>
      <c r="K84" s="179" t="str">
        <f t="shared" si="34"/>
        <v/>
      </c>
      <c r="L84" s="90" t="str">
        <f>IF(_epmOfflineCondition_,"701700",_xll.EVPRO($B$1,H84,"JDEID"))</f>
        <v>701700</v>
      </c>
      <c r="M84" s="90" t="str">
        <f>IF(_epmOfflineCondition_,"590026",IF(AND(I84="N",J84="N"),_xll.EVPRO($B$1,H84,"PSFTID"),""))</f>
        <v>590026</v>
      </c>
      <c r="N84" s="90" t="str">
        <f>IF(_epmOfflineCondition_,"Dishwashing Supplies",IF(_xll.EVDES(H84,$B$1)="#NODATA","",_xll.EVDES(H84,$B$1)))</f>
        <v>Dishwashing Supplies</v>
      </c>
      <c r="O84" s="143"/>
      <c r="P84" s="143">
        <v>18</v>
      </c>
      <c r="Q84" s="143"/>
      <c r="R84" s="143"/>
      <c r="S84" s="143"/>
      <c r="T84" s="143"/>
      <c r="U84" s="143"/>
      <c r="V84" s="143"/>
      <c r="W84" s="143"/>
      <c r="X84" s="143"/>
      <c r="Y84" s="143"/>
      <c r="Z84" s="143"/>
      <c r="AA84" s="250">
        <f t="shared" si="35"/>
        <v>18</v>
      </c>
      <c r="AB84" s="144">
        <f t="shared" si="36"/>
        <v>6.8033870284355121E-4</v>
      </c>
      <c r="AC84" s="140"/>
      <c r="AD84" s="143">
        <v>228.9</v>
      </c>
      <c r="AE84" s="144">
        <f t="shared" si="37"/>
        <v>1.8531892017927926E-3</v>
      </c>
      <c r="AF84" s="145">
        <f t="shared" si="38"/>
        <v>-210.9</v>
      </c>
      <c r="AG84" s="143"/>
      <c r="AH84" s="144" t="str">
        <f t="shared" si="39"/>
        <v/>
      </c>
      <c r="AI84" s="145">
        <f t="shared" si="40"/>
        <v>18</v>
      </c>
      <c r="AJ84" s="440">
        <f t="shared" si="41"/>
        <v>1.7578125E-2</v>
      </c>
      <c r="AK84" s="441">
        <f t="shared" si="42"/>
        <v>6.0000000000000005E-2</v>
      </c>
      <c r="AL84" s="442">
        <f t="shared" si="43"/>
        <v>0</v>
      </c>
      <c r="AM84" s="443" t="str">
        <f t="shared" si="44"/>
        <v>-0.12 pts.</v>
      </c>
      <c r="AN84" s="444">
        <f t="shared" si="45"/>
        <v>0</v>
      </c>
      <c r="AO84" s="11"/>
    </row>
    <row r="85" spans="1:41" x14ac:dyDescent="0.35">
      <c r="A85" s="65" t="s">
        <v>4</v>
      </c>
      <c r="B85" s="66" t="str">
        <f>IF(_epmOfflineCondition_,"'IRD'!$H$67:$H$68,'IRD'!$H$70:$H$78,'IRD'!$H$81:$H$88",_xll.EVRNG(H67:H68,H70:H78,H81:H88))</f>
        <v>'IRD'!$H$67:$H$68,'IRD'!$H$70:$H$78,'IRD'!$H$81:$H$88</v>
      </c>
      <c r="C85" s="11"/>
      <c r="D85" s="11"/>
      <c r="E85" s="11"/>
      <c r="F85" s="11"/>
      <c r="G85" s="11"/>
      <c r="H85" s="88" t="s">
        <v>863</v>
      </c>
      <c r="I85" s="122" t="str">
        <f>IF(_epmOfflineCondition_,"N",_xll.EVPRO($B$1,$H85,"STYLE"))</f>
        <v>N</v>
      </c>
      <c r="J85" s="122" t="str">
        <f>IF(_epmOfflineCondition_,"N",_xll.EVPRO($B$1,$H85,"CALC"))</f>
        <v>N</v>
      </c>
      <c r="K85" s="179" t="str">
        <f t="shared" si="34"/>
        <v/>
      </c>
      <c r="L85" s="90" t="str">
        <f>IF(_epmOfflineCondition_,"702000",_xll.EVPRO($B$1,H85,"JDEID"))</f>
        <v>702000</v>
      </c>
      <c r="M85" s="90" t="str">
        <f>IF(_epmOfflineCondition_,"590031",IF(AND(I85="N",J85="N"),_xll.EVPRO($B$1,H85,"PSFTID"),""))</f>
        <v>590031</v>
      </c>
      <c r="N85" s="90" t="str">
        <f>IF(_epmOfflineCondition_,"Paper and Plastics",IF(_xll.EVDES(H85,$B$1)="#NODATA","",_xll.EVDES(H85,$B$1)))</f>
        <v>Paper and Plastics</v>
      </c>
      <c r="O85" s="143">
        <v>18</v>
      </c>
      <c r="P85" s="143">
        <v>18</v>
      </c>
      <c r="Q85" s="143"/>
      <c r="R85" s="143"/>
      <c r="S85" s="143"/>
      <c r="T85" s="143"/>
      <c r="U85" s="143"/>
      <c r="V85" s="143"/>
      <c r="W85" s="143"/>
      <c r="X85" s="143"/>
      <c r="Y85" s="143"/>
      <c r="Z85" s="143"/>
      <c r="AA85" s="250">
        <f t="shared" si="35"/>
        <v>36</v>
      </c>
      <c r="AB85" s="144">
        <f t="shared" si="36"/>
        <v>1.3606774056871024E-3</v>
      </c>
      <c r="AC85" s="140"/>
      <c r="AD85" s="143">
        <v>228.9</v>
      </c>
      <c r="AE85" s="144">
        <f t="shared" si="37"/>
        <v>1.8531892017927926E-3</v>
      </c>
      <c r="AF85" s="145">
        <f t="shared" si="38"/>
        <v>-192.9</v>
      </c>
      <c r="AG85" s="143"/>
      <c r="AH85" s="144" t="str">
        <f t="shared" si="39"/>
        <v/>
      </c>
      <c r="AI85" s="145">
        <f t="shared" si="40"/>
        <v>36</v>
      </c>
      <c r="AJ85" s="440">
        <f t="shared" si="41"/>
        <v>3.515625E-2</v>
      </c>
      <c r="AK85" s="441">
        <f t="shared" si="42"/>
        <v>6.0000000000000005E-2</v>
      </c>
      <c r="AL85" s="442">
        <f t="shared" si="43"/>
        <v>0</v>
      </c>
      <c r="AM85" s="443" t="str">
        <f t="shared" si="44"/>
        <v>-0.05 pts.</v>
      </c>
      <c r="AN85" s="444">
        <f t="shared" si="45"/>
        <v>0</v>
      </c>
      <c r="AO85" s="11"/>
    </row>
    <row r="86" spans="1:41" x14ac:dyDescent="0.35">
      <c r="A86" s="65" t="s">
        <v>5</v>
      </c>
      <c r="B86" s="66"/>
      <c r="C86" s="11"/>
      <c r="D86" s="11"/>
      <c r="E86" s="11"/>
      <c r="F86" s="11"/>
      <c r="G86" s="11"/>
      <c r="H86" s="88" t="s">
        <v>835</v>
      </c>
      <c r="I86" s="122" t="str">
        <f>IF(_epmOfflineCondition_,"T4",_xll.EVPRO($B$1,$H86,"STYLE"))</f>
        <v>T4</v>
      </c>
      <c r="J86" s="122" t="str">
        <f>IF(_epmOfflineCondition_,"Y",_xll.EVPRO($B$1,$H86,"CALC"))</f>
        <v>Y</v>
      </c>
      <c r="K86" s="179" t="str">
        <f t="shared" si="34"/>
        <v>&gt;</v>
      </c>
      <c r="L86" s="90" t="str">
        <f>IF(_epmOfflineCondition_,"703000",_xll.EVPRO($B$1,H86,"JDEID"))</f>
        <v>703000</v>
      </c>
      <c r="M86" s="90" t="str">
        <f>IF(_epmOfflineCondition_,"",IF(AND(I86="N",J86="N"),_xll.EVPRO($B$1,H86,"PSFTID"),""))</f>
        <v/>
      </c>
      <c r="N86" s="90" t="str">
        <f>IF(_epmOfflineCondition_,"Complimentary Services &amp; Gifts",IF(_xll.EVDES(H86,$B$1)="#NODATA","",_xll.EVDES(H86,$B$1)))</f>
        <v>Complimentary Services &amp; Gifts</v>
      </c>
      <c r="O86" s="143"/>
      <c r="P86" s="143"/>
      <c r="Q86" s="143"/>
      <c r="R86" s="143"/>
      <c r="S86" s="143"/>
      <c r="T86" s="143"/>
      <c r="U86" s="143"/>
      <c r="V86" s="143"/>
      <c r="W86" s="143"/>
      <c r="X86" s="143"/>
      <c r="Y86" s="143"/>
      <c r="Z86" s="143"/>
      <c r="AA86" s="250">
        <f t="shared" si="35"/>
        <v>0</v>
      </c>
      <c r="AB86" s="144" t="str">
        <f t="shared" si="36"/>
        <v/>
      </c>
      <c r="AC86" s="140"/>
      <c r="AD86" s="143">
        <v>35.551981185000002</v>
      </c>
      <c r="AE86" s="144">
        <f t="shared" si="37"/>
        <v>2.8783113863863053E-4</v>
      </c>
      <c r="AF86" s="145">
        <f t="shared" si="38"/>
        <v>-35.551981185000002</v>
      </c>
      <c r="AG86" s="143"/>
      <c r="AH86" s="144" t="str">
        <f t="shared" si="39"/>
        <v/>
      </c>
      <c r="AI86" s="145">
        <f t="shared" si="40"/>
        <v>0</v>
      </c>
      <c r="AJ86" s="440">
        <f t="shared" si="41"/>
        <v>0</v>
      </c>
      <c r="AK86" s="441">
        <f t="shared" si="42"/>
        <v>9.3189990000000014E-3</v>
      </c>
      <c r="AL86" s="442">
        <f t="shared" si="43"/>
        <v>0</v>
      </c>
      <c r="AM86" s="443">
        <f t="shared" si="44"/>
        <v>0</v>
      </c>
      <c r="AN86" s="444">
        <f t="shared" si="45"/>
        <v>0</v>
      </c>
      <c r="AO86" s="11"/>
    </row>
    <row r="87" spans="1:41" x14ac:dyDescent="0.35">
      <c r="A87" s="65" t="s">
        <v>6</v>
      </c>
      <c r="B87" s="66"/>
      <c r="C87" s="11"/>
      <c r="D87" s="11"/>
      <c r="E87" s="11"/>
      <c r="F87" s="11"/>
      <c r="G87" s="11"/>
      <c r="H87" s="88" t="s">
        <v>838</v>
      </c>
      <c r="I87" s="122" t="str">
        <f>IF(_epmOfflineCondition_,"N",_xll.EVPRO($B$1,$H87,"STYLE"))</f>
        <v>N</v>
      </c>
      <c r="J87" s="122" t="str">
        <f>IF(_epmOfflineCondition_,"N",_xll.EVPRO($B$1,$H87,"CALC"))</f>
        <v>N</v>
      </c>
      <c r="K87" s="179" t="str">
        <f t="shared" si="34"/>
        <v/>
      </c>
      <c r="L87" s="90" t="str">
        <f>IF(_epmOfflineCondition_,"703300",_xll.EVPRO($B$1,H87,"JDEID"))</f>
        <v>703300</v>
      </c>
      <c r="M87" s="90" t="str">
        <f>IF(_epmOfflineCondition_,"590115",IF(AND(I87="N",J87="N"),_xll.EVPRO($B$1,H87,"PSFTID"),""))</f>
        <v>590115</v>
      </c>
      <c r="N87" s="90" t="str">
        <f>IF(_epmOfflineCondition_,"Uniforms Laundry",IF(_xll.EVDES(H87,$B$1)="#NODATA","",_xll.EVDES(H87,$B$1)))</f>
        <v>Uniforms Laundry</v>
      </c>
      <c r="O87" s="143"/>
      <c r="P87" s="143"/>
      <c r="Q87" s="143"/>
      <c r="R87" s="143"/>
      <c r="S87" s="143"/>
      <c r="T87" s="143"/>
      <c r="U87" s="143"/>
      <c r="V87" s="143"/>
      <c r="W87" s="143"/>
      <c r="X87" s="143"/>
      <c r="Y87" s="143"/>
      <c r="Z87" s="143"/>
      <c r="AA87" s="250">
        <f t="shared" si="35"/>
        <v>0</v>
      </c>
      <c r="AB87" s="144" t="str">
        <f t="shared" si="36"/>
        <v/>
      </c>
      <c r="AC87" s="140"/>
      <c r="AD87" s="143">
        <v>648.54999999999995</v>
      </c>
      <c r="AE87" s="144">
        <f t="shared" si="37"/>
        <v>5.2507027384129119E-3</v>
      </c>
      <c r="AF87" s="145">
        <f t="shared" si="38"/>
        <v>-648.54999999999995</v>
      </c>
      <c r="AG87" s="143"/>
      <c r="AH87" s="144" t="str">
        <f t="shared" si="39"/>
        <v/>
      </c>
      <c r="AI87" s="145">
        <f t="shared" si="40"/>
        <v>0</v>
      </c>
      <c r="AJ87" s="440">
        <f t="shared" si="41"/>
        <v>0</v>
      </c>
      <c r="AK87" s="441">
        <f t="shared" si="42"/>
        <v>0.16999999999999998</v>
      </c>
      <c r="AL87" s="442">
        <f t="shared" si="43"/>
        <v>0</v>
      </c>
      <c r="AM87" s="443">
        <f t="shared" si="44"/>
        <v>0</v>
      </c>
      <c r="AN87" s="444">
        <f t="shared" si="45"/>
        <v>0</v>
      </c>
      <c r="AO87" s="11"/>
    </row>
    <row r="88" spans="1:41" x14ac:dyDescent="0.35">
      <c r="A88" s="65" t="s">
        <v>7</v>
      </c>
      <c r="B88" s="66" t="str">
        <f>IF(_epmOfflineCondition_,"'IRD'!$A$102:$F$108",_xll.EVRNG(A102:F108))</f>
        <v>'IRD'!$A$102:$F$108</v>
      </c>
      <c r="C88" s="11"/>
      <c r="D88" s="11"/>
      <c r="E88" s="11"/>
      <c r="F88" s="11"/>
      <c r="G88" s="11"/>
      <c r="H88" s="88" t="s">
        <v>864</v>
      </c>
      <c r="I88" s="122" t="str">
        <f>IF(_epmOfflineCondition_,"N",_xll.EVPRO($B$1,$H88,"STYLE"))</f>
        <v>N</v>
      </c>
      <c r="J88" s="122" t="str">
        <f>IF(_epmOfflineCondition_,"N",_xll.EVPRO($B$1,$H88,"CALC"))</f>
        <v>N</v>
      </c>
      <c r="K88" s="179" t="str">
        <f t="shared" si="34"/>
        <v/>
      </c>
      <c r="L88" s="90" t="str">
        <f>IF(_epmOfflineCondition_,"703400",_xll.EVPRO($B$1,H88,"JDEID"))</f>
        <v>703400</v>
      </c>
      <c r="M88" s="90" t="str">
        <f>IF(_epmOfflineCondition_,"590010",IF(AND(I88="N",J88="N"),_xll.EVPRO($B$1,H88,"PSFTID"),""))</f>
        <v>590010</v>
      </c>
      <c r="N88" s="90" t="str">
        <f>IF(_epmOfflineCondition_,"Linen",IF(_xll.EVDES(H88,$B$1)="#NODATA","",_xll.EVDES(H88,$B$1)))</f>
        <v>Linen</v>
      </c>
      <c r="O88" s="143"/>
      <c r="P88" s="143"/>
      <c r="Q88" s="143"/>
      <c r="R88" s="143"/>
      <c r="S88" s="143"/>
      <c r="T88" s="143"/>
      <c r="U88" s="143"/>
      <c r="V88" s="143"/>
      <c r="W88" s="143"/>
      <c r="X88" s="143"/>
      <c r="Y88" s="143"/>
      <c r="Z88" s="143"/>
      <c r="AA88" s="250">
        <f t="shared" si="35"/>
        <v>0</v>
      </c>
      <c r="AB88" s="144" t="str">
        <f t="shared" si="36"/>
        <v/>
      </c>
      <c r="AC88" s="140"/>
      <c r="AD88" s="143">
        <v>648.54999999999995</v>
      </c>
      <c r="AE88" s="144">
        <f t="shared" si="37"/>
        <v>5.2507027384129119E-3</v>
      </c>
      <c r="AF88" s="145">
        <f t="shared" si="38"/>
        <v>-648.54999999999995</v>
      </c>
      <c r="AG88" s="143"/>
      <c r="AH88" s="144" t="str">
        <f t="shared" si="39"/>
        <v/>
      </c>
      <c r="AI88" s="145">
        <f t="shared" si="40"/>
        <v>0</v>
      </c>
      <c r="AJ88" s="440">
        <f t="shared" si="41"/>
        <v>0</v>
      </c>
      <c r="AK88" s="441">
        <f t="shared" si="42"/>
        <v>0.16999999999999998</v>
      </c>
      <c r="AL88" s="442">
        <f t="shared" si="43"/>
        <v>0</v>
      </c>
      <c r="AM88" s="443">
        <f t="shared" si="44"/>
        <v>0</v>
      </c>
      <c r="AN88" s="444">
        <f t="shared" si="45"/>
        <v>0</v>
      </c>
      <c r="AO88" s="11"/>
    </row>
    <row r="89" spans="1:41" x14ac:dyDescent="0.35">
      <c r="A89" s="65" t="s">
        <v>47</v>
      </c>
      <c r="B89" s="66" t="str">
        <f>IF(_epmOfflineCondition_,"'IRD'!$A$125:$B$146",_xll.EVRNG($A$125:$B$146))</f>
        <v>'IRD'!$A$125:$B$146</v>
      </c>
      <c r="C89" s="11"/>
      <c r="D89" s="11"/>
      <c r="E89" s="11"/>
      <c r="F89" s="11"/>
      <c r="G89" s="11"/>
      <c r="H89" s="88" t="s">
        <v>79</v>
      </c>
      <c r="I89" s="136" t="str">
        <f>IF(_epmOfflineCondition_,"T3",_xll.EVPRO($B$1,$H89,"STYLE"))</f>
        <v>T3</v>
      </c>
      <c r="J89" s="136" t="str">
        <f>IF(_epmOfflineCondition_,"Y",_xll.EVPRO($B$1,$H89,"CALC"))</f>
        <v>Y</v>
      </c>
      <c r="K89" s="104"/>
      <c r="L89" s="104"/>
      <c r="M89" s="104"/>
      <c r="N89" s="106" t="str">
        <f>IF(_epmOfflineCondition_,"Total Operations Expense",IF(_xll.EVDES(H89,$B$1)="#NODATA","",_xll.EVDES(H89,$B$1)))</f>
        <v>Total Operations Expense</v>
      </c>
      <c r="O89" s="154">
        <v>55</v>
      </c>
      <c r="P89" s="154">
        <v>93.43</v>
      </c>
      <c r="Q89" s="154">
        <v>20.99</v>
      </c>
      <c r="R89" s="154"/>
      <c r="S89" s="154"/>
      <c r="T89" s="154"/>
      <c r="U89" s="154"/>
      <c r="V89" s="154"/>
      <c r="W89" s="154"/>
      <c r="X89" s="154"/>
      <c r="Y89" s="154"/>
      <c r="Z89" s="154"/>
      <c r="AA89" s="154">
        <f t="shared" si="35"/>
        <v>169.42000000000002</v>
      </c>
      <c r="AB89" s="155">
        <f t="shared" si="36"/>
        <v>6.4034990575419139E-3</v>
      </c>
      <c r="AC89" s="140"/>
      <c r="AD89" s="154">
        <v>2339.3909811849999</v>
      </c>
      <c r="AE89" s="155">
        <f t="shared" si="37"/>
        <v>1.8939860660128822E-2</v>
      </c>
      <c r="AF89" s="156">
        <f t="shared" si="38"/>
        <v>-2169.9709811849998</v>
      </c>
      <c r="AG89" s="154">
        <v>23.99</v>
      </c>
      <c r="AH89" s="155">
        <f t="shared" si="39"/>
        <v>1.658444725883075E-3</v>
      </c>
      <c r="AI89" s="156">
        <f t="shared" si="40"/>
        <v>145.43</v>
      </c>
      <c r="AJ89" s="466">
        <f t="shared" si="41"/>
        <v>0.16544921875000002</v>
      </c>
      <c r="AK89" s="467">
        <f t="shared" si="42"/>
        <v>0.61320864513368278</v>
      </c>
      <c r="AL89" s="468">
        <f t="shared" si="43"/>
        <v>4.2535460992907802E-2</v>
      </c>
      <c r="AM89" s="469" t="str">
        <f t="shared" si="44"/>
        <v>-1.25 pts.</v>
      </c>
      <c r="AN89" s="555" t="str">
        <f t="shared" si="45"/>
        <v>0.47 pts.</v>
      </c>
      <c r="AO89" s="11"/>
    </row>
    <row r="90" spans="1:41" x14ac:dyDescent="0.35">
      <c r="A90" s="65" t="s">
        <v>8</v>
      </c>
      <c r="B90" s="66"/>
      <c r="C90" s="11"/>
      <c r="D90" s="11"/>
      <c r="E90" s="11"/>
      <c r="F90" s="11"/>
      <c r="G90" s="11"/>
      <c r="H90" s="11"/>
      <c r="I90" s="59"/>
      <c r="J90" s="59"/>
      <c r="K90" s="11"/>
      <c r="L90" s="11"/>
      <c r="M90" s="11"/>
      <c r="N90" s="11"/>
      <c r="O90" s="140"/>
      <c r="P90" s="140"/>
      <c r="Q90" s="140"/>
      <c r="R90" s="140"/>
      <c r="S90" s="140"/>
      <c r="T90" s="140"/>
      <c r="U90" s="140"/>
      <c r="V90" s="140"/>
      <c r="W90" s="140"/>
      <c r="X90" s="140"/>
      <c r="Y90" s="140"/>
      <c r="Z90" s="140"/>
      <c r="AA90" s="140"/>
      <c r="AB90" s="140"/>
      <c r="AC90" s="140"/>
      <c r="AD90" s="140"/>
      <c r="AE90" s="140"/>
      <c r="AF90" s="140"/>
      <c r="AG90" s="140"/>
      <c r="AH90" s="140"/>
      <c r="AI90" s="140"/>
      <c r="AJ90" s="140"/>
      <c r="AK90" s="140"/>
      <c r="AL90" s="140"/>
      <c r="AM90" s="140"/>
      <c r="AN90" s="140"/>
      <c r="AO90" s="11"/>
    </row>
    <row r="91" spans="1:41" x14ac:dyDescent="0.35">
      <c r="A91" s="11"/>
      <c r="B91" s="11"/>
      <c r="C91" s="11"/>
      <c r="D91" s="11"/>
      <c r="E91" s="11"/>
      <c r="F91" s="11"/>
      <c r="G91" s="11"/>
      <c r="H91" s="88" t="s">
        <v>80</v>
      </c>
      <c r="I91" s="136" t="str">
        <f>IF(_epmOfflineCondition_,"T3",_xll.EVPRO($B$1,$H91,"STYLE"))</f>
        <v>T3</v>
      </c>
      <c r="J91" s="136" t="str">
        <f>IF(_epmOfflineCondition_,"Y",_xll.EVPRO($B$1,$H91,"CALC"))</f>
        <v>Y</v>
      </c>
      <c r="K91" s="106"/>
      <c r="L91" s="106"/>
      <c r="M91" s="106"/>
      <c r="N91" s="106" t="str">
        <f>IF(_epmOfflineCondition_,"Total Expenses",IF(_xll.EVDES(H91,$B$1)="#NODATA","",_xll.EVDES(H91,$B$1)))</f>
        <v>Total Expenses</v>
      </c>
      <c r="O91" s="238">
        <v>2123.06</v>
      </c>
      <c r="P91" s="238">
        <v>2804.86</v>
      </c>
      <c r="Q91" s="238">
        <v>11798.2</v>
      </c>
      <c r="R91" s="238"/>
      <c r="S91" s="238"/>
      <c r="T91" s="238"/>
      <c r="U91" s="238">
        <v>601.38</v>
      </c>
      <c r="V91" s="238">
        <v>944.1</v>
      </c>
      <c r="W91" s="238">
        <v>1742.85</v>
      </c>
      <c r="X91" s="238">
        <v>-3288.33</v>
      </c>
      <c r="Y91" s="238">
        <v>3758.01</v>
      </c>
      <c r="Z91" s="238">
        <v>-3696.1</v>
      </c>
      <c r="AA91" s="238">
        <f>IF($I91="B1","",SUM(O91:Z91))</f>
        <v>16788.030000000006</v>
      </c>
      <c r="AB91" s="239">
        <f>IF(AA91=0,"",IFERROR(AA91/AA$19,""))</f>
        <v>0.63453036408325703</v>
      </c>
      <c r="AC91" s="140"/>
      <c r="AD91" s="238">
        <v>31348.572790546601</v>
      </c>
      <c r="AE91" s="239">
        <f>IF(AD91=0,"",IFERROR(AD91/AD$19,""))</f>
        <v>0.25380007246420405</v>
      </c>
      <c r="AF91" s="254">
        <f>IF(AND($AA91="",AD91=""),"",$AA91-AD91)</f>
        <v>-14560.542790546595</v>
      </c>
      <c r="AG91" s="255">
        <v>2946.01</v>
      </c>
      <c r="AH91" s="256">
        <f>IF(AG91=0,"",IFERROR(AG91/AG$19,""))</f>
        <v>0.20365963930382652</v>
      </c>
      <c r="AI91" s="254">
        <f>IF(AND($AA91="",AG91=""),"",$AA91-AG91)</f>
        <v>13842.020000000006</v>
      </c>
      <c r="AJ91" s="472">
        <f>IFERROR(AA91/AA$20,0)</f>
        <v>16.394560546875006</v>
      </c>
      <c r="AK91" s="473">
        <f>IFERROR(AD91/AD$20,0)</f>
        <v>8.2171881495535004</v>
      </c>
      <c r="AL91" s="474">
        <f>IFERROR(AG91/AG$20,0)</f>
        <v>5.2234219858156035</v>
      </c>
      <c r="AM91" s="475" t="str">
        <f>+IFERROR(ROUND(($AB91-AE91)*100,2)&amp;" pts.",0)</f>
        <v>38.07 pts.</v>
      </c>
      <c r="AN91" s="556" t="str">
        <f>+IFERROR(ROUND(($AB91-AH91)*100,2)&amp;" pts.",0)</f>
        <v>43.09 pts.</v>
      </c>
      <c r="AO91" s="11"/>
    </row>
    <row r="92" spans="1:41" ht="15" thickBot="1" x14ac:dyDescent="0.4">
      <c r="A92" s="62" t="s">
        <v>9</v>
      </c>
      <c r="B92" s="63" t="s">
        <v>10</v>
      </c>
      <c r="C92" s="11"/>
      <c r="D92" s="11"/>
      <c r="E92" s="11"/>
      <c r="F92" s="11"/>
      <c r="G92" s="11"/>
      <c r="H92" s="88" t="s">
        <v>81</v>
      </c>
      <c r="I92" s="136" t="str">
        <f>IF(_epmOfflineCondition_,"T3",_xll.EVPRO($B$1,$H92,"STYLE"))</f>
        <v>T3</v>
      </c>
      <c r="J92" s="136" t="str">
        <f>IF(_epmOfflineCondition_,"Y",_xll.EVPRO($B$1,$H92,"CALC"))</f>
        <v>Y</v>
      </c>
      <c r="K92" s="106"/>
      <c r="L92" s="106"/>
      <c r="M92" s="106"/>
      <c r="N92" s="106" t="str">
        <f>IF(_epmOfflineCondition_,"Department Profit (Loss)",IF(_xll.EVDES(H92,$B$1)="#NODATA","",_xll.EVDES(H92,$B$1)))</f>
        <v>Department Profit (Loss)</v>
      </c>
      <c r="O92" s="169">
        <v>5274.84</v>
      </c>
      <c r="P92" s="169">
        <v>6296.12</v>
      </c>
      <c r="Q92" s="169">
        <v>-7505.18</v>
      </c>
      <c r="R92" s="169"/>
      <c r="S92" s="169"/>
      <c r="T92" s="169"/>
      <c r="U92" s="169">
        <v>-601.38</v>
      </c>
      <c r="V92" s="169">
        <v>-944.1</v>
      </c>
      <c r="W92" s="169">
        <v>-1742.85</v>
      </c>
      <c r="X92" s="169">
        <v>3288.33</v>
      </c>
      <c r="Y92" s="169">
        <v>-3758.01</v>
      </c>
      <c r="Z92" s="169">
        <v>3696.1</v>
      </c>
      <c r="AA92" s="169">
        <f>IF($I92="B1","",SUM(O92:Z92))</f>
        <v>4003.8699999999985</v>
      </c>
      <c r="AB92" s="170">
        <f>IF(AA92=0,"",IFERROR(AA92/AA$19,""))</f>
        <v>0.15133265123078934</v>
      </c>
      <c r="AC92" s="140"/>
      <c r="AD92" s="169">
        <v>68233.367209453398</v>
      </c>
      <c r="AE92" s="170">
        <f>IF(AD92=0,"",IFERROR(AD92/AD$19,""))</f>
        <v>0.55242175323076215</v>
      </c>
      <c r="AF92" s="171">
        <f>IF(AND($AA92="",AD92=""),"",$AA92-AD92)</f>
        <v>-64229.497209453402</v>
      </c>
      <c r="AG92" s="169">
        <v>8357.61</v>
      </c>
      <c r="AH92" s="170">
        <f>IF(AG92=0,"",IFERROR(AG92/AG$19,""))</f>
        <v>0.57776716237964354</v>
      </c>
      <c r="AI92" s="171">
        <f>IF(AND($AA92="",AG92=""),"",$AA92-AG92)</f>
        <v>-4353.7400000000016</v>
      </c>
      <c r="AJ92" s="477">
        <f>IFERROR(AA92/AA$20,0)</f>
        <v>3.9100292968749986</v>
      </c>
      <c r="AK92" s="478">
        <f>IFERROR(AD92/AD$20,0)</f>
        <v>17.885548416632606</v>
      </c>
      <c r="AL92" s="479">
        <f>IFERROR(AG92/AG$20,0)</f>
        <v>14.818457446808512</v>
      </c>
      <c r="AM92" s="480" t="str">
        <f>+IFERROR(ROUND(($AB92-AE92)*100,2)&amp;" pts.",0)</f>
        <v>-40.11 pts.</v>
      </c>
      <c r="AN92" s="557" t="str">
        <f>+IFERROR(ROUND(($AB92-AH92)*100,2)&amp;" pts.",0)</f>
        <v>-42.64 pts.</v>
      </c>
      <c r="AO92" s="11"/>
    </row>
    <row r="93" spans="1:41" ht="15" thickTop="1" x14ac:dyDescent="0.3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12</v>
      </c>
      <c r="B94" s="66" t="s">
        <v>22</v>
      </c>
      <c r="C94" s="11"/>
      <c r="D94" s="11"/>
      <c r="E94" s="11"/>
      <c r="F94" s="11"/>
      <c r="G94" s="76"/>
      <c r="H94" s="11"/>
      <c r="I94" s="59"/>
      <c r="J94" s="59"/>
      <c r="K94" s="11"/>
      <c r="L94" s="11"/>
      <c r="M94" s="11"/>
      <c r="N94" s="104" t="str">
        <f>N91&amp;" - Check"</f>
        <v>Total Expenses - Check</v>
      </c>
      <c r="O94" s="209">
        <f t="shared" ref="O94:AA94" si="46">SUMIF($H$35:$H$92,"600000",O$35:O$92)+SUMIF($H$35:$H$92,"700000",O$35:O$92)-SUMIF($H$35:$H$92,"TOTDEPTEXP",O$35:O$92)</f>
        <v>0</v>
      </c>
      <c r="P94" s="209">
        <f t="shared" si="46"/>
        <v>0</v>
      </c>
      <c r="Q94" s="209">
        <f t="shared" si="46"/>
        <v>0</v>
      </c>
      <c r="R94" s="209">
        <f t="shared" si="46"/>
        <v>0</v>
      </c>
      <c r="S94" s="209">
        <f t="shared" si="46"/>
        <v>0</v>
      </c>
      <c r="T94" s="209">
        <f t="shared" si="46"/>
        <v>0</v>
      </c>
      <c r="U94" s="209">
        <f t="shared" si="46"/>
        <v>0</v>
      </c>
      <c r="V94" s="209">
        <f t="shared" si="46"/>
        <v>0</v>
      </c>
      <c r="W94" s="209">
        <f t="shared" si="46"/>
        <v>0</v>
      </c>
      <c r="X94" s="209">
        <f t="shared" si="46"/>
        <v>0</v>
      </c>
      <c r="Y94" s="209">
        <f t="shared" si="46"/>
        <v>0</v>
      </c>
      <c r="Z94" s="209">
        <f t="shared" si="46"/>
        <v>0</v>
      </c>
      <c r="AA94" s="209">
        <f t="shared" si="46"/>
        <v>0</v>
      </c>
      <c r="AB94" s="100"/>
      <c r="AC94" s="11"/>
      <c r="AD94" s="209">
        <f>SUMIF($H$35:$H$92,"600000",AD$35:AD$92)+SUMIF($H$35:$H$92,"700000",AD$35:AD$92)-SUMIF($H$35:$H$92,"TOTDEPTEXP",AD$35:AD$92)</f>
        <v>0</v>
      </c>
      <c r="AE94" s="100"/>
      <c r="AF94" s="91"/>
      <c r="AG94" s="209">
        <f>SUMIF($H$35:$H$92,"600000",AG$35:AG$92)+SUMIF($H$35:$H$92,"700000",AG$35:AG$92)-SUMIF($H$35:$H$92,"TOTDEPTEXP",AG$35:AG$92)</f>
        <v>0</v>
      </c>
      <c r="AH94" s="100"/>
      <c r="AI94" s="9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04" t="str">
        <f>N92&amp;" - Check"</f>
        <v>Department Profit (Loss) - Check</v>
      </c>
      <c r="O95" s="209">
        <f t="shared" ref="O95:AA95" si="47">SUMIF($H$35:$H$92,"KPI_GP",O$35:O$92)-SUMIF($H$35:$H$92,"TOTDEPTEXP",O$35:O$92)-SUMIF($H$35:$H$92,"TOTDEPTPL",O$35:O$92)</f>
        <v>0</v>
      </c>
      <c r="P95" s="209">
        <f t="shared" si="47"/>
        <v>0</v>
      </c>
      <c r="Q95" s="209">
        <f t="shared" si="47"/>
        <v>0</v>
      </c>
      <c r="R95" s="209">
        <f t="shared" si="47"/>
        <v>0</v>
      </c>
      <c r="S95" s="209">
        <f t="shared" si="47"/>
        <v>0</v>
      </c>
      <c r="T95" s="209">
        <f t="shared" si="47"/>
        <v>0</v>
      </c>
      <c r="U95" s="209">
        <f t="shared" si="47"/>
        <v>0</v>
      </c>
      <c r="V95" s="209">
        <f t="shared" si="47"/>
        <v>0</v>
      </c>
      <c r="W95" s="209">
        <f t="shared" si="47"/>
        <v>0</v>
      </c>
      <c r="X95" s="209">
        <f t="shared" si="47"/>
        <v>0</v>
      </c>
      <c r="Y95" s="209">
        <f t="shared" si="47"/>
        <v>0</v>
      </c>
      <c r="Z95" s="209">
        <f t="shared" si="47"/>
        <v>0</v>
      </c>
      <c r="AA95" s="209">
        <f t="shared" si="47"/>
        <v>-6.8212102632969618E-12</v>
      </c>
      <c r="AB95" s="100"/>
      <c r="AC95" s="11"/>
      <c r="AD95" s="209">
        <f>SUMIF($H$35:$H$92,"KPI_GP",AD$35:AD$92)-SUMIF($H$35:$H$92,"TOTDEPTEXP",AD$35:AD$92)-SUMIF($H$35:$H$92,"TOTDEPTPL",AD$35:AD$92)</f>
        <v>0</v>
      </c>
      <c r="AE95" s="100"/>
      <c r="AF95" s="91"/>
      <c r="AG95" s="209">
        <f>SUMIF($H$35:$H$92,"KPI_GP",AG$35:AG$92)-SUMIF($H$35:$H$92,"TOTDEPTEXP",AG$35:AG$92)-SUMIF($H$35:$H$92,"TOTDEPTPL",AG$35:AG$92)</f>
        <v>0</v>
      </c>
      <c r="AH95" s="100"/>
      <c r="AI95" s="9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37"/>
      <c r="P97" s="137"/>
      <c r="Q97" s="137"/>
      <c r="R97" s="137"/>
      <c r="S97" s="137"/>
      <c r="T97" s="137"/>
      <c r="U97" s="137"/>
      <c r="V97" s="137"/>
      <c r="W97" s="137"/>
      <c r="X97" s="137"/>
      <c r="Y97" s="137"/>
      <c r="Z97" s="137"/>
      <c r="AA97" s="137"/>
      <c r="AB97" s="11"/>
      <c r="AC97" s="11"/>
      <c r="AD97" s="137"/>
      <c r="AE97" s="11"/>
      <c r="AF97" s="11"/>
      <c r="AG97" s="137"/>
      <c r="AH97" s="11"/>
      <c r="AI97" s="11"/>
      <c r="AJ97" s="11"/>
      <c r="AK97" s="11"/>
      <c r="AL97" s="11"/>
      <c r="AM97" s="11"/>
      <c r="AN97" s="11"/>
      <c r="AO97" s="11"/>
    </row>
    <row r="98" spans="1:41" x14ac:dyDescent="0.3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11"/>
      <c r="I99" s="59"/>
      <c r="J99" s="59"/>
      <c r="K99" s="11"/>
      <c r="L99" s="11"/>
      <c r="M99" s="11"/>
      <c r="N99" s="11"/>
      <c r="O99" s="137"/>
      <c r="P99" s="137"/>
      <c r="Q99" s="137"/>
      <c r="R99" s="137"/>
      <c r="S99" s="137"/>
      <c r="T99" s="137"/>
      <c r="U99" s="137"/>
      <c r="V99" s="137"/>
      <c r="W99" s="137"/>
      <c r="X99" s="137"/>
      <c r="Y99" s="137"/>
      <c r="Z99" s="137"/>
      <c r="AA99" s="137"/>
      <c r="AB99" s="11"/>
      <c r="AC99" s="11"/>
      <c r="AD99" s="137"/>
      <c r="AE99" s="11"/>
      <c r="AF99" s="11"/>
      <c r="AG99" s="137"/>
      <c r="AH99" s="11"/>
      <c r="AI99" s="11"/>
      <c r="AJ99" s="11"/>
      <c r="AK99" s="11"/>
      <c r="AL99" s="11"/>
      <c r="AM99" s="11"/>
      <c r="AN99" s="11"/>
      <c r="AO99" s="11"/>
    </row>
    <row r="100" spans="1:41" x14ac:dyDescent="0.3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76"/>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76"/>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11"/>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IF(_epmOfflineCondition_,"'IRD'!$B$2:$B$10",_xll.EVRNG($B$2:$B$10))</f>
        <v>'IRD'!$B$2:$B$10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IF(_epmOfflineCondition_,"'IRD'!$O$16:$AN$18",_xll.EVRNG($O$16:$AN$18))</f>
        <v>'IRD'!$O$16:$AN$18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IF(_epmOfflineCondition_,"'IRD'!$H$89:$H$92",_xll.EVRNG(H89:H92))</f>
        <v>'IRD'!$H$89:$H$92</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IF(_epmOfflineCondition_,"'IRD'!$A$125:$B$146",_xll.EVRNG($A$125:$B$146))</f>
        <v>'IRD'!$A$125:$B$146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c r="AJ169" s="11"/>
      <c r="AK169" s="11"/>
      <c r="AL169" s="11"/>
      <c r="AM169" s="11"/>
      <c r="AN169" s="11"/>
      <c r="AO169" s="11"/>
    </row>
    <row r="170" spans="1:41" x14ac:dyDescent="0.35">
      <c r="A170" s="11"/>
      <c r="B170" s="11"/>
      <c r="C170" s="11"/>
      <c r="D170" s="11"/>
      <c r="E170" s="11"/>
      <c r="F170" s="11"/>
      <c r="G170" s="267"/>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267"/>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sheetData>
  <sheetProtection algorithmName="SHA-512" hashValue="ONsrU9zf5D7qfO7C/NNkbOeuye7bz4ZPcmHtQm/nhxcaZVekuiww8DSkBgajY76cPJahEgSSWGJ2B4xLXTzlBw==" saltValue="WImInIMqFSB/XYSRw0icjQ==" spinCount="100000" sheet="1" scenarios="1"/>
  <mergeCells count="2">
    <mergeCell ref="AD31:AE31"/>
    <mergeCell ref="AG31:AH31"/>
  </mergeCells>
  <dataValidations disablePrompts="1" count="2">
    <dataValidation type="list" allowBlank="1" sqref="B62 B29 B95" xr:uid="{00000000-0002-0000-1500-000000000000}">
      <formula1>"SELF,ALL,BAS,DEP,BASMEMBERS,MEMBERS,NOEXPAND,GDEP"</formula1>
    </dataValidation>
    <dataValidation type="list" allowBlank="1" sqref="B61 B28 B94" xr:uid="{00000000-0002-0000-1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434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14344" r:id="rId7" name="FPMExcelClientSheetOptionstb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0">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346</v>
      </c>
      <c r="C6" s="11" t="str">
        <f>IF(_epmOfflineCondition_,"In Room Dining",_xll.EVDES(B6,$B$1))</f>
        <v>In Room Dining</v>
      </c>
      <c r="D6" s="11"/>
      <c r="E6" s="58" t="str">
        <f>IF(_epmOfflineCondition_,"D2147",_xll.EVPRO($B$1,$B$6,$F$6))</f>
        <v>D2147</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IF(_epmOfflineCondition_,"'IRD_KPI'!$B$2:$B$10",_xll.EVRNG($B$2:$B$10))</f>
        <v>'IRD_KPI'!$B$2:$B$10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IF(_epmOfflineCondition_,"'IRD_KPI'!$O$16:$AI$18",_xll.EVRNG(O16:AI18))</f>
        <v>'IRD_KPI'!$O$16:$AI$18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IF(_epmOfflineCondition_,"'IRD_KPI'!$H$35:$H$146",_xll.EVRNG(H35:H146))</f>
        <v>'IRD_KPI'!$H$35:$H$146</v>
      </c>
      <c r="C19" s="11"/>
      <c r="D19" s="11"/>
      <c r="E19" s="11"/>
      <c r="F19" s="11"/>
      <c r="G19" s="67" t="str">
        <f>$B$6</f>
        <v>D_RS_CON</v>
      </c>
      <c r="H19" s="67" t="s">
        <v>273</v>
      </c>
      <c r="I19" s="68"/>
      <c r="J19" s="68"/>
      <c r="K19" s="67"/>
      <c r="L19" s="67"/>
      <c r="M19" s="67"/>
      <c r="N19" s="67" t="str">
        <f>IF(_epmOfflineCondition_,"Total Food &amp; Beverage Revenue",_xll.EVDES(H19))</f>
        <v>Total Food &amp; Beverage Revenue</v>
      </c>
      <c r="O19" s="69">
        <f>IF(_epmOfflineCondition_,7166.9,_xll.EVGTS($B$1,1,$B$3,$B$5,$B$7,$B$9,O$16,O$17,O$18,$G$19,$H$19))</f>
        <v>7166.9</v>
      </c>
      <c r="P19" s="69">
        <f>IF(_epmOfflineCondition_,8742.41,_xll.EVGTS($B$1,1,$B$3,$B$5,$B$7,$B$9,P$16,P$17,P$18,$G$19,$H$19))</f>
        <v>8742.41</v>
      </c>
      <c r="Q19" s="69">
        <f>IF(_epmOfflineCondition_,4098.51,_xll.EVGTS($B$1,1,$B$3,$B$5,$B$7,$B$9,Q$16,Q$17,Q$18,$G$19,$H$19))</f>
        <v>4098.51</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20007.82</v>
      </c>
      <c r="AB19" s="67"/>
      <c r="AC19" s="67"/>
      <c r="AD19" s="69">
        <f>IF(_epmOfflineCondition_,88510,_xll.EVGTS($B$1,1,$B$3,$B$5,$B$7,$B$9,AD$16,AD$17,AD$18,$G$19,$H$19))</f>
        <v>88510</v>
      </c>
      <c r="AE19" s="67"/>
      <c r="AF19" s="67"/>
      <c r="AG19" s="69">
        <f>IF(_epmOfflineCondition_,11115,_xll.EVGTS($B$1,1,$B$3,$B$5,$B$7,$B$9,AG$16,AG$17,AG$18,$G$19,$H$19))</f>
        <v>11115</v>
      </c>
      <c r="AH19" s="67"/>
      <c r="AI19" s="67"/>
    </row>
    <row r="20" spans="1:35" hidden="1" outlineLevel="1" x14ac:dyDescent="0.35">
      <c r="A20" s="65" t="s">
        <v>5</v>
      </c>
      <c r="B20" s="66"/>
      <c r="C20" s="11"/>
      <c r="D20" s="11"/>
      <c r="E20" s="11"/>
      <c r="F20" s="11"/>
      <c r="G20" s="67" t="str">
        <f>$B$6</f>
        <v>D_RS_CON</v>
      </c>
      <c r="H20" s="67">
        <v>946000</v>
      </c>
      <c r="I20" s="68"/>
      <c r="J20" s="68"/>
      <c r="K20" s="67"/>
      <c r="L20" s="67"/>
      <c r="M20" s="67"/>
      <c r="N20" s="67" t="str">
        <f>IF(_epmOfflineCondition_,"Total Customers",_xll.EVDES(H20))</f>
        <v>Total Customers</v>
      </c>
      <c r="O20" s="69">
        <f>IF(_epmOfflineCondition_,358,_xll.EVGTS($B$1,1,$B$3,$B$5,$B$7,$B$9,O$16,O$17,O$18,$G$20,$H$20))</f>
        <v>358</v>
      </c>
      <c r="P20" s="69">
        <f>IF(_epmOfflineCondition_,429,_xll.EVGTS($B$1,1,$B$3,$B$5,$B$7,$B$9,P$16,P$17,P$18,$G$20,$H$20))</f>
        <v>429</v>
      </c>
      <c r="Q20" s="69">
        <f>IF(_epmOfflineCondition_,237,_xll.EVGTS($B$1,1,$B$3,$B$5,$B$7,$B$9,Q$16,Q$17,Q$18,$G$20,$H$20))</f>
        <v>237</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1024</v>
      </c>
      <c r="AB20" s="67"/>
      <c r="AC20" s="67"/>
      <c r="AD20" s="69">
        <f>IF(_epmOfflineCondition_,3815,_xll.EVGTS($B$1,1,$B$3,$B$5,$B$7,$B$9,AD$16,AD$17,AD$18,$G$20,$H$20))</f>
        <v>3815</v>
      </c>
      <c r="AE20" s="67"/>
      <c r="AF20" s="67"/>
      <c r="AG20" s="69">
        <f>IF(_epmOfflineCondition_,564,_xll.EVGTS($B$1,1,$B$3,$B$5,$B$7,$B$9,AG$16,AG$17,AG$18,$G$20,$H$20))</f>
        <v>564</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IF(_epmOfflineCondition_,"'IRD_KPI'!$A$37:$B$58",_xll.EVRNG($A$37:$B$58))</f>
        <v>'IRD_KPI'!$A$37:$B$58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IF(_epmOfflineCondition_,"In Room Dining Department",IF($N$1="",IF(_xll.EVDES(B6,$B$1)="#NODATA","",_xll.EVDES(B6,$B$1)&amp;" Department"),$N$1))</f>
        <v>In Room Dining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v>3458</v>
      </c>
      <c r="P35" s="143">
        <v>2986</v>
      </c>
      <c r="Q35" s="143">
        <v>1172</v>
      </c>
      <c r="R35" s="143"/>
      <c r="S35" s="143"/>
      <c r="T35" s="143"/>
      <c r="U35" s="143"/>
      <c r="V35" s="143"/>
      <c r="W35" s="143"/>
      <c r="X35" s="143"/>
      <c r="Y35" s="143"/>
      <c r="Z35" s="143"/>
      <c r="AA35" s="143">
        <f t="shared" ref="AA35:AA41" si="0">SUM(O35:Z35)</f>
        <v>7616</v>
      </c>
      <c r="AB35" s="144">
        <f>IF(AA35=0,"",IFERROR(AA35/AA$19,""))</f>
        <v>0.3806511653943308</v>
      </c>
      <c r="AC35" s="140"/>
      <c r="AD35" s="143">
        <v>39752.902999999998</v>
      </c>
      <c r="AE35" s="144">
        <f>IF(AD35=0,"",IFERROR(AD35/AD$19,""))</f>
        <v>0.44913459496102132</v>
      </c>
      <c r="AF35" s="145">
        <f t="shared" ref="AF35:AF42" si="1">IF(AND($AA35="",AD35=""),"",$AA35-AD35)</f>
        <v>-32136.902999999998</v>
      </c>
      <c r="AG35" s="143">
        <v>4034</v>
      </c>
      <c r="AH35" s="144">
        <f>IF(AG35=0,"",IFERROR(AG35/AG$19,""))</f>
        <v>0.36293297345928927</v>
      </c>
      <c r="AI35" s="145">
        <f t="shared" ref="AI35:AI42" si="2">IF(AND($AA35="",AG35=""),"",$AA35-AG35)</f>
        <v>3582</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v>15</v>
      </c>
      <c r="P36" s="143">
        <v>15</v>
      </c>
      <c r="Q36" s="143"/>
      <c r="R36" s="143"/>
      <c r="S36" s="143"/>
      <c r="T36" s="143"/>
      <c r="U36" s="143"/>
      <c r="V36" s="143"/>
      <c r="W36" s="143"/>
      <c r="X36" s="143"/>
      <c r="Y36" s="143"/>
      <c r="Z36" s="143"/>
      <c r="AA36" s="143">
        <f t="shared" si="0"/>
        <v>30</v>
      </c>
      <c r="AB36" s="144">
        <f>IF(AA36=0,"",IFERROR(AA36/AA$19,""))</f>
        <v>1.4994137292318704E-3</v>
      </c>
      <c r="AC36" s="140"/>
      <c r="AD36" s="143">
        <v>1214.0633</v>
      </c>
      <c r="AE36" s="144">
        <f>IF(AD36=0,"",IFERROR(AD36/AD$19,""))</f>
        <v>1.3716679471246187E-2</v>
      </c>
      <c r="AF36" s="145">
        <f t="shared" si="1"/>
        <v>-1184.0633</v>
      </c>
      <c r="AG36" s="143">
        <v>12</v>
      </c>
      <c r="AH36" s="144">
        <f>IF(AG36=0,"",IFERROR(AG36/AG$19,""))</f>
        <v>1.0796221322537112E-3</v>
      </c>
      <c r="AI36" s="145">
        <f t="shared" si="2"/>
        <v>18</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v>232.2937</v>
      </c>
      <c r="AE37" s="144">
        <f>IF(AD37=0,"",IFERROR(AD37/AD$19,""))</f>
        <v>2.6244910179640717E-3</v>
      </c>
      <c r="AF37" s="145">
        <f t="shared" si="1"/>
        <v>-232.2937</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v>45</v>
      </c>
      <c r="Q38" s="217">
        <v>20</v>
      </c>
      <c r="R38" s="217"/>
      <c r="S38" s="217"/>
      <c r="T38" s="217"/>
      <c r="U38" s="217"/>
      <c r="V38" s="217"/>
      <c r="W38" s="217"/>
      <c r="X38" s="217"/>
      <c r="Y38" s="217"/>
      <c r="Z38" s="217"/>
      <c r="AA38" s="217">
        <f t="shared" si="0"/>
        <v>65</v>
      </c>
      <c r="AB38" s="219">
        <f>IF(AA38=0,"",IFERROR(AA38/AA$19,""))</f>
        <v>3.2487297466690527E-3</v>
      </c>
      <c r="AC38" s="140"/>
      <c r="AD38" s="217">
        <v>2629.74</v>
      </c>
      <c r="AE38" s="219">
        <f>IF(AD38=0,"",IFERROR(AD38/AD$19,""))</f>
        <v>2.9711219071291376E-2</v>
      </c>
      <c r="AF38" s="220">
        <f t="shared" si="1"/>
        <v>-2564.7399999999998</v>
      </c>
      <c r="AG38" s="217">
        <v>32</v>
      </c>
      <c r="AH38" s="219">
        <f>IF(AG38=0,"",IFERROR(AG38/AG$19,""))</f>
        <v>2.8789923526765632E-3</v>
      </c>
      <c r="AI38" s="220">
        <f t="shared" si="2"/>
        <v>33</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v>3473</v>
      </c>
      <c r="P39" s="166">
        <v>3046</v>
      </c>
      <c r="Q39" s="166">
        <v>1192</v>
      </c>
      <c r="R39" s="166"/>
      <c r="S39" s="166"/>
      <c r="T39" s="166"/>
      <c r="U39" s="166"/>
      <c r="V39" s="166"/>
      <c r="W39" s="166"/>
      <c r="X39" s="166"/>
      <c r="Y39" s="166"/>
      <c r="Z39" s="166"/>
      <c r="AA39" s="166">
        <f t="shared" si="0"/>
        <v>7711</v>
      </c>
      <c r="AB39" s="167">
        <f>IF(AA39=0,"",IFERROR(AA39/AA$19,""))</f>
        <v>0.38539930887023177</v>
      </c>
      <c r="AC39" s="140"/>
      <c r="AD39" s="166">
        <v>43829</v>
      </c>
      <c r="AE39" s="167">
        <f>IF(AD39=0,"",IFERROR(AD39/AD$19,""))</f>
        <v>0.49518698452152299</v>
      </c>
      <c r="AF39" s="168">
        <f t="shared" si="1"/>
        <v>-36118</v>
      </c>
      <c r="AG39" s="166">
        <v>4078</v>
      </c>
      <c r="AH39" s="167">
        <f>IF(AG39=0,"",IFERROR(AG39/AG$19,""))</f>
        <v>0.3668915879442195</v>
      </c>
      <c r="AI39" s="168">
        <f t="shared" si="2"/>
        <v>3633</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v>31</v>
      </c>
      <c r="P40" s="210">
        <v>28</v>
      </c>
      <c r="Q40" s="210">
        <v>15</v>
      </c>
      <c r="R40" s="210"/>
      <c r="S40" s="210"/>
      <c r="T40" s="210"/>
      <c r="U40" s="210"/>
      <c r="V40" s="210"/>
      <c r="W40" s="210"/>
      <c r="X40" s="210"/>
      <c r="Y40" s="210"/>
      <c r="Z40" s="210"/>
      <c r="AA40" s="210">
        <f t="shared" si="0"/>
        <v>74</v>
      </c>
      <c r="AB40" s="211"/>
      <c r="AC40" s="140"/>
      <c r="AD40" s="210">
        <v>366</v>
      </c>
      <c r="AE40" s="211"/>
      <c r="AF40" s="253">
        <f t="shared" si="1"/>
        <v>-292</v>
      </c>
      <c r="AG40" s="210">
        <v>61</v>
      </c>
      <c r="AH40" s="211"/>
      <c r="AI40" s="253">
        <f t="shared" si="2"/>
        <v>13</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v>192</v>
      </c>
      <c r="P41" s="210">
        <v>168</v>
      </c>
      <c r="Q41" s="210">
        <v>75</v>
      </c>
      <c r="R41" s="210"/>
      <c r="S41" s="210"/>
      <c r="T41" s="210"/>
      <c r="U41" s="210"/>
      <c r="V41" s="210"/>
      <c r="W41" s="210"/>
      <c r="X41" s="210"/>
      <c r="Y41" s="210"/>
      <c r="Z41" s="210"/>
      <c r="AA41" s="210">
        <f t="shared" si="0"/>
        <v>435</v>
      </c>
      <c r="AB41" s="211">
        <f>IF(AA41=0,"",IFERROR(AA41/AA$87,""))</f>
        <v>0.4248046875</v>
      </c>
      <c r="AC41" s="140"/>
      <c r="AD41" s="210">
        <v>2138</v>
      </c>
      <c r="AE41" s="211">
        <f>IF(AD41=0,"",IFERROR(AD41/AD$87,""))</f>
        <v>0.56041939711664479</v>
      </c>
      <c r="AF41" s="253">
        <f t="shared" si="1"/>
        <v>-1703</v>
      </c>
      <c r="AG41" s="210">
        <v>225</v>
      </c>
      <c r="AH41" s="211">
        <f>IF(AG41=0,"",IFERROR(AG41/AG$87,""))</f>
        <v>0.39893617021276595</v>
      </c>
      <c r="AI41" s="253">
        <f t="shared" si="2"/>
        <v>210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18.0885416666667</v>
      </c>
      <c r="P42" s="495">
        <v>18.130952380952401</v>
      </c>
      <c r="Q42" s="495">
        <v>15.893333333333301</v>
      </c>
      <c r="R42" s="495"/>
      <c r="S42" s="495"/>
      <c r="T42" s="495"/>
      <c r="U42" s="495"/>
      <c r="V42" s="495"/>
      <c r="W42" s="495"/>
      <c r="X42" s="495"/>
      <c r="Y42" s="495"/>
      <c r="Z42" s="495"/>
      <c r="AA42" s="495">
        <f>IFERROR(AA39/AA41,"")</f>
        <v>17.726436781609195</v>
      </c>
      <c r="AB42" s="495"/>
      <c r="AC42" s="140"/>
      <c r="AD42" s="495">
        <v>20.5</v>
      </c>
      <c r="AE42" s="495"/>
      <c r="AF42" s="496">
        <f t="shared" si="1"/>
        <v>-2.7735632183908052</v>
      </c>
      <c r="AG42" s="495">
        <v>18.1244444444444</v>
      </c>
      <c r="AH42" s="495"/>
      <c r="AI42" s="496">
        <f t="shared" si="2"/>
        <v>-0.39800766283520517</v>
      </c>
    </row>
    <row r="43" spans="1:35" x14ac:dyDescent="0.35">
      <c r="A43" s="65" t="s">
        <v>31</v>
      </c>
      <c r="B43" s="66" t="s">
        <v>78</v>
      </c>
      <c r="C43" s="11"/>
      <c r="D43" s="11"/>
      <c r="E43" s="11"/>
      <c r="F43" s="11"/>
      <c r="G43" s="490">
        <f>COUNTIF(O44:AI44,FALSE)</f>
        <v>0</v>
      </c>
      <c r="H43" s="88"/>
      <c r="I43" s="122"/>
      <c r="J43" s="122"/>
      <c r="K43" s="90"/>
      <c r="L43" s="90"/>
      <c r="M43" s="90"/>
      <c r="N43" s="491" t="s">
        <v>345</v>
      </c>
      <c r="O43" s="497">
        <f t="shared" ref="O43:AA43" si="3">ROUND(IFERROR(O39/O41,0),2)</f>
        <v>18.09</v>
      </c>
      <c r="P43" s="498">
        <f t="shared" si="3"/>
        <v>18.13</v>
      </c>
      <c r="Q43" s="498">
        <f t="shared" si="3"/>
        <v>15.89</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17.73</v>
      </c>
      <c r="AB43" s="499"/>
      <c r="AC43" s="140"/>
      <c r="AD43" s="497">
        <f>ROUND(IFERROR(AD39/AD41,0),2)</f>
        <v>20.5</v>
      </c>
      <c r="AE43" s="498"/>
      <c r="AF43" s="159"/>
      <c r="AG43" s="497">
        <f>ROUND(IFERROR(AG39/AG41,0),2)</f>
        <v>18.12</v>
      </c>
      <c r="AH43" s="498"/>
      <c r="AI43" s="159"/>
    </row>
    <row r="44" spans="1:35" x14ac:dyDescent="0.3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v>617</v>
      </c>
      <c r="P45" s="143">
        <v>1973</v>
      </c>
      <c r="Q45" s="143">
        <v>1044</v>
      </c>
      <c r="R45" s="143"/>
      <c r="S45" s="143"/>
      <c r="T45" s="143"/>
      <c r="U45" s="143"/>
      <c r="V45" s="143"/>
      <c r="W45" s="143"/>
      <c r="X45" s="143"/>
      <c r="Y45" s="143"/>
      <c r="Z45" s="143"/>
      <c r="AA45" s="143">
        <f t="shared" ref="AA45:AA51" si="5">SUM(O45:Z45)</f>
        <v>3634</v>
      </c>
      <c r="AB45" s="144">
        <f>IF(AA45=0,"",IFERROR(AA45/AA$19,""))</f>
        <v>0.18162898306762057</v>
      </c>
      <c r="AC45" s="140"/>
      <c r="AD45" s="143">
        <v>7894.7280000000001</v>
      </c>
      <c r="AE45" s="144">
        <f>IF(AD45=0,"",IFERROR(AD45/AD$19,""))</f>
        <v>8.9195887470342336E-2</v>
      </c>
      <c r="AF45" s="145">
        <f t="shared" ref="AF45:AF52" si="6">IF(AND($AA45="",AD45=""),"",$AA45-AD45)</f>
        <v>-4260.7280000000001</v>
      </c>
      <c r="AG45" s="143">
        <v>1980</v>
      </c>
      <c r="AH45" s="144">
        <f>IF(AG45=0,"",IFERROR(AG45/AG$19,""))</f>
        <v>0.17813765182186234</v>
      </c>
      <c r="AI45" s="145">
        <f t="shared" ref="AI45:AI52" si="7">IF(AND($AA45="",AG45=""),"",$AA45-AG45)</f>
        <v>1654</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v>36</v>
      </c>
      <c r="P46" s="143">
        <v>400</v>
      </c>
      <c r="Q46" s="143">
        <v>351</v>
      </c>
      <c r="R46" s="143"/>
      <c r="S46" s="143"/>
      <c r="T46" s="143"/>
      <c r="U46" s="143"/>
      <c r="V46" s="143"/>
      <c r="W46" s="143"/>
      <c r="X46" s="143"/>
      <c r="Y46" s="143"/>
      <c r="Z46" s="143"/>
      <c r="AA46" s="143">
        <f t="shared" si="5"/>
        <v>787</v>
      </c>
      <c r="AB46" s="144">
        <f>IF(AA46=0,"",IFERROR(AA46/AA$19,""))</f>
        <v>3.9334620163516062E-2</v>
      </c>
      <c r="AC46" s="140"/>
      <c r="AD46" s="143">
        <v>1633.3920000000001</v>
      </c>
      <c r="AE46" s="144">
        <f>IF(AD46=0,"",IFERROR(AD46/AD$19,""))</f>
        <v>1.845432154558807E-2</v>
      </c>
      <c r="AF46" s="145">
        <f t="shared" si="6"/>
        <v>-846.39200000000005</v>
      </c>
      <c r="AG46" s="143">
        <v>174</v>
      </c>
      <c r="AH46" s="144">
        <f>IF(AG46=0,"",IFERROR(AG46/AG$19,""))</f>
        <v>1.5654520917678813E-2</v>
      </c>
      <c r="AI46" s="145">
        <f t="shared" si="7"/>
        <v>613</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v>22</v>
      </c>
      <c r="P47" s="143">
        <v>146</v>
      </c>
      <c r="Q47" s="143">
        <v>49</v>
      </c>
      <c r="R47" s="143"/>
      <c r="S47" s="143"/>
      <c r="T47" s="143"/>
      <c r="U47" s="143"/>
      <c r="V47" s="143"/>
      <c r="W47" s="143"/>
      <c r="X47" s="143"/>
      <c r="Y47" s="143"/>
      <c r="Z47" s="143"/>
      <c r="AA47" s="143">
        <f t="shared" si="5"/>
        <v>217</v>
      </c>
      <c r="AB47" s="144">
        <f>IF(AA47=0,"",IFERROR(AA47/AA$19,""))</f>
        <v>1.0845759308110528E-2</v>
      </c>
      <c r="AC47" s="140"/>
      <c r="AD47" s="143">
        <v>206.56800000000001</v>
      </c>
      <c r="AE47" s="144">
        <f>IF(AD47=0,"",IFERROR(AD47/AD$19,""))</f>
        <v>2.3338379844085417E-3</v>
      </c>
      <c r="AF47" s="145">
        <f t="shared" si="6"/>
        <v>10.431999999999988</v>
      </c>
      <c r="AG47" s="143">
        <v>40</v>
      </c>
      <c r="AH47" s="144">
        <f>IF(AG47=0,"",IFERROR(AG47/AG$19,""))</f>
        <v>3.5987404408457041E-3</v>
      </c>
      <c r="AI47" s="145">
        <f t="shared" si="7"/>
        <v>177</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v>155</v>
      </c>
      <c r="P48" s="217">
        <v>302</v>
      </c>
      <c r="Q48" s="217">
        <v>176</v>
      </c>
      <c r="R48" s="217"/>
      <c r="S48" s="217"/>
      <c r="T48" s="217"/>
      <c r="U48" s="217"/>
      <c r="V48" s="217"/>
      <c r="W48" s="217"/>
      <c r="X48" s="217"/>
      <c r="Y48" s="217"/>
      <c r="Z48" s="217"/>
      <c r="AA48" s="217">
        <f t="shared" si="5"/>
        <v>633</v>
      </c>
      <c r="AB48" s="219">
        <f>IF(AA48=0,"",IFERROR(AA48/AA$19,""))</f>
        <v>3.1637629686792464E-2</v>
      </c>
      <c r="AC48" s="140"/>
      <c r="AD48" s="217">
        <v>3945.3119999999999</v>
      </c>
      <c r="AE48" s="219">
        <f>IF(AD48=0,"",IFERROR(AD48/AD$19,""))</f>
        <v>4.4574759914133996E-2</v>
      </c>
      <c r="AF48" s="220">
        <f t="shared" si="6"/>
        <v>-3312.3119999999999</v>
      </c>
      <c r="AG48" s="217">
        <v>74</v>
      </c>
      <c r="AH48" s="219">
        <f>IF(AG48=0,"",IFERROR(AG48/AG$19,""))</f>
        <v>6.6576698155645523E-3</v>
      </c>
      <c r="AI48" s="220">
        <f t="shared" si="7"/>
        <v>559</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v>830</v>
      </c>
      <c r="P49" s="166">
        <v>2821</v>
      </c>
      <c r="Q49" s="166">
        <v>1620</v>
      </c>
      <c r="R49" s="166"/>
      <c r="S49" s="166"/>
      <c r="T49" s="166"/>
      <c r="U49" s="166"/>
      <c r="V49" s="166"/>
      <c r="W49" s="166"/>
      <c r="X49" s="166"/>
      <c r="Y49" s="166"/>
      <c r="Z49" s="166"/>
      <c r="AA49" s="166">
        <f t="shared" si="5"/>
        <v>5271</v>
      </c>
      <c r="AB49" s="167">
        <f>IF(AA49=0,"",IFERROR(AA49/AA$19,""))</f>
        <v>0.26344699222603962</v>
      </c>
      <c r="AC49" s="140"/>
      <c r="AD49" s="166">
        <v>13680</v>
      </c>
      <c r="AE49" s="167">
        <f>IF(AD49=0,"",IFERROR(AD49/AD$19,""))</f>
        <v>0.15455880691447293</v>
      </c>
      <c r="AF49" s="168">
        <f t="shared" si="6"/>
        <v>-8409</v>
      </c>
      <c r="AG49" s="166">
        <v>2268</v>
      </c>
      <c r="AH49" s="167">
        <f>IF(AG49=0,"",IFERROR(AG49/AG$19,""))</f>
        <v>0.20404858299595141</v>
      </c>
      <c r="AI49" s="168">
        <f t="shared" si="7"/>
        <v>3003</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v>31</v>
      </c>
      <c r="P50" s="210">
        <v>22</v>
      </c>
      <c r="Q50" s="210">
        <v>17</v>
      </c>
      <c r="R50" s="210"/>
      <c r="S50" s="210"/>
      <c r="T50" s="210"/>
      <c r="U50" s="210"/>
      <c r="V50" s="210"/>
      <c r="W50" s="210"/>
      <c r="X50" s="210"/>
      <c r="Y50" s="210"/>
      <c r="Z50" s="210"/>
      <c r="AA50" s="210">
        <f t="shared" si="5"/>
        <v>70</v>
      </c>
      <c r="AB50" s="211"/>
      <c r="AC50" s="140"/>
      <c r="AD50" s="210">
        <v>366</v>
      </c>
      <c r="AE50" s="211"/>
      <c r="AF50" s="253">
        <f t="shared" si="6"/>
        <v>-296</v>
      </c>
      <c r="AG50" s="210">
        <v>61</v>
      </c>
      <c r="AH50" s="211"/>
      <c r="AI50" s="253">
        <f t="shared" si="7"/>
        <v>9</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v>60</v>
      </c>
      <c r="P51" s="210">
        <v>144</v>
      </c>
      <c r="Q51" s="210">
        <v>104</v>
      </c>
      <c r="R51" s="210"/>
      <c r="S51" s="210"/>
      <c r="T51" s="210"/>
      <c r="U51" s="210"/>
      <c r="V51" s="210"/>
      <c r="W51" s="210"/>
      <c r="X51" s="210"/>
      <c r="Y51" s="210"/>
      <c r="Z51" s="210"/>
      <c r="AA51" s="210">
        <f t="shared" si="5"/>
        <v>308</v>
      </c>
      <c r="AB51" s="211">
        <f>IF(AA51=0,"",IFERROR(AA51/AA$87,""))</f>
        <v>0.30078125</v>
      </c>
      <c r="AC51" s="140"/>
      <c r="AD51" s="210">
        <v>608</v>
      </c>
      <c r="AE51" s="211">
        <f>IF(AD51=0,"",IFERROR(AD51/AD$87,""))</f>
        <v>0.15937090432503276</v>
      </c>
      <c r="AF51" s="253">
        <f t="shared" si="6"/>
        <v>-300</v>
      </c>
      <c r="AG51" s="210">
        <v>131</v>
      </c>
      <c r="AH51" s="211">
        <f>IF(AG51=0,"",IFERROR(AG51/AG$87,""))</f>
        <v>0.23226950354609929</v>
      </c>
      <c r="AI51" s="253">
        <f t="shared" si="7"/>
        <v>177</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13.8333333333333</v>
      </c>
      <c r="P52" s="495">
        <v>19.5902777777778</v>
      </c>
      <c r="Q52" s="495">
        <v>15.5769230769231</v>
      </c>
      <c r="R52" s="495"/>
      <c r="S52" s="495"/>
      <c r="T52" s="495"/>
      <c r="U52" s="495"/>
      <c r="V52" s="495"/>
      <c r="W52" s="495"/>
      <c r="X52" s="495"/>
      <c r="Y52" s="495"/>
      <c r="Z52" s="495"/>
      <c r="AA52" s="495">
        <f>IFERROR(AA49/AA51,"")</f>
        <v>17.113636363636363</v>
      </c>
      <c r="AB52" s="495"/>
      <c r="AC52" s="140"/>
      <c r="AD52" s="495">
        <v>22.5</v>
      </c>
      <c r="AE52" s="495"/>
      <c r="AF52" s="496">
        <f t="shared" si="6"/>
        <v>-5.3863636363636367</v>
      </c>
      <c r="AG52" s="495">
        <v>17.312977099236601</v>
      </c>
      <c r="AH52" s="495"/>
      <c r="AI52" s="496">
        <f t="shared" si="7"/>
        <v>-0.19934073560023791</v>
      </c>
    </row>
    <row r="53" spans="1:35" x14ac:dyDescent="0.35">
      <c r="A53" s="65" t="s">
        <v>41</v>
      </c>
      <c r="B53" s="66"/>
      <c r="C53" s="11"/>
      <c r="D53" s="11"/>
      <c r="E53" s="11"/>
      <c r="F53" s="11"/>
      <c r="G53" s="490">
        <f>COUNTIF(O54:AI54,FALSE)</f>
        <v>0</v>
      </c>
      <c r="H53" s="88"/>
      <c r="I53" s="122"/>
      <c r="J53" s="122"/>
      <c r="K53" s="90"/>
      <c r="L53" s="90"/>
      <c r="M53" s="90"/>
      <c r="N53" s="491" t="s">
        <v>345</v>
      </c>
      <c r="O53" s="497">
        <f t="shared" ref="O53:AA53" si="8">ROUND(IFERROR(O49/O51,0),2)</f>
        <v>13.83</v>
      </c>
      <c r="P53" s="498">
        <f t="shared" si="8"/>
        <v>19.59</v>
      </c>
      <c r="Q53" s="498">
        <f t="shared" si="8"/>
        <v>15.58</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17.11</v>
      </c>
      <c r="AB53" s="499"/>
      <c r="AC53" s="140"/>
      <c r="AD53" s="497">
        <f>ROUND(IFERROR(AD49/AD51,0),2)</f>
        <v>22.5</v>
      </c>
      <c r="AE53" s="498"/>
      <c r="AF53" s="159"/>
      <c r="AG53" s="497">
        <f>ROUND(IFERROR(AG49/AG51,0),2)</f>
        <v>17.309999999999999</v>
      </c>
      <c r="AH53" s="498"/>
      <c r="AI53" s="159"/>
    </row>
    <row r="54" spans="1:35" x14ac:dyDescent="0.3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v>2557.9</v>
      </c>
      <c r="P55" s="143">
        <v>2360.75</v>
      </c>
      <c r="Q55" s="143">
        <v>1137.5</v>
      </c>
      <c r="R55" s="143"/>
      <c r="S55" s="143"/>
      <c r="T55" s="143"/>
      <c r="U55" s="143"/>
      <c r="V55" s="143"/>
      <c r="W55" s="143"/>
      <c r="X55" s="143"/>
      <c r="Y55" s="143"/>
      <c r="Z55" s="143"/>
      <c r="AA55" s="143">
        <f t="shared" ref="AA55:AA61" si="10">SUM(O55:Z55)</f>
        <v>6056.15</v>
      </c>
      <c r="AB55" s="144">
        <f>IF(AA55=0,"",IFERROR(AA55/AA$19,""))</f>
        <v>0.30268914854291973</v>
      </c>
      <c r="AC55" s="140"/>
      <c r="AD55" s="143">
        <v>17676.770199999999</v>
      </c>
      <c r="AE55" s="144">
        <f>IF(AD55=0,"",IFERROR(AD55/AD$19,""))</f>
        <v>0.19971494972319512</v>
      </c>
      <c r="AF55" s="145">
        <f t="shared" ref="AF55:AF62" si="11">IF(AND($AA55="",AD55=""),"",$AA55-AD55)</f>
        <v>-11620.620199999999</v>
      </c>
      <c r="AG55" s="143">
        <v>4173</v>
      </c>
      <c r="AH55" s="144">
        <f>IF(AG55=0,"",IFERROR(AG55/AG$19,""))</f>
        <v>0.37543859649122807</v>
      </c>
      <c r="AI55" s="145">
        <f t="shared" ref="AI55:AI62" si="12">IF(AND($AA55="",AG55=""),"",$AA55-AG55)</f>
        <v>1883.1499999999996</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v>48</v>
      </c>
      <c r="P56" s="143">
        <v>114</v>
      </c>
      <c r="Q56" s="143"/>
      <c r="R56" s="143"/>
      <c r="S56" s="143"/>
      <c r="T56" s="143"/>
      <c r="U56" s="143"/>
      <c r="V56" s="143"/>
      <c r="W56" s="143"/>
      <c r="X56" s="143"/>
      <c r="Y56" s="143"/>
      <c r="Z56" s="143"/>
      <c r="AA56" s="143">
        <f t="shared" si="10"/>
        <v>162</v>
      </c>
      <c r="AB56" s="144">
        <f>IF(AA56=0,"",IFERROR(AA56/AA$19,""))</f>
        <v>8.0968341378521002E-3</v>
      </c>
      <c r="AC56" s="140"/>
      <c r="AD56" s="143">
        <v>7601.4452000000001</v>
      </c>
      <c r="AE56" s="144">
        <f>IF(AD56=0,"",IFERROR(AD56/AD$19,""))</f>
        <v>8.5882331939893794E-2</v>
      </c>
      <c r="AF56" s="145">
        <f t="shared" si="11"/>
        <v>-7439.4452000000001</v>
      </c>
      <c r="AG56" s="143">
        <v>73</v>
      </c>
      <c r="AH56" s="144">
        <f>IF(AG56=0,"",IFERROR(AG56/AG$19,""))</f>
        <v>6.56770130454341E-3</v>
      </c>
      <c r="AI56" s="145">
        <f t="shared" si="12"/>
        <v>89</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v>18</v>
      </c>
      <c r="P57" s="143">
        <v>42</v>
      </c>
      <c r="Q57" s="143">
        <v>49</v>
      </c>
      <c r="R57" s="143"/>
      <c r="S57" s="143"/>
      <c r="T57" s="143"/>
      <c r="U57" s="143"/>
      <c r="V57" s="143"/>
      <c r="W57" s="143"/>
      <c r="X57" s="143"/>
      <c r="Y57" s="143"/>
      <c r="Z57" s="143"/>
      <c r="AA57" s="143">
        <f t="shared" si="10"/>
        <v>109</v>
      </c>
      <c r="AB57" s="144">
        <f>IF(AA57=0,"",IFERROR(AA57/AA$19,""))</f>
        <v>5.4478698828757961E-3</v>
      </c>
      <c r="AC57" s="140"/>
      <c r="AD57" s="143">
        <v>2126.6686</v>
      </c>
      <c r="AE57" s="144">
        <f>IF(AD57=0,"",IFERROR(AD57/AD$19,""))</f>
        <v>2.4027438707490679E-2</v>
      </c>
      <c r="AF57" s="145">
        <f t="shared" si="11"/>
        <v>-2017.6686</v>
      </c>
      <c r="AG57" s="143">
        <v>73</v>
      </c>
      <c r="AH57" s="144">
        <f>IF(AG57=0,"",IFERROR(AG57/AG$19,""))</f>
        <v>6.56770130454341E-3</v>
      </c>
      <c r="AI57" s="145">
        <f t="shared" si="12"/>
        <v>36</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v>240</v>
      </c>
      <c r="P58" s="217">
        <v>535</v>
      </c>
      <c r="Q58" s="217">
        <v>132</v>
      </c>
      <c r="R58" s="217"/>
      <c r="S58" s="217"/>
      <c r="T58" s="217"/>
      <c r="U58" s="217"/>
      <c r="V58" s="217"/>
      <c r="W58" s="217"/>
      <c r="X58" s="217"/>
      <c r="Y58" s="217"/>
      <c r="Z58" s="217"/>
      <c r="AA58" s="217">
        <f t="shared" si="10"/>
        <v>907</v>
      </c>
      <c r="AB58" s="219">
        <f>IF(AA58=0,"",IFERROR(AA58/AA$19,""))</f>
        <v>4.5332275080443546E-2</v>
      </c>
      <c r="AC58" s="140"/>
      <c r="AD58" s="217">
        <v>3596.116</v>
      </c>
      <c r="AE58" s="219">
        <f>IF(AD58=0,"",IFERROR(AD58/AD$19,""))</f>
        <v>4.0629488193424469E-2</v>
      </c>
      <c r="AF58" s="220">
        <f t="shared" si="11"/>
        <v>-2689.116</v>
      </c>
      <c r="AG58" s="217">
        <v>450</v>
      </c>
      <c r="AH58" s="219">
        <f>IF(AG58=0,"",IFERROR(AG58/AG$19,""))</f>
        <v>4.048582995951417E-2</v>
      </c>
      <c r="AI58" s="220">
        <f t="shared" si="12"/>
        <v>457</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v>2863.9</v>
      </c>
      <c r="P59" s="166">
        <v>3051.75</v>
      </c>
      <c r="Q59" s="166">
        <v>1318.5</v>
      </c>
      <c r="R59" s="166"/>
      <c r="S59" s="166"/>
      <c r="T59" s="166"/>
      <c r="U59" s="166"/>
      <c r="V59" s="166"/>
      <c r="W59" s="166"/>
      <c r="X59" s="166"/>
      <c r="Y59" s="166"/>
      <c r="Z59" s="166"/>
      <c r="AA59" s="166">
        <f t="shared" si="10"/>
        <v>7234.15</v>
      </c>
      <c r="AB59" s="167">
        <f>IF(AA59=0,"",IFERROR(AA59/AA$19,""))</f>
        <v>0.36156612764409113</v>
      </c>
      <c r="AC59" s="140"/>
      <c r="AD59" s="166">
        <v>31001</v>
      </c>
      <c r="AE59" s="167">
        <f>IF(AD59=0,"",IFERROR(AD59/AD$19,""))</f>
        <v>0.35025420856400408</v>
      </c>
      <c r="AF59" s="168">
        <f t="shared" si="11"/>
        <v>-23766.85</v>
      </c>
      <c r="AG59" s="166">
        <v>4769</v>
      </c>
      <c r="AH59" s="167">
        <f>IF(AG59=0,"",IFERROR(AG59/AG$19,""))</f>
        <v>0.42905982905982903</v>
      </c>
      <c r="AI59" s="168">
        <f t="shared" si="12"/>
        <v>2465.1499999999996</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v>31</v>
      </c>
      <c r="P60" s="210">
        <v>23</v>
      </c>
      <c r="Q60" s="210">
        <v>15</v>
      </c>
      <c r="R60" s="210"/>
      <c r="S60" s="210"/>
      <c r="T60" s="210"/>
      <c r="U60" s="210"/>
      <c r="V60" s="210"/>
      <c r="W60" s="210"/>
      <c r="X60" s="210"/>
      <c r="Y60" s="210"/>
      <c r="Z60" s="210"/>
      <c r="AA60" s="210">
        <f t="shared" si="10"/>
        <v>69</v>
      </c>
      <c r="AB60" s="211"/>
      <c r="AC60" s="140"/>
      <c r="AD60" s="210">
        <v>366</v>
      </c>
      <c r="AE60" s="211"/>
      <c r="AF60" s="253">
        <f t="shared" si="11"/>
        <v>-297</v>
      </c>
      <c r="AG60" s="210">
        <v>61</v>
      </c>
      <c r="AH60" s="211"/>
      <c r="AI60" s="253">
        <f t="shared" si="12"/>
        <v>8</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v>106</v>
      </c>
      <c r="P61" s="210">
        <v>117</v>
      </c>
      <c r="Q61" s="210">
        <v>58</v>
      </c>
      <c r="R61" s="210"/>
      <c r="S61" s="210"/>
      <c r="T61" s="210"/>
      <c r="U61" s="210"/>
      <c r="V61" s="210"/>
      <c r="W61" s="210"/>
      <c r="X61" s="210"/>
      <c r="Y61" s="210"/>
      <c r="Z61" s="210"/>
      <c r="AA61" s="210">
        <f t="shared" si="10"/>
        <v>281</v>
      </c>
      <c r="AB61" s="211">
        <f>IF(AA61=0,"",IFERROR(AA61/AA$87,""))</f>
        <v>0.2744140625</v>
      </c>
      <c r="AC61" s="140"/>
      <c r="AD61" s="210">
        <v>1069</v>
      </c>
      <c r="AE61" s="211">
        <f>IF(AD61=0,"",IFERROR(AD61/AD$87,""))</f>
        <v>0.2802096985583224</v>
      </c>
      <c r="AF61" s="253">
        <f t="shared" si="11"/>
        <v>-788</v>
      </c>
      <c r="AG61" s="210">
        <v>208</v>
      </c>
      <c r="AH61" s="211">
        <f>IF(AG61=0,"",IFERROR(AG61/AG$87,""))</f>
        <v>0.36879432624113473</v>
      </c>
      <c r="AI61" s="253">
        <f t="shared" si="12"/>
        <v>73</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v>27.017924528301901</v>
      </c>
      <c r="P62" s="495">
        <v>26.0833333333333</v>
      </c>
      <c r="Q62" s="495">
        <v>22.732758620689701</v>
      </c>
      <c r="R62" s="495"/>
      <c r="S62" s="495"/>
      <c r="T62" s="495"/>
      <c r="U62" s="495"/>
      <c r="V62" s="495"/>
      <c r="W62" s="495"/>
      <c r="X62" s="495"/>
      <c r="Y62" s="495"/>
      <c r="Z62" s="495"/>
      <c r="AA62" s="495">
        <f>IFERROR(AA59/AA61,"")</f>
        <v>25.744306049822061</v>
      </c>
      <c r="AB62" s="495"/>
      <c r="AC62" s="140"/>
      <c r="AD62" s="495">
        <v>29</v>
      </c>
      <c r="AE62" s="495"/>
      <c r="AF62" s="496">
        <f t="shared" si="11"/>
        <v>-3.2556939501779389</v>
      </c>
      <c r="AG62" s="495">
        <v>22.927884615384599</v>
      </c>
      <c r="AH62" s="495"/>
      <c r="AI62" s="496">
        <f t="shared" si="12"/>
        <v>2.8164214344374621</v>
      </c>
    </row>
    <row r="63" spans="1:35" x14ac:dyDescent="0.35">
      <c r="A63" s="11"/>
      <c r="B63" s="11"/>
      <c r="C63" s="11"/>
      <c r="D63" s="11"/>
      <c r="E63" s="11"/>
      <c r="F63" s="11"/>
      <c r="G63" s="490">
        <f>COUNTIF(O64:AI64,FALSE)</f>
        <v>0</v>
      </c>
      <c r="H63" s="88"/>
      <c r="I63" s="122"/>
      <c r="J63" s="122"/>
      <c r="K63" s="90"/>
      <c r="L63" s="90"/>
      <c r="M63" s="90"/>
      <c r="N63" s="491" t="s">
        <v>345</v>
      </c>
      <c r="O63" s="497">
        <f t="shared" ref="O63:AA63" si="13">ROUND(IFERROR(O59/O61,0),2)</f>
        <v>27.02</v>
      </c>
      <c r="P63" s="498">
        <f t="shared" si="13"/>
        <v>26.08</v>
      </c>
      <c r="Q63" s="498">
        <f t="shared" si="13"/>
        <v>22.73</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25.74</v>
      </c>
      <c r="AB63" s="499"/>
      <c r="AC63" s="140"/>
      <c r="AD63" s="497">
        <f>ROUND(IFERROR(AD59/AD61,0),2)</f>
        <v>29</v>
      </c>
      <c r="AE63" s="498"/>
      <c r="AF63" s="159"/>
      <c r="AG63" s="497">
        <f>ROUND(IFERROR(AG59/AG61,0),2)</f>
        <v>22.93</v>
      </c>
      <c r="AH63" s="498"/>
      <c r="AI63" s="159"/>
    </row>
    <row r="64" spans="1:35" x14ac:dyDescent="0.3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43"/>
      <c r="P65" s="143"/>
      <c r="Q65" s="143"/>
      <c r="R65" s="143"/>
      <c r="S65" s="143"/>
      <c r="T65" s="143"/>
      <c r="U65" s="143"/>
      <c r="V65" s="143"/>
      <c r="W65" s="143"/>
      <c r="X65" s="143"/>
      <c r="Y65" s="143"/>
      <c r="Z65" s="143"/>
      <c r="AA65" s="143">
        <f t="shared" ref="AA65:AA71" si="15">SUM(O65:Z65)</f>
        <v>0</v>
      </c>
      <c r="AB65" s="144" t="str">
        <f>IF(AA65=0,"",IFERROR(AA65/AA$19,""))</f>
        <v/>
      </c>
      <c r="AC65" s="140"/>
      <c r="AD65" s="143"/>
      <c r="AE65" s="144" t="str">
        <f>IF(AD65=0,"",IFERROR(AD65/AD$19,""))</f>
        <v/>
      </c>
      <c r="AF65" s="145">
        <f t="shared" ref="AF65:AF72" si="16">IF(AND($AA65="",AD65=""),"",$AA65-AD65)</f>
        <v>0</v>
      </c>
      <c r="AG65" s="143"/>
      <c r="AH65" s="144" t="str">
        <f>IF(AG65=0,"",IFERROR(AG65/AG$19,""))</f>
        <v/>
      </c>
      <c r="AI65" s="145">
        <f t="shared" ref="AI65:AI72" si="17">IF(AND($AA65="",AG65=""),"",$AA65-AG65)</f>
        <v>0</v>
      </c>
    </row>
    <row r="66" spans="1:35" x14ac:dyDescent="0.3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c r="AH69" s="167" t="str">
        <f>IF(AG69=0,"",IFERROR(AG69/AG$19,""))</f>
        <v/>
      </c>
      <c r="AI69" s="168">
        <f t="shared" si="17"/>
        <v>0</v>
      </c>
    </row>
    <row r="70" spans="1:35" x14ac:dyDescent="0.3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10"/>
      <c r="P70" s="210"/>
      <c r="Q70" s="210"/>
      <c r="R70" s="210"/>
      <c r="S70" s="210"/>
      <c r="T70" s="210"/>
      <c r="U70" s="210"/>
      <c r="V70" s="210"/>
      <c r="W70" s="210"/>
      <c r="X70" s="210"/>
      <c r="Y70" s="210"/>
      <c r="Z70" s="210"/>
      <c r="AA70" s="210">
        <f t="shared" si="15"/>
        <v>0</v>
      </c>
      <c r="AB70" s="211"/>
      <c r="AC70" s="140"/>
      <c r="AD70" s="210"/>
      <c r="AE70" s="211"/>
      <c r="AF70" s="253">
        <f t="shared" si="16"/>
        <v>0</v>
      </c>
      <c r="AG70" s="210"/>
      <c r="AH70" s="211"/>
      <c r="AI70" s="253">
        <f t="shared" si="17"/>
        <v>0</v>
      </c>
    </row>
    <row r="71" spans="1:35" x14ac:dyDescent="0.3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10"/>
      <c r="P71" s="210"/>
      <c r="Q71" s="210"/>
      <c r="R71" s="210"/>
      <c r="S71" s="210"/>
      <c r="T71" s="210"/>
      <c r="U71" s="210"/>
      <c r="V71" s="210"/>
      <c r="W71" s="210"/>
      <c r="X71" s="210"/>
      <c r="Y71" s="210"/>
      <c r="Z71" s="210"/>
      <c r="AA71" s="210">
        <f t="shared" si="15"/>
        <v>0</v>
      </c>
      <c r="AB71" s="211" t="str">
        <f>IF(AA71=0,"",IFERROR(AA71/AA$87,""))</f>
        <v/>
      </c>
      <c r="AC71" s="140"/>
      <c r="AD71" s="210"/>
      <c r="AE71" s="211" t="str">
        <f>IF(AD71=0,"",IFERROR(AD71/AD$87,""))</f>
        <v/>
      </c>
      <c r="AF71" s="253">
        <f t="shared" si="16"/>
        <v>0</v>
      </c>
      <c r="AG71" s="210"/>
      <c r="AH71" s="211" t="str">
        <f>IF(AG71=0,"",IFERROR(AG71/AG$87,""))</f>
        <v/>
      </c>
      <c r="AI71" s="253">
        <f t="shared" si="17"/>
        <v>0</v>
      </c>
    </row>
    <row r="72" spans="1:35" x14ac:dyDescent="0.3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3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9"/>
      <c r="AG73" s="497">
        <f>ROUND(IFERROR(AG69/AG71,0),2)</f>
        <v>0</v>
      </c>
      <c r="AH73" s="498"/>
      <c r="AI73" s="159"/>
    </row>
    <row r="74" spans="1:35" x14ac:dyDescent="0.3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3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43"/>
      <c r="P75" s="143"/>
      <c r="Q75" s="143"/>
      <c r="R75" s="143"/>
      <c r="S75" s="143"/>
      <c r="T75" s="143"/>
      <c r="U75" s="143"/>
      <c r="V75" s="143"/>
      <c r="W75" s="143"/>
      <c r="X75" s="143"/>
      <c r="Y75" s="143"/>
      <c r="Z75" s="143"/>
      <c r="AA75" s="143">
        <f t="shared" ref="AA75:AA80" si="20">SUM(O75:Z75)</f>
        <v>0</v>
      </c>
      <c r="AB75" s="144" t="str">
        <f>IF(AA75=0,"",IFERROR(AA75/AA$19,""))</f>
        <v/>
      </c>
      <c r="AC75" s="140"/>
      <c r="AD75" s="143"/>
      <c r="AE75" s="144" t="str">
        <f>IF(AD75=0,"",IFERROR(AD75/AD$19,""))</f>
        <v/>
      </c>
      <c r="AF75" s="145">
        <f t="shared" ref="AF75:AF81" si="21">IF(AND($AA75="",AD75=""),"",$AA75-AD75)</f>
        <v>0</v>
      </c>
      <c r="AG75" s="143"/>
      <c r="AH75" s="144" t="str">
        <f>IF(AG75=0,"",IFERROR(AG75/AG$19,""))</f>
        <v/>
      </c>
      <c r="AI75" s="145">
        <f t="shared" ref="AI75:AI81" si="22">IF(AND($AA75="",AG75=""),"",$AA75-AG75)</f>
        <v>0</v>
      </c>
    </row>
    <row r="76" spans="1:35" x14ac:dyDescent="0.3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43"/>
      <c r="P76" s="143"/>
      <c r="Q76" s="143"/>
      <c r="R76" s="143"/>
      <c r="S76" s="143"/>
      <c r="T76" s="143"/>
      <c r="U76" s="143"/>
      <c r="V76" s="143"/>
      <c r="W76" s="143"/>
      <c r="X76" s="143"/>
      <c r="Y76" s="143"/>
      <c r="Z76" s="143"/>
      <c r="AA76" s="143">
        <f t="shared" si="20"/>
        <v>0</v>
      </c>
      <c r="AB76" s="144" t="str">
        <f>IF(AA76=0,"",IFERROR(AA76/AA$19,""))</f>
        <v/>
      </c>
      <c r="AC76" s="140"/>
      <c r="AD76" s="143"/>
      <c r="AE76" s="144" t="str">
        <f>IF(AD76=0,"",IFERROR(AD76/AD$19,""))</f>
        <v/>
      </c>
      <c r="AF76" s="145">
        <f t="shared" si="21"/>
        <v>0</v>
      </c>
      <c r="AG76" s="143"/>
      <c r="AH76" s="144" t="str">
        <f>IF(AG76=0,"",IFERROR(AG76/AG$19,""))</f>
        <v/>
      </c>
      <c r="AI76" s="145">
        <f t="shared" si="22"/>
        <v>0</v>
      </c>
    </row>
    <row r="77" spans="1:35" x14ac:dyDescent="0.3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43"/>
      <c r="P77" s="143"/>
      <c r="Q77" s="143"/>
      <c r="R77" s="143"/>
      <c r="S77" s="143"/>
      <c r="T77" s="143"/>
      <c r="U77" s="143"/>
      <c r="V77" s="143"/>
      <c r="W77" s="143"/>
      <c r="X77" s="143"/>
      <c r="Y77" s="143"/>
      <c r="Z77" s="143"/>
      <c r="AA77" s="143">
        <f t="shared" si="20"/>
        <v>0</v>
      </c>
      <c r="AB77" s="144" t="str">
        <f>IF(AA77=0,"",IFERROR(AA77/AA$19,""))</f>
        <v/>
      </c>
      <c r="AC77" s="140"/>
      <c r="AD77" s="143"/>
      <c r="AE77" s="144" t="str">
        <f>IF(AD77=0,"",IFERROR(AD77/AD$19,""))</f>
        <v/>
      </c>
      <c r="AF77" s="145">
        <f t="shared" si="21"/>
        <v>0</v>
      </c>
      <c r="AG77" s="143"/>
      <c r="AH77" s="144" t="str">
        <f>IF(AG77=0,"",IFERROR(AG77/AG$19,""))</f>
        <v/>
      </c>
      <c r="AI77" s="145">
        <f t="shared" si="22"/>
        <v>0</v>
      </c>
    </row>
    <row r="78" spans="1:35" x14ac:dyDescent="0.3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7"/>
      <c r="P78" s="217"/>
      <c r="Q78" s="217"/>
      <c r="R78" s="217"/>
      <c r="S78" s="217"/>
      <c r="T78" s="217"/>
      <c r="U78" s="217"/>
      <c r="V78" s="217"/>
      <c r="W78" s="217"/>
      <c r="X78" s="217"/>
      <c r="Y78" s="217"/>
      <c r="Z78" s="217"/>
      <c r="AA78" s="217">
        <f t="shared" si="20"/>
        <v>0</v>
      </c>
      <c r="AB78" s="219" t="str">
        <f>IF(AA78=0,"",IFERROR(AA78/AA$19,""))</f>
        <v/>
      </c>
      <c r="AC78" s="140"/>
      <c r="AD78" s="217"/>
      <c r="AE78" s="219" t="str">
        <f>IF(AD78=0,"",IFERROR(AD78/AD$19,""))</f>
        <v/>
      </c>
      <c r="AF78" s="220">
        <f t="shared" si="21"/>
        <v>0</v>
      </c>
      <c r="AG78" s="217"/>
      <c r="AH78" s="219" t="str">
        <f>IF(AG78=0,"",IFERROR(AG78/AG$19,""))</f>
        <v/>
      </c>
      <c r="AI78" s="220">
        <f t="shared" si="22"/>
        <v>0</v>
      </c>
    </row>
    <row r="79" spans="1:35" x14ac:dyDescent="0.3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6"/>
      <c r="P79" s="166"/>
      <c r="Q79" s="166"/>
      <c r="R79" s="166"/>
      <c r="S79" s="166"/>
      <c r="T79" s="166"/>
      <c r="U79" s="166"/>
      <c r="V79" s="166"/>
      <c r="W79" s="166"/>
      <c r="X79" s="166"/>
      <c r="Y79" s="166"/>
      <c r="Z79" s="166"/>
      <c r="AA79" s="166">
        <f t="shared" si="20"/>
        <v>0</v>
      </c>
      <c r="AB79" s="167" t="str">
        <f>IF(AA79=0,"",IFERROR(AA79/AA$19,""))</f>
        <v/>
      </c>
      <c r="AC79" s="140"/>
      <c r="AD79" s="166"/>
      <c r="AE79" s="167" t="str">
        <f>IF(AD79=0,"",IFERROR(AD79/AD$19,""))</f>
        <v/>
      </c>
      <c r="AF79" s="168">
        <f t="shared" si="21"/>
        <v>0</v>
      </c>
      <c r="AG79" s="166"/>
      <c r="AH79" s="167" t="str">
        <f>IF(AG79=0,"",IFERROR(AG79/AG$19,""))</f>
        <v/>
      </c>
      <c r="AI79" s="168">
        <f t="shared" si="22"/>
        <v>0</v>
      </c>
    </row>
    <row r="80" spans="1:35" x14ac:dyDescent="0.3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10"/>
      <c r="P80" s="210"/>
      <c r="Q80" s="210"/>
      <c r="R80" s="210"/>
      <c r="S80" s="210"/>
      <c r="T80" s="210"/>
      <c r="U80" s="210"/>
      <c r="V80" s="210"/>
      <c r="W80" s="210"/>
      <c r="X80" s="210"/>
      <c r="Y80" s="210"/>
      <c r="Z80" s="210"/>
      <c r="AA80" s="210">
        <f t="shared" si="20"/>
        <v>0</v>
      </c>
      <c r="AB80" s="211" t="str">
        <f>IF(AA80=0,"",IFERROR(AA80/AA$87,""))</f>
        <v/>
      </c>
      <c r="AC80" s="140"/>
      <c r="AD80" s="210"/>
      <c r="AE80" s="211" t="str">
        <f>IF(AD80=0,"",IFERROR(AD80/AD$87,""))</f>
        <v/>
      </c>
      <c r="AF80" s="253">
        <f t="shared" si="21"/>
        <v>0</v>
      </c>
      <c r="AG80" s="210"/>
      <c r="AH80" s="211" t="str">
        <f>IF(AG80=0,"",IFERROR(AG80/AG$87,""))</f>
        <v/>
      </c>
      <c r="AI80" s="253">
        <f t="shared" si="22"/>
        <v>0</v>
      </c>
    </row>
    <row r="81" spans="1:35" x14ac:dyDescent="0.3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3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9"/>
      <c r="AG82" s="497">
        <f>ROUND(IFERROR(AG79/AG80,0),2)</f>
        <v>0</v>
      </c>
      <c r="AH82" s="498"/>
      <c r="AI82" s="159"/>
    </row>
    <row r="83" spans="1:35" x14ac:dyDescent="0.3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43"/>
      <c r="P83" s="143">
        <v>-176.34</v>
      </c>
      <c r="Q83" s="143">
        <v>-31.99</v>
      </c>
      <c r="R83" s="143"/>
      <c r="S83" s="143"/>
      <c r="T83" s="143"/>
      <c r="U83" s="143"/>
      <c r="V83" s="143"/>
      <c r="W83" s="143"/>
      <c r="X83" s="143"/>
      <c r="Y83" s="143"/>
      <c r="Z83" s="143"/>
      <c r="AA83" s="143">
        <f>SUM(O83:Z83)</f>
        <v>-208.33</v>
      </c>
      <c r="AB83" s="144">
        <f>IF(AA83=0,"",IFERROR(AA83/AA$19,""))</f>
        <v>-1.0412428740362519E-2</v>
      </c>
      <c r="AC83" s="140"/>
      <c r="AD83" s="143"/>
      <c r="AE83" s="144" t="str">
        <f>IF(AD83=0,"",IFERROR(AD83/AD$19,""))</f>
        <v/>
      </c>
      <c r="AF83" s="145">
        <f>IF(AND($AA83="",AD83=""),"",$AA83-AD83)</f>
        <v>-208.33</v>
      </c>
      <c r="AG83" s="143"/>
      <c r="AH83" s="144" t="str">
        <f>IF(AG83=0,"",IFERROR(AG83/AG$19,""))</f>
        <v/>
      </c>
      <c r="AI83" s="145">
        <f>IF(AND($AA83="",AG83=""),"",$AA83-AG83)</f>
        <v>-208.33</v>
      </c>
    </row>
    <row r="84" spans="1:35" x14ac:dyDescent="0.3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3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7166.9</v>
      </c>
      <c r="P85" s="507">
        <v>8742.41</v>
      </c>
      <c r="Q85" s="507">
        <v>4098.51</v>
      </c>
      <c r="R85" s="507"/>
      <c r="S85" s="507"/>
      <c r="T85" s="507"/>
      <c r="U85" s="507"/>
      <c r="V85" s="507"/>
      <c r="W85" s="507"/>
      <c r="X85" s="507"/>
      <c r="Y85" s="507"/>
      <c r="Z85" s="507"/>
      <c r="AA85" s="507">
        <f>SUM(O85:Z85)</f>
        <v>20007.82</v>
      </c>
      <c r="AB85" s="508">
        <f>IF(AA85=0,"",IFERROR(AA85/AA$19,""))</f>
        <v>1</v>
      </c>
      <c r="AC85" s="140"/>
      <c r="AD85" s="507">
        <v>88510</v>
      </c>
      <c r="AE85" s="508">
        <f>IF(AD85=0,"",IFERROR(AD85/AD$19,""))</f>
        <v>1</v>
      </c>
      <c r="AF85" s="509">
        <f>IF(AND($AA85="",AD85=""),"",$AA85-AD85)</f>
        <v>-68502.179999999993</v>
      </c>
      <c r="AG85" s="507">
        <v>11115</v>
      </c>
      <c r="AH85" s="508">
        <f>IF(AG85=0,"",IFERROR(AG85/AG$19,""))</f>
        <v>1</v>
      </c>
      <c r="AI85" s="509">
        <f>IF(AND($AA85="",AG85=""),"",$AA85-AG85)</f>
        <v>8892.82</v>
      </c>
    </row>
    <row r="86" spans="1:35" x14ac:dyDescent="0.3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3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358</v>
      </c>
      <c r="P87" s="507">
        <v>429</v>
      </c>
      <c r="Q87" s="507">
        <v>237</v>
      </c>
      <c r="R87" s="507"/>
      <c r="S87" s="507"/>
      <c r="T87" s="507"/>
      <c r="U87" s="507"/>
      <c r="V87" s="507"/>
      <c r="W87" s="507"/>
      <c r="X87" s="507"/>
      <c r="Y87" s="507"/>
      <c r="Z87" s="507"/>
      <c r="AA87" s="507">
        <f>SUM(O87:Z87)</f>
        <v>1024</v>
      </c>
      <c r="AB87" s="508">
        <f>IF(AA87=0,"",IFERROR(AA87/AA$20,""))</f>
        <v>1</v>
      </c>
      <c r="AC87" s="140"/>
      <c r="AD87" s="507">
        <v>3815</v>
      </c>
      <c r="AE87" s="508">
        <f>IF(AD87=0,"",IFERROR(AD87/AD$20,""))</f>
        <v>1</v>
      </c>
      <c r="AF87" s="509">
        <f>IF(AND($AA87="",AD87=""),"",$AA87-AD87)</f>
        <v>-2791</v>
      </c>
      <c r="AG87" s="507">
        <v>564</v>
      </c>
      <c r="AH87" s="508">
        <f>IF(AG87=0,"",IFERROR(AG87/AG$20,""))</f>
        <v>1</v>
      </c>
      <c r="AI87" s="509">
        <f>IF(AND($AA87="",AG87=""),"",$AA87-AG87)</f>
        <v>460</v>
      </c>
    </row>
    <row r="88" spans="1:35" x14ac:dyDescent="0.35">
      <c r="A88" s="11"/>
      <c r="B88" s="11"/>
      <c r="C88" s="208"/>
      <c r="D88" s="11"/>
      <c r="E88" s="11"/>
      <c r="F88" s="11"/>
      <c r="G88" s="11"/>
      <c r="H88" s="185" t="s">
        <v>311</v>
      </c>
      <c r="I88" s="122" t="str">
        <f>IF(_epmOfflineCondition_,"N",_xll.EVPRO($B$1,$H88,"STYLE"))</f>
        <v>N</v>
      </c>
      <c r="J88" s="122" t="str">
        <f>IF(_epmOfflineCondition_,"Y",_xll.EVPRO($B$1,$H88,"CALC"))</f>
        <v>Y</v>
      </c>
      <c r="K88" s="11"/>
      <c r="L88" s="90"/>
      <c r="M88" s="90" t="str">
        <f>IF(_epmOfflineCondition_,"",IF(AND(I88="N",J88="N"),_xll.EVPRO($B$1,H88,"PSFTID"),""))</f>
        <v/>
      </c>
      <c r="N88" s="90" t="str">
        <f>IF(_epmOfflineCondition_,"Total Average Check",IF(_xll.EVDES(H88,$B$1)="#NODATA","",_xll.EVDES(H88,$B$1)))</f>
        <v>Total Average Check</v>
      </c>
      <c r="O88" s="495">
        <v>20.0192737430168</v>
      </c>
      <c r="P88" s="495">
        <v>20.378578088578099</v>
      </c>
      <c r="Q88" s="495">
        <v>17.293291139240502</v>
      </c>
      <c r="R88" s="495"/>
      <c r="S88" s="495"/>
      <c r="T88" s="495"/>
      <c r="U88" s="495"/>
      <c r="V88" s="495"/>
      <c r="W88" s="495"/>
      <c r="X88" s="495"/>
      <c r="Y88" s="495"/>
      <c r="Z88" s="495"/>
      <c r="AA88" s="495">
        <f>IFERROR(AA85/AA87,"")</f>
        <v>19.53888671875</v>
      </c>
      <c r="AB88" s="495"/>
      <c r="AC88" s="140"/>
      <c r="AD88" s="495">
        <v>23.200524246395801</v>
      </c>
      <c r="AE88" s="495"/>
      <c r="AF88" s="496">
        <f>IF(AND($AA88="",AD88=""),"",$AA88-AD88)</f>
        <v>-3.6616375276458015</v>
      </c>
      <c r="AG88" s="495">
        <v>19.7074468085106</v>
      </c>
      <c r="AH88" s="495"/>
      <c r="AI88" s="496">
        <f>IF(AND($AA88="",AG88=""),"",$AA88-AG88)</f>
        <v>-0.16856008976060011</v>
      </c>
    </row>
    <row r="89" spans="1:35" x14ac:dyDescent="0.35">
      <c r="A89" s="11"/>
      <c r="B89" s="11"/>
      <c r="C89" s="208"/>
      <c r="D89" s="11"/>
      <c r="E89" s="11"/>
      <c r="F89" s="11"/>
      <c r="G89" s="11"/>
      <c r="H89" s="185"/>
      <c r="I89" s="122"/>
      <c r="J89" s="122"/>
      <c r="K89" s="11"/>
      <c r="L89" s="90"/>
      <c r="M89" s="90"/>
      <c r="N89" s="90"/>
      <c r="O89" s="174"/>
      <c r="P89" s="175"/>
      <c r="Q89" s="175"/>
      <c r="R89" s="175"/>
      <c r="S89" s="175"/>
      <c r="T89" s="175"/>
      <c r="U89" s="175"/>
      <c r="V89" s="175"/>
      <c r="W89" s="175"/>
      <c r="X89" s="175"/>
      <c r="Y89" s="175"/>
      <c r="Z89" s="175"/>
      <c r="AA89" s="175"/>
      <c r="AB89" s="176"/>
      <c r="AC89" s="140"/>
      <c r="AD89" s="174"/>
      <c r="AE89" s="175"/>
      <c r="AF89" s="176"/>
      <c r="AG89" s="174"/>
      <c r="AH89" s="175"/>
      <c r="AI89" s="176"/>
    </row>
    <row r="90" spans="1:35" x14ac:dyDescent="0.35">
      <c r="A90" s="11"/>
      <c r="B90" s="11"/>
      <c r="C90" s="208"/>
      <c r="D90" s="11"/>
      <c r="E90" s="11"/>
      <c r="F90" s="11"/>
      <c r="G90" s="11"/>
      <c r="H90" s="185"/>
      <c r="I90" s="122"/>
      <c r="J90" s="122"/>
      <c r="K90" s="11"/>
      <c r="L90" s="90"/>
      <c r="M90" s="90"/>
      <c r="N90" s="53" t="s">
        <v>334</v>
      </c>
      <c r="O90" s="162"/>
      <c r="P90" s="163"/>
      <c r="Q90" s="163"/>
      <c r="R90" s="163"/>
      <c r="S90" s="163"/>
      <c r="T90" s="163"/>
      <c r="U90" s="163"/>
      <c r="V90" s="163"/>
      <c r="W90" s="163"/>
      <c r="X90" s="163"/>
      <c r="Y90" s="163"/>
      <c r="Z90" s="163"/>
      <c r="AA90" s="163"/>
      <c r="AB90" s="164"/>
      <c r="AC90" s="140"/>
      <c r="AD90" s="162"/>
      <c r="AE90" s="163"/>
      <c r="AF90" s="164"/>
      <c r="AG90" s="162"/>
      <c r="AH90" s="163"/>
      <c r="AI90" s="164"/>
    </row>
    <row r="91" spans="1:35" hidden="1" outlineLevel="1" x14ac:dyDescent="0.3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43"/>
      <c r="P91" s="143"/>
      <c r="Q91" s="143"/>
      <c r="R91" s="143"/>
      <c r="S91" s="143"/>
      <c r="T91" s="143"/>
      <c r="U91" s="143"/>
      <c r="V91" s="143"/>
      <c r="W91" s="143"/>
      <c r="X91" s="143"/>
      <c r="Y91" s="143"/>
      <c r="Z91" s="143"/>
      <c r="AA91" s="143">
        <f>SUM(O91:Z91)</f>
        <v>0</v>
      </c>
      <c r="AB91" s="144"/>
      <c r="AC91" s="140"/>
      <c r="AD91" s="143"/>
      <c r="AE91" s="144"/>
      <c r="AF91" s="145">
        <f>IF(AND($AA91="",AD91=""),"",$AA91-AD91)</f>
        <v>0</v>
      </c>
      <c r="AG91" s="143"/>
      <c r="AH91" s="144"/>
      <c r="AI91" s="145">
        <f>IF(AND($AA91="",AG91=""),"",$AA91-AG91)</f>
        <v>0</v>
      </c>
    </row>
    <row r="92" spans="1:35" hidden="1" outlineLevel="1" x14ac:dyDescent="0.3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43"/>
      <c r="P92" s="143"/>
      <c r="Q92" s="143"/>
      <c r="R92" s="143"/>
      <c r="S92" s="143"/>
      <c r="T92" s="143"/>
      <c r="U92" s="143"/>
      <c r="V92" s="143"/>
      <c r="W92" s="143"/>
      <c r="X92" s="143"/>
      <c r="Y92" s="143"/>
      <c r="Z92" s="143"/>
      <c r="AA92" s="143">
        <f>SUM(O92:Z92)</f>
        <v>0</v>
      </c>
      <c r="AB92" s="144"/>
      <c r="AC92" s="140"/>
      <c r="AD92" s="143">
        <v>1146</v>
      </c>
      <c r="AE92" s="144"/>
      <c r="AF92" s="145">
        <f>IF(AND($AA92="",AD92=""),"",$AA92-AD92)</f>
        <v>-1146</v>
      </c>
      <c r="AG92" s="143"/>
      <c r="AH92" s="144"/>
      <c r="AI92" s="145">
        <f>IF(AND($AA92="",AG92=""),"",$AA92-AG92)</f>
        <v>0</v>
      </c>
    </row>
    <row r="93" spans="1:35" collapsed="1" x14ac:dyDescent="0.3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4" t="str">
        <f>IF(AND($AA93="",AD93=""),"",$AA93-AD93)</f>
        <v/>
      </c>
      <c r="AG93" s="510" t="str">
        <f>IFERROR(AG$87/AG91,"")</f>
        <v/>
      </c>
      <c r="AH93" s="511"/>
      <c r="AI93" s="214" t="str">
        <f>IF(AND($AA93="",AG93=""),"",$AA93-AG93)</f>
        <v/>
      </c>
    </row>
    <row r="94" spans="1:35" x14ac:dyDescent="0.3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f>IFERROR(AD$87/AD92,"")</f>
        <v>3.3289703315881325</v>
      </c>
      <c r="AE94" s="511"/>
      <c r="AF94" s="214" t="e">
        <f>IF(AND($AA94="",AD94=""),"",$AA94-AD94)</f>
        <v>#VALUE!</v>
      </c>
      <c r="AG94" s="510" t="str">
        <f>IFERROR(AG$87/AG92,"")</f>
        <v/>
      </c>
      <c r="AH94" s="511"/>
      <c r="AI94" s="214" t="str">
        <f>IF(AND($AA94="",AG94=""),"",$AA94-AG94)</f>
        <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v>15</v>
      </c>
      <c r="P98" s="143">
        <v>15</v>
      </c>
      <c r="Q98" s="143"/>
      <c r="R98" s="143"/>
      <c r="S98" s="143"/>
      <c r="T98" s="143"/>
      <c r="U98" s="143"/>
      <c r="V98" s="143"/>
      <c r="W98" s="143"/>
      <c r="X98" s="143"/>
      <c r="Y98" s="143"/>
      <c r="Z98" s="143"/>
      <c r="AA98" s="143">
        <f t="shared" ref="AA98:AA103" si="27">SUM(O98:Z98)</f>
        <v>30</v>
      </c>
      <c r="AB98" s="144">
        <f t="shared" ref="AB98:AB103" si="28">IF(AA98=0,"",IFERROR(AA98/AA$19,""))</f>
        <v>1.4994137292318704E-3</v>
      </c>
      <c r="AC98" s="140"/>
      <c r="AD98" s="143">
        <v>1214.0633</v>
      </c>
      <c r="AE98" s="144">
        <f t="shared" ref="AE98:AE103" si="29">IF(AD98=0,"",IFERROR(AD98/AD$19,""))</f>
        <v>1.3716679471246187E-2</v>
      </c>
      <c r="AF98" s="145">
        <f t="shared" ref="AF98:AF103" si="30">IF(AND($AA98="",AD98=""),"",$AA98-AD98)</f>
        <v>-1184.0633</v>
      </c>
      <c r="AG98" s="143">
        <v>12</v>
      </c>
      <c r="AH98" s="144">
        <f t="shared" ref="AH98:AH103" si="31">IF(AG98=0,"",IFERROR(AG98/AG$19,""))</f>
        <v>1.0796221322537112E-3</v>
      </c>
      <c r="AI98" s="145">
        <f t="shared" ref="AI98:AI103" si="32">IF(AND($AA98="",AG98=""),"",$AA98-AG98)</f>
        <v>18</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v>36</v>
      </c>
      <c r="P99" s="143">
        <v>400</v>
      </c>
      <c r="Q99" s="143">
        <v>351</v>
      </c>
      <c r="R99" s="143"/>
      <c r="S99" s="143"/>
      <c r="T99" s="143"/>
      <c r="U99" s="143"/>
      <c r="V99" s="143"/>
      <c r="W99" s="143"/>
      <c r="X99" s="143"/>
      <c r="Y99" s="143"/>
      <c r="Z99" s="143"/>
      <c r="AA99" s="143">
        <f t="shared" si="27"/>
        <v>787</v>
      </c>
      <c r="AB99" s="144">
        <f t="shared" si="28"/>
        <v>3.9334620163516062E-2</v>
      </c>
      <c r="AC99" s="140"/>
      <c r="AD99" s="143">
        <v>1633.3920000000001</v>
      </c>
      <c r="AE99" s="144">
        <f t="shared" si="29"/>
        <v>1.845432154558807E-2</v>
      </c>
      <c r="AF99" s="145">
        <f t="shared" si="30"/>
        <v>-846.39200000000005</v>
      </c>
      <c r="AG99" s="143">
        <v>174</v>
      </c>
      <c r="AH99" s="144">
        <f t="shared" si="31"/>
        <v>1.5654520917678813E-2</v>
      </c>
      <c r="AI99" s="145">
        <f t="shared" si="32"/>
        <v>613</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v>48</v>
      </c>
      <c r="P100" s="143">
        <v>114</v>
      </c>
      <c r="Q100" s="143"/>
      <c r="R100" s="143"/>
      <c r="S100" s="143"/>
      <c r="T100" s="143"/>
      <c r="U100" s="143"/>
      <c r="V100" s="143"/>
      <c r="W100" s="143"/>
      <c r="X100" s="143"/>
      <c r="Y100" s="143"/>
      <c r="Z100" s="143"/>
      <c r="AA100" s="143">
        <f t="shared" si="27"/>
        <v>162</v>
      </c>
      <c r="AB100" s="144">
        <f t="shared" si="28"/>
        <v>8.0968341378521002E-3</v>
      </c>
      <c r="AC100" s="140"/>
      <c r="AD100" s="143">
        <v>7601.4452000000001</v>
      </c>
      <c r="AE100" s="144">
        <f t="shared" si="29"/>
        <v>8.5882331939893794E-2</v>
      </c>
      <c r="AF100" s="145">
        <f t="shared" si="30"/>
        <v>-7439.4452000000001</v>
      </c>
      <c r="AG100" s="143">
        <v>73</v>
      </c>
      <c r="AH100" s="144">
        <f t="shared" si="31"/>
        <v>6.56770130454341E-3</v>
      </c>
      <c r="AI100" s="145">
        <f t="shared" si="32"/>
        <v>89</v>
      </c>
    </row>
    <row r="101" spans="1:35" x14ac:dyDescent="0.3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43"/>
      <c r="P101" s="143"/>
      <c r="Q101" s="143"/>
      <c r="R101" s="143"/>
      <c r="S101" s="143"/>
      <c r="T101" s="143"/>
      <c r="U101" s="143"/>
      <c r="V101" s="143"/>
      <c r="W101" s="143"/>
      <c r="X101" s="143"/>
      <c r="Y101" s="143"/>
      <c r="Z101" s="143"/>
      <c r="AA101" s="143">
        <f t="shared" si="27"/>
        <v>0</v>
      </c>
      <c r="AB101" s="144" t="str">
        <f t="shared" si="28"/>
        <v/>
      </c>
      <c r="AC101" s="140"/>
      <c r="AD101" s="143"/>
      <c r="AE101" s="144" t="str">
        <f t="shared" si="29"/>
        <v/>
      </c>
      <c r="AF101" s="145">
        <f t="shared" si="30"/>
        <v>0</v>
      </c>
      <c r="AG101" s="143"/>
      <c r="AH101" s="144" t="str">
        <f t="shared" si="31"/>
        <v/>
      </c>
      <c r="AI101" s="145">
        <f t="shared" si="32"/>
        <v>0</v>
      </c>
    </row>
    <row r="102" spans="1:35" x14ac:dyDescent="0.3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43"/>
      <c r="P102" s="143"/>
      <c r="Q102" s="143"/>
      <c r="R102" s="143"/>
      <c r="S102" s="143"/>
      <c r="T102" s="143"/>
      <c r="U102" s="143"/>
      <c r="V102" s="143"/>
      <c r="W102" s="143"/>
      <c r="X102" s="143"/>
      <c r="Y102" s="143"/>
      <c r="Z102" s="143"/>
      <c r="AA102" s="143">
        <f t="shared" si="27"/>
        <v>0</v>
      </c>
      <c r="AB102" s="144" t="str">
        <f t="shared" si="28"/>
        <v/>
      </c>
      <c r="AC102" s="140"/>
      <c r="AD102" s="143"/>
      <c r="AE102" s="144" t="str">
        <f t="shared" si="29"/>
        <v/>
      </c>
      <c r="AF102" s="145">
        <f t="shared" si="30"/>
        <v>0</v>
      </c>
      <c r="AG102" s="143"/>
      <c r="AH102" s="144" t="str">
        <f t="shared" si="31"/>
        <v/>
      </c>
      <c r="AI102" s="145">
        <f t="shared" si="32"/>
        <v>0</v>
      </c>
    </row>
    <row r="103" spans="1:35" x14ac:dyDescent="0.3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6">
        <v>99</v>
      </c>
      <c r="P103" s="166">
        <v>529</v>
      </c>
      <c r="Q103" s="166">
        <v>351</v>
      </c>
      <c r="R103" s="166"/>
      <c r="S103" s="166"/>
      <c r="T103" s="166"/>
      <c r="U103" s="166"/>
      <c r="V103" s="166"/>
      <c r="W103" s="166"/>
      <c r="X103" s="166"/>
      <c r="Y103" s="166"/>
      <c r="Z103" s="166"/>
      <c r="AA103" s="166">
        <f t="shared" si="27"/>
        <v>979</v>
      </c>
      <c r="AB103" s="167">
        <f t="shared" si="28"/>
        <v>4.8930868030600039E-2</v>
      </c>
      <c r="AC103" s="140"/>
      <c r="AD103" s="166">
        <v>10448.9005</v>
      </c>
      <c r="AE103" s="167">
        <f t="shared" si="29"/>
        <v>0.11805333295672805</v>
      </c>
      <c r="AF103" s="168">
        <f t="shared" si="30"/>
        <v>-9469.9004999999997</v>
      </c>
      <c r="AG103" s="166">
        <v>259</v>
      </c>
      <c r="AH103" s="167">
        <f t="shared" si="31"/>
        <v>2.3301844354475933E-2</v>
      </c>
      <c r="AI103" s="168">
        <f t="shared" si="32"/>
        <v>720</v>
      </c>
    </row>
    <row r="104" spans="1:35" x14ac:dyDescent="0.35">
      <c r="A104" s="11"/>
      <c r="B104" s="11"/>
      <c r="C104" s="208"/>
      <c r="D104" s="11"/>
      <c r="E104" s="11"/>
      <c r="F104" s="11"/>
      <c r="G104" s="11"/>
      <c r="H104" s="185"/>
      <c r="I104" s="122"/>
      <c r="J104" s="122"/>
      <c r="K104" s="11"/>
      <c r="L104" s="90"/>
      <c r="M104" s="90"/>
      <c r="N104" s="53"/>
      <c r="O104" s="174"/>
      <c r="P104" s="175"/>
      <c r="Q104" s="175"/>
      <c r="R104" s="175"/>
      <c r="S104" s="175"/>
      <c r="T104" s="175"/>
      <c r="U104" s="175"/>
      <c r="V104" s="175"/>
      <c r="W104" s="175"/>
      <c r="X104" s="175"/>
      <c r="Y104" s="175"/>
      <c r="Z104" s="175"/>
      <c r="AA104" s="175"/>
      <c r="AB104" s="176"/>
      <c r="AC104" s="140"/>
      <c r="AD104" s="174"/>
      <c r="AE104" s="175"/>
      <c r="AF104" s="176"/>
      <c r="AG104" s="174"/>
      <c r="AH104" s="175"/>
      <c r="AI104" s="176"/>
    </row>
    <row r="105" spans="1:35" x14ac:dyDescent="0.35">
      <c r="A105" s="11"/>
      <c r="B105" s="11"/>
      <c r="C105" s="208"/>
      <c r="D105" s="11"/>
      <c r="E105" s="11"/>
      <c r="F105" s="11"/>
      <c r="G105" s="11"/>
      <c r="H105" s="185"/>
      <c r="I105" s="122"/>
      <c r="J105" s="122"/>
      <c r="K105" s="11"/>
      <c r="L105" s="90"/>
      <c r="M105" s="90"/>
      <c r="N105" s="53" t="s">
        <v>339</v>
      </c>
      <c r="O105" s="162"/>
      <c r="P105" s="163"/>
      <c r="Q105" s="163"/>
      <c r="R105" s="163"/>
      <c r="S105" s="163"/>
      <c r="T105" s="163"/>
      <c r="U105" s="163"/>
      <c r="V105" s="163"/>
      <c r="W105" s="163"/>
      <c r="X105" s="163"/>
      <c r="Y105" s="163"/>
      <c r="Z105" s="163"/>
      <c r="AA105" s="163"/>
      <c r="AB105" s="164"/>
      <c r="AC105" s="140"/>
      <c r="AD105" s="162"/>
      <c r="AE105" s="163"/>
      <c r="AF105" s="164"/>
      <c r="AG105" s="162"/>
      <c r="AH105" s="163"/>
      <c r="AI105" s="164"/>
    </row>
    <row r="106" spans="1:35" x14ac:dyDescent="0.3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43"/>
      <c r="P106" s="143"/>
      <c r="Q106" s="143"/>
      <c r="R106" s="143"/>
      <c r="S106" s="143"/>
      <c r="T106" s="143"/>
      <c r="U106" s="143"/>
      <c r="V106" s="143"/>
      <c r="W106" s="143"/>
      <c r="X106" s="143"/>
      <c r="Y106" s="143"/>
      <c r="Z106" s="143"/>
      <c r="AA106" s="143">
        <f t="shared" ref="AA106:AA111" si="33">SUM(O106:Z106)</f>
        <v>0</v>
      </c>
      <c r="AB106" s="144" t="str">
        <f t="shared" ref="AB106:AB111" si="34">IF(AA106=0,"",IFERROR(AA106/AA$19,""))</f>
        <v/>
      </c>
      <c r="AC106" s="140"/>
      <c r="AD106" s="143">
        <v>232.2937</v>
      </c>
      <c r="AE106" s="144">
        <f t="shared" ref="AE106:AE111" si="35">IF(AD106=0,"",IFERROR(AD106/AD$19,""))</f>
        <v>2.6244910179640717E-3</v>
      </c>
      <c r="AF106" s="145">
        <f t="shared" ref="AF106:AF111" si="36">IF(AND($AA106="",AD106=""),"",$AA106-AD106)</f>
        <v>-232.2937</v>
      </c>
      <c r="AG106" s="143"/>
      <c r="AH106" s="144" t="str">
        <f t="shared" ref="AH106:AH111" si="37">IF(AG106=0,"",IFERROR(AG106/AG$19,""))</f>
        <v/>
      </c>
      <c r="AI106" s="145">
        <f t="shared" ref="AI106:AI111" si="38">IF(AND($AA106="",AG106=""),"",$AA106-AG106)</f>
        <v>0</v>
      </c>
    </row>
    <row r="107" spans="1:35" x14ac:dyDescent="0.3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43">
        <v>22</v>
      </c>
      <c r="P107" s="143">
        <v>146</v>
      </c>
      <c r="Q107" s="143">
        <v>49</v>
      </c>
      <c r="R107" s="143"/>
      <c r="S107" s="143"/>
      <c r="T107" s="143"/>
      <c r="U107" s="143"/>
      <c r="V107" s="143"/>
      <c r="W107" s="143"/>
      <c r="X107" s="143"/>
      <c r="Y107" s="143"/>
      <c r="Z107" s="143"/>
      <c r="AA107" s="143">
        <f t="shared" si="33"/>
        <v>217</v>
      </c>
      <c r="AB107" s="144">
        <f t="shared" si="34"/>
        <v>1.0845759308110528E-2</v>
      </c>
      <c r="AC107" s="140"/>
      <c r="AD107" s="143">
        <v>206.56800000000001</v>
      </c>
      <c r="AE107" s="144">
        <f t="shared" si="35"/>
        <v>2.3338379844085417E-3</v>
      </c>
      <c r="AF107" s="145">
        <f t="shared" si="36"/>
        <v>10.431999999999988</v>
      </c>
      <c r="AG107" s="143">
        <v>40</v>
      </c>
      <c r="AH107" s="144">
        <f t="shared" si="37"/>
        <v>3.5987404408457041E-3</v>
      </c>
      <c r="AI107" s="145">
        <f t="shared" si="38"/>
        <v>177</v>
      </c>
    </row>
    <row r="108" spans="1:35" x14ac:dyDescent="0.3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43">
        <v>18</v>
      </c>
      <c r="P108" s="143">
        <v>42</v>
      </c>
      <c r="Q108" s="143">
        <v>49</v>
      </c>
      <c r="R108" s="143"/>
      <c r="S108" s="143"/>
      <c r="T108" s="143"/>
      <c r="U108" s="143"/>
      <c r="V108" s="143"/>
      <c r="W108" s="143"/>
      <c r="X108" s="143"/>
      <c r="Y108" s="143"/>
      <c r="Z108" s="143"/>
      <c r="AA108" s="143">
        <f t="shared" si="33"/>
        <v>109</v>
      </c>
      <c r="AB108" s="144">
        <f t="shared" si="34"/>
        <v>5.4478698828757961E-3</v>
      </c>
      <c r="AC108" s="140"/>
      <c r="AD108" s="143">
        <v>2126.6686</v>
      </c>
      <c r="AE108" s="144">
        <f t="shared" si="35"/>
        <v>2.4027438707490679E-2</v>
      </c>
      <c r="AF108" s="145">
        <f t="shared" si="36"/>
        <v>-2017.6686</v>
      </c>
      <c r="AG108" s="143">
        <v>73</v>
      </c>
      <c r="AH108" s="144">
        <f t="shared" si="37"/>
        <v>6.56770130454341E-3</v>
      </c>
      <c r="AI108" s="145">
        <f t="shared" si="38"/>
        <v>36</v>
      </c>
    </row>
    <row r="109" spans="1:35" x14ac:dyDescent="0.3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43"/>
      <c r="P109" s="143"/>
      <c r="Q109" s="143"/>
      <c r="R109" s="143"/>
      <c r="S109" s="143"/>
      <c r="T109" s="143"/>
      <c r="U109" s="143"/>
      <c r="V109" s="143"/>
      <c r="W109" s="143"/>
      <c r="X109" s="143"/>
      <c r="Y109" s="143"/>
      <c r="Z109" s="143"/>
      <c r="AA109" s="143">
        <f t="shared" si="33"/>
        <v>0</v>
      </c>
      <c r="AB109" s="144" t="str">
        <f t="shared" si="34"/>
        <v/>
      </c>
      <c r="AC109" s="140"/>
      <c r="AD109" s="143"/>
      <c r="AE109" s="144" t="str">
        <f t="shared" si="35"/>
        <v/>
      </c>
      <c r="AF109" s="145">
        <f t="shared" si="36"/>
        <v>0</v>
      </c>
      <c r="AG109" s="143"/>
      <c r="AH109" s="144" t="str">
        <f t="shared" si="37"/>
        <v/>
      </c>
      <c r="AI109" s="145">
        <f t="shared" si="38"/>
        <v>0</v>
      </c>
    </row>
    <row r="110" spans="1:35" x14ac:dyDescent="0.3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43"/>
      <c r="P110" s="143"/>
      <c r="Q110" s="143"/>
      <c r="R110" s="143"/>
      <c r="S110" s="143"/>
      <c r="T110" s="143"/>
      <c r="U110" s="143"/>
      <c r="V110" s="143"/>
      <c r="W110" s="143"/>
      <c r="X110" s="143"/>
      <c r="Y110" s="143"/>
      <c r="Z110" s="143"/>
      <c r="AA110" s="143">
        <f t="shared" si="33"/>
        <v>0</v>
      </c>
      <c r="AB110" s="144" t="str">
        <f t="shared" si="34"/>
        <v/>
      </c>
      <c r="AC110" s="140"/>
      <c r="AD110" s="143"/>
      <c r="AE110" s="144" t="str">
        <f t="shared" si="35"/>
        <v/>
      </c>
      <c r="AF110" s="145">
        <f t="shared" si="36"/>
        <v>0</v>
      </c>
      <c r="AG110" s="143"/>
      <c r="AH110" s="144" t="str">
        <f t="shared" si="37"/>
        <v/>
      </c>
      <c r="AI110" s="145">
        <f t="shared" si="38"/>
        <v>0</v>
      </c>
    </row>
    <row r="111" spans="1:35" x14ac:dyDescent="0.3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6">
        <v>40</v>
      </c>
      <c r="P111" s="166">
        <v>188</v>
      </c>
      <c r="Q111" s="166">
        <v>98</v>
      </c>
      <c r="R111" s="166"/>
      <c r="S111" s="166"/>
      <c r="T111" s="166"/>
      <c r="U111" s="166"/>
      <c r="V111" s="166"/>
      <c r="W111" s="166"/>
      <c r="X111" s="166"/>
      <c r="Y111" s="166"/>
      <c r="Z111" s="166"/>
      <c r="AA111" s="166">
        <f t="shared" si="33"/>
        <v>326</v>
      </c>
      <c r="AB111" s="167">
        <f t="shared" si="34"/>
        <v>1.6293629190986324E-2</v>
      </c>
      <c r="AC111" s="140"/>
      <c r="AD111" s="166">
        <v>2565.5302999999999</v>
      </c>
      <c r="AE111" s="167">
        <f t="shared" si="35"/>
        <v>2.8985767709863292E-2</v>
      </c>
      <c r="AF111" s="168">
        <f t="shared" si="36"/>
        <v>-2239.5302999999999</v>
      </c>
      <c r="AG111" s="166">
        <v>113</v>
      </c>
      <c r="AH111" s="167">
        <f t="shared" si="37"/>
        <v>1.0166441745389113E-2</v>
      </c>
      <c r="AI111" s="168">
        <f t="shared" si="38"/>
        <v>213</v>
      </c>
    </row>
    <row r="112" spans="1:35" x14ac:dyDescent="0.35">
      <c r="A112" s="11"/>
      <c r="B112" s="11"/>
      <c r="C112" s="208"/>
      <c r="D112" s="11"/>
      <c r="E112" s="11"/>
      <c r="F112" s="11"/>
      <c r="G112" s="11"/>
      <c r="H112" s="185"/>
      <c r="I112" s="122"/>
      <c r="J112" s="122"/>
      <c r="K112" s="11"/>
      <c r="L112" s="90"/>
      <c r="M112" s="90"/>
      <c r="N112" s="53"/>
      <c r="O112" s="174"/>
      <c r="P112" s="175"/>
      <c r="Q112" s="175"/>
      <c r="R112" s="175"/>
      <c r="S112" s="175"/>
      <c r="T112" s="175"/>
      <c r="U112" s="175"/>
      <c r="V112" s="175"/>
      <c r="W112" s="175"/>
      <c r="X112" s="175"/>
      <c r="Y112" s="175"/>
      <c r="Z112" s="175"/>
      <c r="AA112" s="175"/>
      <c r="AB112" s="176"/>
      <c r="AC112" s="140"/>
      <c r="AD112" s="174"/>
      <c r="AE112" s="175"/>
      <c r="AF112" s="176"/>
      <c r="AG112" s="174"/>
      <c r="AH112" s="175"/>
      <c r="AI112" s="176"/>
    </row>
    <row r="113" spans="1:35" x14ac:dyDescent="0.35">
      <c r="A113" s="11"/>
      <c r="B113" s="11"/>
      <c r="C113" s="208"/>
      <c r="D113" s="11"/>
      <c r="E113" s="11"/>
      <c r="F113" s="11"/>
      <c r="G113" s="11"/>
      <c r="H113" s="185"/>
      <c r="I113" s="122"/>
      <c r="J113" s="122"/>
      <c r="K113" s="11"/>
      <c r="L113" s="90"/>
      <c r="M113" s="90"/>
      <c r="N113" s="53" t="s">
        <v>338</v>
      </c>
      <c r="O113" s="162"/>
      <c r="P113" s="163"/>
      <c r="Q113" s="163"/>
      <c r="R113" s="163"/>
      <c r="S113" s="163"/>
      <c r="T113" s="163"/>
      <c r="U113" s="163"/>
      <c r="V113" s="163"/>
      <c r="W113" s="163"/>
      <c r="X113" s="163"/>
      <c r="Y113" s="163"/>
      <c r="Z113" s="163"/>
      <c r="AA113" s="163"/>
      <c r="AB113" s="164"/>
      <c r="AC113" s="140"/>
      <c r="AD113" s="162"/>
      <c r="AE113" s="163"/>
      <c r="AF113" s="164"/>
      <c r="AG113" s="162"/>
      <c r="AH113" s="163"/>
      <c r="AI113" s="164"/>
    </row>
    <row r="114" spans="1:35" x14ac:dyDescent="0.3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43"/>
      <c r="P114" s="143">
        <v>45</v>
      </c>
      <c r="Q114" s="143">
        <v>20</v>
      </c>
      <c r="R114" s="143"/>
      <c r="S114" s="143"/>
      <c r="T114" s="143"/>
      <c r="U114" s="143"/>
      <c r="V114" s="143"/>
      <c r="W114" s="143"/>
      <c r="X114" s="143"/>
      <c r="Y114" s="143"/>
      <c r="Z114" s="143"/>
      <c r="AA114" s="143">
        <f t="shared" ref="AA114:AA119" si="39">SUM(O114:Z114)</f>
        <v>65</v>
      </c>
      <c r="AB114" s="144">
        <f t="shared" ref="AB114:AB119" si="40">IF(AA114=0,"",IFERROR(AA114/AA$19,""))</f>
        <v>3.2487297466690527E-3</v>
      </c>
      <c r="AC114" s="140"/>
      <c r="AD114" s="143">
        <v>2629.74</v>
      </c>
      <c r="AE114" s="144">
        <f t="shared" ref="AE114:AE119" si="41">IF(AD114=0,"",IFERROR(AD114/AD$19,""))</f>
        <v>2.9711219071291376E-2</v>
      </c>
      <c r="AF114" s="145">
        <f t="shared" ref="AF114:AF119" si="42">IF(AND($AA114="",AD114=""),"",$AA114-AD114)</f>
        <v>-2564.7399999999998</v>
      </c>
      <c r="AG114" s="143">
        <v>32</v>
      </c>
      <c r="AH114" s="144">
        <f t="shared" ref="AH114:AH119" si="43">IF(AG114=0,"",IFERROR(AG114/AG$19,""))</f>
        <v>2.8789923526765632E-3</v>
      </c>
      <c r="AI114" s="145">
        <f t="shared" ref="AI114:AI119" si="44">IF(AND($AA114="",AG114=""),"",$AA114-AG114)</f>
        <v>33</v>
      </c>
    </row>
    <row r="115" spans="1:35" x14ac:dyDescent="0.3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43">
        <v>155</v>
      </c>
      <c r="P115" s="143">
        <v>302</v>
      </c>
      <c r="Q115" s="143">
        <v>176</v>
      </c>
      <c r="R115" s="143"/>
      <c r="S115" s="143"/>
      <c r="T115" s="143"/>
      <c r="U115" s="143"/>
      <c r="V115" s="143"/>
      <c r="W115" s="143"/>
      <c r="X115" s="143"/>
      <c r="Y115" s="143"/>
      <c r="Z115" s="143"/>
      <c r="AA115" s="143">
        <f t="shared" si="39"/>
        <v>633</v>
      </c>
      <c r="AB115" s="144">
        <f t="shared" si="40"/>
        <v>3.1637629686792464E-2</v>
      </c>
      <c r="AC115" s="140"/>
      <c r="AD115" s="143">
        <v>3945.3119999999999</v>
      </c>
      <c r="AE115" s="144">
        <f t="shared" si="41"/>
        <v>4.4574759914133996E-2</v>
      </c>
      <c r="AF115" s="145">
        <f t="shared" si="42"/>
        <v>-3312.3119999999999</v>
      </c>
      <c r="AG115" s="143">
        <v>74</v>
      </c>
      <c r="AH115" s="144">
        <f t="shared" si="43"/>
        <v>6.6576698155645523E-3</v>
      </c>
      <c r="AI115" s="145">
        <f t="shared" si="44"/>
        <v>559</v>
      </c>
    </row>
    <row r="116" spans="1:35" x14ac:dyDescent="0.3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43">
        <v>240</v>
      </c>
      <c r="P116" s="143">
        <v>535</v>
      </c>
      <c r="Q116" s="143">
        <v>132</v>
      </c>
      <c r="R116" s="143"/>
      <c r="S116" s="143"/>
      <c r="T116" s="143"/>
      <c r="U116" s="143"/>
      <c r="V116" s="143"/>
      <c r="W116" s="143"/>
      <c r="X116" s="143"/>
      <c r="Y116" s="143"/>
      <c r="Z116" s="143"/>
      <c r="AA116" s="143">
        <f t="shared" si="39"/>
        <v>907</v>
      </c>
      <c r="AB116" s="144">
        <f t="shared" si="40"/>
        <v>4.5332275080443546E-2</v>
      </c>
      <c r="AC116" s="140"/>
      <c r="AD116" s="143">
        <v>3596.116</v>
      </c>
      <c r="AE116" s="144">
        <f t="shared" si="41"/>
        <v>4.0629488193424469E-2</v>
      </c>
      <c r="AF116" s="145">
        <f t="shared" si="42"/>
        <v>-2689.116</v>
      </c>
      <c r="AG116" s="143">
        <v>450</v>
      </c>
      <c r="AH116" s="144">
        <f t="shared" si="43"/>
        <v>4.048582995951417E-2</v>
      </c>
      <c r="AI116" s="145">
        <f t="shared" si="44"/>
        <v>457</v>
      </c>
    </row>
    <row r="117" spans="1:35" x14ac:dyDescent="0.3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43"/>
      <c r="P117" s="143"/>
      <c r="Q117" s="143"/>
      <c r="R117" s="143"/>
      <c r="S117" s="143"/>
      <c r="T117" s="143"/>
      <c r="U117" s="143"/>
      <c r="V117" s="143"/>
      <c r="W117" s="143"/>
      <c r="X117" s="143"/>
      <c r="Y117" s="143"/>
      <c r="Z117" s="143"/>
      <c r="AA117" s="143">
        <f t="shared" si="39"/>
        <v>0</v>
      </c>
      <c r="AB117" s="144" t="str">
        <f t="shared" si="40"/>
        <v/>
      </c>
      <c r="AC117" s="140"/>
      <c r="AD117" s="143"/>
      <c r="AE117" s="144" t="str">
        <f t="shared" si="41"/>
        <v/>
      </c>
      <c r="AF117" s="145">
        <f t="shared" si="42"/>
        <v>0</v>
      </c>
      <c r="AG117" s="143"/>
      <c r="AH117" s="144" t="str">
        <f t="shared" si="43"/>
        <v/>
      </c>
      <c r="AI117" s="145">
        <f t="shared" si="44"/>
        <v>0</v>
      </c>
    </row>
    <row r="118" spans="1:35" x14ac:dyDescent="0.3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43"/>
      <c r="P118" s="143"/>
      <c r="Q118" s="143"/>
      <c r="R118" s="143"/>
      <c r="S118" s="143"/>
      <c r="T118" s="143"/>
      <c r="U118" s="143"/>
      <c r="V118" s="143"/>
      <c r="W118" s="143"/>
      <c r="X118" s="143"/>
      <c r="Y118" s="143"/>
      <c r="Z118" s="143"/>
      <c r="AA118" s="143">
        <f t="shared" si="39"/>
        <v>0</v>
      </c>
      <c r="AB118" s="144" t="str">
        <f t="shared" si="40"/>
        <v/>
      </c>
      <c r="AC118" s="140"/>
      <c r="AD118" s="143"/>
      <c r="AE118" s="144" t="str">
        <f t="shared" si="41"/>
        <v/>
      </c>
      <c r="AF118" s="145">
        <f t="shared" si="42"/>
        <v>0</v>
      </c>
      <c r="AG118" s="143"/>
      <c r="AH118" s="144" t="str">
        <f t="shared" si="43"/>
        <v/>
      </c>
      <c r="AI118" s="145">
        <f t="shared" si="44"/>
        <v>0</v>
      </c>
    </row>
    <row r="119" spans="1:35" x14ac:dyDescent="0.3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6">
        <v>395</v>
      </c>
      <c r="P119" s="166">
        <v>882</v>
      </c>
      <c r="Q119" s="166">
        <v>328</v>
      </c>
      <c r="R119" s="166"/>
      <c r="S119" s="166"/>
      <c r="T119" s="166"/>
      <c r="U119" s="166"/>
      <c r="V119" s="166"/>
      <c r="W119" s="166"/>
      <c r="X119" s="166"/>
      <c r="Y119" s="166"/>
      <c r="Z119" s="166"/>
      <c r="AA119" s="166">
        <f t="shared" si="39"/>
        <v>1605</v>
      </c>
      <c r="AB119" s="167">
        <f t="shared" si="40"/>
        <v>8.0218634513905068E-2</v>
      </c>
      <c r="AC119" s="140"/>
      <c r="AD119" s="166">
        <v>10171.168</v>
      </c>
      <c r="AE119" s="167">
        <f t="shared" si="41"/>
        <v>0.11491546717884984</v>
      </c>
      <c r="AF119" s="168">
        <f t="shared" si="42"/>
        <v>-8566.1679999999997</v>
      </c>
      <c r="AG119" s="166">
        <v>556</v>
      </c>
      <c r="AH119" s="167">
        <f t="shared" si="43"/>
        <v>5.0022492127755287E-2</v>
      </c>
      <c r="AI119" s="168">
        <f t="shared" si="44"/>
        <v>1049</v>
      </c>
    </row>
    <row r="120" spans="1:35" x14ac:dyDescent="0.35">
      <c r="A120" s="11"/>
      <c r="B120" s="11"/>
      <c r="C120" s="208"/>
      <c r="D120" s="11"/>
      <c r="E120" s="11"/>
      <c r="F120" s="11"/>
      <c r="G120" s="11"/>
      <c r="H120" s="185"/>
      <c r="I120" s="122"/>
      <c r="J120" s="122"/>
      <c r="K120" s="11"/>
      <c r="L120" s="90"/>
      <c r="M120" s="90"/>
      <c r="N120" s="11"/>
      <c r="O120" s="174"/>
      <c r="P120" s="175"/>
      <c r="Q120" s="175"/>
      <c r="R120" s="175"/>
      <c r="S120" s="175"/>
      <c r="T120" s="175"/>
      <c r="U120" s="175"/>
      <c r="V120" s="175"/>
      <c r="W120" s="175"/>
      <c r="X120" s="175"/>
      <c r="Y120" s="175"/>
      <c r="Z120" s="175"/>
      <c r="AA120" s="175"/>
      <c r="AB120" s="176"/>
      <c r="AC120" s="140"/>
      <c r="AD120" s="174"/>
      <c r="AE120" s="175"/>
      <c r="AF120" s="176"/>
      <c r="AG120" s="174"/>
      <c r="AH120" s="175"/>
      <c r="AI120" s="176"/>
    </row>
    <row r="121" spans="1:35" x14ac:dyDescent="0.3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43">
        <f t="shared" ref="O121:Z121" si="45">O98+O106+O114</f>
        <v>15</v>
      </c>
      <c r="P121" s="143">
        <f t="shared" si="45"/>
        <v>60</v>
      </c>
      <c r="Q121" s="143">
        <f t="shared" si="45"/>
        <v>20</v>
      </c>
      <c r="R121" s="143">
        <f t="shared" si="45"/>
        <v>0</v>
      </c>
      <c r="S121" s="143">
        <f t="shared" si="45"/>
        <v>0</v>
      </c>
      <c r="T121" s="143">
        <f t="shared" si="45"/>
        <v>0</v>
      </c>
      <c r="U121" s="143">
        <f t="shared" si="45"/>
        <v>0</v>
      </c>
      <c r="V121" s="143">
        <f t="shared" si="45"/>
        <v>0</v>
      </c>
      <c r="W121" s="143">
        <f t="shared" si="45"/>
        <v>0</v>
      </c>
      <c r="X121" s="143">
        <f t="shared" si="45"/>
        <v>0</v>
      </c>
      <c r="Y121" s="143">
        <f t="shared" si="45"/>
        <v>0</v>
      </c>
      <c r="Z121" s="143">
        <f t="shared" si="45"/>
        <v>0</v>
      </c>
      <c r="AA121" s="143">
        <f t="shared" ref="AA121:AA126" si="46">SUM(O121:Z121)</f>
        <v>95</v>
      </c>
      <c r="AB121" s="144">
        <f t="shared" ref="AB121:AB126" si="47">IF(AA121=0,"",IFERROR(AA121/AA$19,""))</f>
        <v>4.7481434759009226E-3</v>
      </c>
      <c r="AC121" s="140"/>
      <c r="AD121" s="143">
        <f>AD98+AD106+AD114</f>
        <v>4076.0969999999998</v>
      </c>
      <c r="AE121" s="144">
        <f t="shared" ref="AE121:AE126" si="48">IF(AD121=0,"",IFERROR(AD121/AD$19,""))</f>
        <v>4.6052389560501637E-2</v>
      </c>
      <c r="AF121" s="145">
        <f t="shared" ref="AF121:AF126" si="49">IF(AND($AA121="",AD121=""),"",$AA121-AD121)</f>
        <v>-3981.0969999999998</v>
      </c>
      <c r="AG121" s="143">
        <f>AG98+AG106+AG114</f>
        <v>44</v>
      </c>
      <c r="AH121" s="144">
        <f t="shared" ref="AH121:AH126" si="50">IF(AG121=0,"",IFERROR(AG121/AG$19,""))</f>
        <v>3.9586144849302748E-3</v>
      </c>
      <c r="AI121" s="145">
        <f t="shared" ref="AI121:AI126" si="51">IF(AND($AA121="",AG121=""),"",$AA121-AG121)</f>
        <v>51</v>
      </c>
    </row>
    <row r="122" spans="1:35" x14ac:dyDescent="0.3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43">
        <f t="shared" ref="O122:Z122" si="52">O99+O107+O115</f>
        <v>213</v>
      </c>
      <c r="P122" s="143">
        <f t="shared" si="52"/>
        <v>848</v>
      </c>
      <c r="Q122" s="143">
        <f t="shared" si="52"/>
        <v>576</v>
      </c>
      <c r="R122" s="143">
        <f t="shared" si="52"/>
        <v>0</v>
      </c>
      <c r="S122" s="143">
        <f t="shared" si="52"/>
        <v>0</v>
      </c>
      <c r="T122" s="143">
        <f t="shared" si="52"/>
        <v>0</v>
      </c>
      <c r="U122" s="143">
        <f t="shared" si="52"/>
        <v>0</v>
      </c>
      <c r="V122" s="143">
        <f t="shared" si="52"/>
        <v>0</v>
      </c>
      <c r="W122" s="143">
        <f t="shared" si="52"/>
        <v>0</v>
      </c>
      <c r="X122" s="143">
        <f t="shared" si="52"/>
        <v>0</v>
      </c>
      <c r="Y122" s="143">
        <f t="shared" si="52"/>
        <v>0</v>
      </c>
      <c r="Z122" s="143">
        <f t="shared" si="52"/>
        <v>0</v>
      </c>
      <c r="AA122" s="143">
        <f t="shared" si="46"/>
        <v>1637</v>
      </c>
      <c r="AB122" s="144">
        <f t="shared" si="47"/>
        <v>8.1818009158419053E-2</v>
      </c>
      <c r="AC122" s="140"/>
      <c r="AD122" s="143">
        <f>AD99+AD107+AD115</f>
        <v>5785.2719999999999</v>
      </c>
      <c r="AE122" s="144">
        <f t="shared" si="48"/>
        <v>6.5362919444130613E-2</v>
      </c>
      <c r="AF122" s="145">
        <f t="shared" si="49"/>
        <v>-4148.2719999999999</v>
      </c>
      <c r="AG122" s="143">
        <f>AG99+AG107+AG115</f>
        <v>288</v>
      </c>
      <c r="AH122" s="144">
        <f t="shared" si="50"/>
        <v>2.5910931174089068E-2</v>
      </c>
      <c r="AI122" s="145">
        <f t="shared" si="51"/>
        <v>1349</v>
      </c>
    </row>
    <row r="123" spans="1:35" x14ac:dyDescent="0.3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43">
        <f t="shared" ref="O123:Z123" si="53">O100+O108+O116</f>
        <v>306</v>
      </c>
      <c r="P123" s="143">
        <f t="shared" si="53"/>
        <v>691</v>
      </c>
      <c r="Q123" s="143">
        <f t="shared" si="53"/>
        <v>181</v>
      </c>
      <c r="R123" s="143">
        <f t="shared" si="53"/>
        <v>0</v>
      </c>
      <c r="S123" s="143">
        <f t="shared" si="53"/>
        <v>0</v>
      </c>
      <c r="T123" s="143">
        <f t="shared" si="53"/>
        <v>0</v>
      </c>
      <c r="U123" s="143">
        <f t="shared" si="53"/>
        <v>0</v>
      </c>
      <c r="V123" s="143">
        <f t="shared" si="53"/>
        <v>0</v>
      </c>
      <c r="W123" s="143">
        <f t="shared" si="53"/>
        <v>0</v>
      </c>
      <c r="X123" s="143">
        <f t="shared" si="53"/>
        <v>0</v>
      </c>
      <c r="Y123" s="143">
        <f t="shared" si="53"/>
        <v>0</v>
      </c>
      <c r="Z123" s="143">
        <f t="shared" si="53"/>
        <v>0</v>
      </c>
      <c r="AA123" s="143">
        <f t="shared" si="46"/>
        <v>1178</v>
      </c>
      <c r="AB123" s="144">
        <f t="shared" si="47"/>
        <v>5.8876979101171442E-2</v>
      </c>
      <c r="AC123" s="140"/>
      <c r="AD123" s="143">
        <f>AD100+AD108+AD116</f>
        <v>13324.229799999999</v>
      </c>
      <c r="AE123" s="144">
        <f t="shared" si="48"/>
        <v>0.15053925884080893</v>
      </c>
      <c r="AF123" s="145">
        <f t="shared" si="49"/>
        <v>-12146.229799999999</v>
      </c>
      <c r="AG123" s="143">
        <f>AG100+AG108+AG116</f>
        <v>596</v>
      </c>
      <c r="AH123" s="144">
        <f t="shared" si="50"/>
        <v>5.3621232568600991E-2</v>
      </c>
      <c r="AI123" s="145">
        <f t="shared" si="51"/>
        <v>582</v>
      </c>
    </row>
    <row r="124" spans="1:35" x14ac:dyDescent="0.3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43">
        <f t="shared" ref="O124:Z124" si="54">O101+O109+O117</f>
        <v>0</v>
      </c>
      <c r="P124" s="143">
        <f t="shared" si="54"/>
        <v>0</v>
      </c>
      <c r="Q124" s="143">
        <f t="shared" si="54"/>
        <v>0</v>
      </c>
      <c r="R124" s="143">
        <f t="shared" si="54"/>
        <v>0</v>
      </c>
      <c r="S124" s="143">
        <f t="shared" si="54"/>
        <v>0</v>
      </c>
      <c r="T124" s="143">
        <f t="shared" si="54"/>
        <v>0</v>
      </c>
      <c r="U124" s="143">
        <f t="shared" si="54"/>
        <v>0</v>
      </c>
      <c r="V124" s="143">
        <f t="shared" si="54"/>
        <v>0</v>
      </c>
      <c r="W124" s="143">
        <f t="shared" si="54"/>
        <v>0</v>
      </c>
      <c r="X124" s="143">
        <f t="shared" si="54"/>
        <v>0</v>
      </c>
      <c r="Y124" s="143">
        <f t="shared" si="54"/>
        <v>0</v>
      </c>
      <c r="Z124" s="143">
        <f t="shared" si="54"/>
        <v>0</v>
      </c>
      <c r="AA124" s="143">
        <f t="shared" si="46"/>
        <v>0</v>
      </c>
      <c r="AB124" s="144" t="str">
        <f t="shared" si="47"/>
        <v/>
      </c>
      <c r="AC124" s="140"/>
      <c r="AD124" s="143">
        <f>AD101+AD109+AD117</f>
        <v>0</v>
      </c>
      <c r="AE124" s="144" t="str">
        <f t="shared" si="48"/>
        <v/>
      </c>
      <c r="AF124" s="145">
        <f t="shared" si="49"/>
        <v>0</v>
      </c>
      <c r="AG124" s="143">
        <f>AG101+AG109+AG117</f>
        <v>0</v>
      </c>
      <c r="AH124" s="144" t="str">
        <f t="shared" si="50"/>
        <v/>
      </c>
      <c r="AI124" s="145">
        <f t="shared" si="51"/>
        <v>0</v>
      </c>
    </row>
    <row r="125" spans="1:35" x14ac:dyDescent="0.3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43">
        <f t="shared" ref="O125:Z125" si="55">O102+O110+O118</f>
        <v>0</v>
      </c>
      <c r="P125" s="143">
        <f t="shared" si="55"/>
        <v>0</v>
      </c>
      <c r="Q125" s="143">
        <f t="shared" si="55"/>
        <v>0</v>
      </c>
      <c r="R125" s="143">
        <f t="shared" si="55"/>
        <v>0</v>
      </c>
      <c r="S125" s="143">
        <f t="shared" si="55"/>
        <v>0</v>
      </c>
      <c r="T125" s="143">
        <f t="shared" si="55"/>
        <v>0</v>
      </c>
      <c r="U125" s="143">
        <f t="shared" si="55"/>
        <v>0</v>
      </c>
      <c r="V125" s="143">
        <f t="shared" si="55"/>
        <v>0</v>
      </c>
      <c r="W125" s="143">
        <f t="shared" si="55"/>
        <v>0</v>
      </c>
      <c r="X125" s="143">
        <f t="shared" si="55"/>
        <v>0</v>
      </c>
      <c r="Y125" s="143">
        <f t="shared" si="55"/>
        <v>0</v>
      </c>
      <c r="Z125" s="143">
        <f t="shared" si="55"/>
        <v>0</v>
      </c>
      <c r="AA125" s="143">
        <f t="shared" si="46"/>
        <v>0</v>
      </c>
      <c r="AB125" s="144" t="str">
        <f t="shared" si="47"/>
        <v/>
      </c>
      <c r="AC125" s="140"/>
      <c r="AD125" s="143">
        <f>AD102+AD110+AD118</f>
        <v>0</v>
      </c>
      <c r="AE125" s="144" t="str">
        <f t="shared" si="48"/>
        <v/>
      </c>
      <c r="AF125" s="145">
        <f t="shared" si="49"/>
        <v>0</v>
      </c>
      <c r="AG125" s="143">
        <f>AG102+AG110+AG118</f>
        <v>0</v>
      </c>
      <c r="AH125" s="144" t="str">
        <f t="shared" si="50"/>
        <v/>
      </c>
      <c r="AI125" s="145">
        <f t="shared" si="51"/>
        <v>0</v>
      </c>
    </row>
    <row r="126" spans="1:35" x14ac:dyDescent="0.3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6">
        <f t="shared" ref="O126:Z126" si="56">SUM(O121:O125)</f>
        <v>534</v>
      </c>
      <c r="P126" s="166">
        <f t="shared" si="56"/>
        <v>1599</v>
      </c>
      <c r="Q126" s="166">
        <f t="shared" si="56"/>
        <v>777</v>
      </c>
      <c r="R126" s="166">
        <f t="shared" si="56"/>
        <v>0</v>
      </c>
      <c r="S126" s="166">
        <f t="shared" si="56"/>
        <v>0</v>
      </c>
      <c r="T126" s="166">
        <f t="shared" si="56"/>
        <v>0</v>
      </c>
      <c r="U126" s="166">
        <f t="shared" si="56"/>
        <v>0</v>
      </c>
      <c r="V126" s="166">
        <f t="shared" si="56"/>
        <v>0</v>
      </c>
      <c r="W126" s="166">
        <f t="shared" si="56"/>
        <v>0</v>
      </c>
      <c r="X126" s="166">
        <f t="shared" si="56"/>
        <v>0</v>
      </c>
      <c r="Y126" s="166">
        <f t="shared" si="56"/>
        <v>0</v>
      </c>
      <c r="Z126" s="166">
        <f t="shared" si="56"/>
        <v>0</v>
      </c>
      <c r="AA126" s="166">
        <f t="shared" si="46"/>
        <v>2910</v>
      </c>
      <c r="AB126" s="167">
        <f t="shared" si="47"/>
        <v>0.14544313173549142</v>
      </c>
      <c r="AC126" s="140"/>
      <c r="AD126" s="166">
        <f>SUM(AD121:AD125)</f>
        <v>23185.5988</v>
      </c>
      <c r="AE126" s="167">
        <f t="shared" si="48"/>
        <v>0.26195456784544119</v>
      </c>
      <c r="AF126" s="168">
        <f t="shared" si="49"/>
        <v>-20275.5988</v>
      </c>
      <c r="AG126" s="166">
        <f>SUM(AG121:AG125)</f>
        <v>928</v>
      </c>
      <c r="AH126" s="167">
        <f t="shared" si="50"/>
        <v>8.3490778227620327E-2</v>
      </c>
      <c r="AI126" s="168">
        <f t="shared" si="51"/>
        <v>1982</v>
      </c>
    </row>
    <row r="127" spans="1:35" x14ac:dyDescent="0.35">
      <c r="A127" s="11"/>
      <c r="B127" s="11"/>
      <c r="C127" s="208"/>
      <c r="D127" s="11"/>
      <c r="E127" s="11"/>
      <c r="F127" s="11"/>
      <c r="G127" s="11"/>
      <c r="H127" s="185"/>
      <c r="I127" s="122"/>
      <c r="J127" s="122"/>
      <c r="K127" s="11"/>
      <c r="L127" s="11"/>
      <c r="M127" s="90"/>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4"/>
      <c r="AC127" s="140"/>
      <c r="AD127" s="511">
        <f>AD103+AD111+AD119-AD126</f>
        <v>0</v>
      </c>
      <c r="AE127" s="144"/>
      <c r="AF127" s="143"/>
      <c r="AG127" s="511">
        <f>AG103+AG111+AG119-AG126</f>
        <v>0</v>
      </c>
      <c r="AH127" s="144"/>
      <c r="AI127" s="143"/>
    </row>
    <row r="128" spans="1:35" x14ac:dyDescent="0.35">
      <c r="A128" s="11"/>
      <c r="B128" s="11"/>
      <c r="C128" s="208"/>
      <c r="D128" s="11"/>
      <c r="E128" s="11"/>
      <c r="F128" s="11"/>
      <c r="G128" s="11"/>
      <c r="H128" s="185"/>
      <c r="I128" s="122"/>
      <c r="J128" s="122"/>
      <c r="K128" s="11"/>
      <c r="L128" s="11"/>
      <c r="M128" s="11"/>
      <c r="N128" s="11"/>
      <c r="O128" s="174"/>
      <c r="P128" s="175"/>
      <c r="Q128" s="175"/>
      <c r="R128" s="175"/>
      <c r="S128" s="175"/>
      <c r="T128" s="175"/>
      <c r="U128" s="175"/>
      <c r="V128" s="175"/>
      <c r="W128" s="175"/>
      <c r="X128" s="175"/>
      <c r="Y128" s="175"/>
      <c r="Z128" s="175"/>
      <c r="AA128" s="175"/>
      <c r="AB128" s="176"/>
      <c r="AC128" s="140"/>
      <c r="AD128" s="174"/>
      <c r="AE128" s="175"/>
      <c r="AF128" s="176"/>
      <c r="AG128" s="174"/>
      <c r="AH128" s="175"/>
      <c r="AI128" s="176"/>
    </row>
    <row r="129" spans="1:35" ht="15.5" x14ac:dyDescent="0.3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3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43">
        <v>1923.57</v>
      </c>
      <c r="P130" s="143">
        <v>2122.8000000000002</v>
      </c>
      <c r="Q130" s="143">
        <v>976.21</v>
      </c>
      <c r="R130" s="143"/>
      <c r="S130" s="143"/>
      <c r="T130" s="143"/>
      <c r="U130" s="143"/>
      <c r="V130" s="143"/>
      <c r="W130" s="143"/>
      <c r="X130" s="143"/>
      <c r="Y130" s="143"/>
      <c r="Z130" s="143"/>
      <c r="AA130" s="143">
        <f>SUM(O130:Z130)</f>
        <v>5022.58</v>
      </c>
      <c r="AB130" s="436">
        <f>IF(_epmOfflineCondition_,0.290219372881895,IF(AA130=0,"",IFERROR(AA130/_xll.EVGTS($B$1,1,_xll.EVPRO($B$1,$H130,"COSBASIS"),$B$3,$B$5,$B$6,$B$7,$B$9,AA$16,AA$17,AA$11),"")))</f>
        <v>0.29021937288189498</v>
      </c>
      <c r="AC130" s="140"/>
      <c r="AD130" s="143">
        <v>18944.07</v>
      </c>
      <c r="AE130" s="436">
        <f>IF(_epmOfflineCondition_,0.289999902823449,IF(AD130=0,"",IFERROR(AD130/_xll.EVGTS($B$1,1,_xll.EVPRO($B$1,$H130,"COSBASIS"),$B$3,$B$5,$B$6,$B$7,$B$9,AD$16,AD$17,AD$18),"")))</f>
        <v>0.28999990282344901</v>
      </c>
      <c r="AF130" s="145">
        <f t="shared" ref="AF130:AF141" si="58">IF(AND($AA130="",AD130=""),"",$AA130-AD130)</f>
        <v>-13921.49</v>
      </c>
      <c r="AG130" s="143">
        <v>2954.23</v>
      </c>
      <c r="AH130" s="436">
        <f>IF(_epmOfflineCondition_,0.29,IF(AG130=0,"",IFERROR(AG130/_xll.EVGTS($B$1,1,_xll.EVPRO($B$1,$H130,"COSBASIS"),$B$3,$B$5,$B$6,$B$7,$B$9,AG$16,AG$17,AG$18),"")))</f>
        <v>0.28999999999999998</v>
      </c>
      <c r="AI130" s="145">
        <f t="shared" ref="AI130:AI141" si="59">IF(AND($AA130="",AG130=""),"",$AA130-AG130)</f>
        <v>2068.35</v>
      </c>
    </row>
    <row r="131" spans="1:35" x14ac:dyDescent="0.3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0.29000437214491398</v>
      </c>
      <c r="P131" s="508">
        <v>0.29000990470985999</v>
      </c>
      <c r="Q131" s="508">
        <v>0.29110183390487598</v>
      </c>
      <c r="R131" s="508"/>
      <c r="S131" s="508"/>
      <c r="T131" s="508"/>
      <c r="U131" s="508"/>
      <c r="V131" s="508"/>
      <c r="W131" s="508"/>
      <c r="X131" s="508"/>
      <c r="Y131" s="508"/>
      <c r="Z131" s="508"/>
      <c r="AA131" s="508">
        <v>0.29021937288189498</v>
      </c>
      <c r="AB131" s="436"/>
      <c r="AC131" s="140"/>
      <c r="AD131" s="508">
        <v>0.28999990282344901</v>
      </c>
      <c r="AE131" s="436"/>
      <c r="AF131" s="521">
        <f t="shared" si="58"/>
        <v>2.1947005844596967E-4</v>
      </c>
      <c r="AG131" s="508">
        <v>0.28999999999999998</v>
      </c>
      <c r="AH131" s="436"/>
      <c r="AI131" s="521">
        <f t="shared" si="59"/>
        <v>2.1937288189499693E-4</v>
      </c>
    </row>
    <row r="132" spans="1:35" x14ac:dyDescent="0.3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43">
        <v>122.41</v>
      </c>
      <c r="P132" s="143">
        <v>353.55</v>
      </c>
      <c r="Q132" s="143">
        <v>166.97</v>
      </c>
      <c r="R132" s="143"/>
      <c r="S132" s="143"/>
      <c r="T132" s="143"/>
      <c r="U132" s="143"/>
      <c r="V132" s="143"/>
      <c r="W132" s="143"/>
      <c r="X132" s="143"/>
      <c r="Y132" s="143"/>
      <c r="Z132" s="143"/>
      <c r="AA132" s="143">
        <f>SUM(O132:Z132)</f>
        <v>642.93000000000006</v>
      </c>
      <c r="AB132" s="436">
        <f>IF(_epmOfflineCondition_,0.220938144329897,IF(AA132=0,"",IFERROR(AA132/_xll.EVGTS($B$1,1,_xll.EVPRO($B$1,$H132,"COSBASIS"),$B$3,$B$5,$B$6,$B$7,$B$9,AA$16,AA$17,AA$11),"")))</f>
        <v>0.220938144329897</v>
      </c>
      <c r="AC132" s="140"/>
      <c r="AD132" s="143">
        <v>4990.79</v>
      </c>
      <c r="AE132" s="436">
        <f>IF(_epmOfflineCondition_,0.215253875608337,IF(AD132=0,"",IFERROR(AD132/_xll.EVGTS($B$1,1,_xll.EVPRO($B$1,$H132,"COSBASIS"),$B$3,$B$5,$B$6,$B$7,$B$9,AD$16,AD$17,AD$18),"")))</f>
        <v>0.215253875608337</v>
      </c>
      <c r="AF132" s="145">
        <f t="shared" si="58"/>
        <v>-4347.8599999999997</v>
      </c>
      <c r="AG132" s="143">
        <v>207.51</v>
      </c>
      <c r="AH132" s="436">
        <f>IF(_epmOfflineCondition_,0.223609913793103,IF(AG132=0,"",IFERROR(AG132/_xll.EVGTS($B$1,1,_xll.EVPRO($B$1,$H132,"COSBASIS"),$B$3,$B$5,$B$6,$B$7,$B$9,AG$16,AG$17,AG$18),"")))</f>
        <v>0.22360991379310299</v>
      </c>
      <c r="AI132" s="145">
        <f t="shared" si="59"/>
        <v>435.42000000000007</v>
      </c>
    </row>
    <row r="133" spans="1:35" x14ac:dyDescent="0.3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0.22923220973782801</v>
      </c>
      <c r="P133" s="508">
        <v>0.22110694183864901</v>
      </c>
      <c r="Q133" s="508">
        <v>0.21489060489060499</v>
      </c>
      <c r="R133" s="508"/>
      <c r="S133" s="508"/>
      <c r="T133" s="508"/>
      <c r="U133" s="508"/>
      <c r="V133" s="508"/>
      <c r="W133" s="508"/>
      <c r="X133" s="508"/>
      <c r="Y133" s="508"/>
      <c r="Z133" s="508"/>
      <c r="AA133" s="508">
        <v>0.220938144329897</v>
      </c>
      <c r="AB133" s="436"/>
      <c r="AC133" s="140"/>
      <c r="AD133" s="508">
        <v>0.215253875608337</v>
      </c>
      <c r="AE133" s="436"/>
      <c r="AF133" s="521">
        <f t="shared" si="58"/>
        <v>5.6842687215599985E-3</v>
      </c>
      <c r="AG133" s="508">
        <v>0.22360991379310299</v>
      </c>
      <c r="AH133" s="436"/>
      <c r="AI133" s="521">
        <f t="shared" si="59"/>
        <v>-2.6717694632059918E-3</v>
      </c>
    </row>
    <row r="134" spans="1:35" x14ac:dyDescent="0.3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43">
        <v>18.809999999999999</v>
      </c>
      <c r="P134" s="143">
        <v>100.51</v>
      </c>
      <c r="Q134" s="143">
        <v>66.69</v>
      </c>
      <c r="R134" s="143"/>
      <c r="S134" s="143"/>
      <c r="T134" s="143"/>
      <c r="U134" s="143"/>
      <c r="V134" s="143"/>
      <c r="W134" s="143"/>
      <c r="X134" s="143"/>
      <c r="Y134" s="143"/>
      <c r="Z134" s="143"/>
      <c r="AA134" s="143">
        <f>SUM(O134:Z134)</f>
        <v>186.01</v>
      </c>
      <c r="AB134" s="436">
        <f>IF(_epmOfflineCondition_,0.19,IF(AA134=0,"",IFERROR(AA134/_xll.EVGTS($B$1,1,_xll.EVPRO($B$1,$H134,"COSBASIS"),$B$3,$B$5,$B$6,$B$7,$B$9,AA$16,AA$17,AA$11),"")))</f>
        <v>0.19</v>
      </c>
      <c r="AC134" s="140"/>
      <c r="AD134" s="143">
        <v>1985.29</v>
      </c>
      <c r="AE134" s="436">
        <f>IF(_epmOfflineCondition_,0.189999895204285,IF(AD134=0,"",IFERROR(AD134/_xll.EVGTS($B$1,1,_xll.EVPRO($B$1,$H134,"COSBASIS"),$B$3,$B$5,$B$6,$B$7,$B$9,AD$16,AD$17,AD$18),"")))</f>
        <v>0.18999989520428501</v>
      </c>
      <c r="AF134" s="145">
        <f t="shared" si="58"/>
        <v>-1799.28</v>
      </c>
      <c r="AG134" s="143">
        <v>49.21</v>
      </c>
      <c r="AH134" s="436">
        <f>IF(_epmOfflineCondition_,0.19,IF(AG134=0,"",IFERROR(AG134/_xll.EVGTS($B$1,1,_xll.EVPRO($B$1,$H134,"COSBASIS"),$B$3,$B$5,$B$6,$B$7,$B$9,AG$16,AG$17,AG$18),"")))</f>
        <v>0.19</v>
      </c>
      <c r="AI134" s="145">
        <f t="shared" si="59"/>
        <v>136.79999999999998</v>
      </c>
    </row>
    <row r="135" spans="1:35" x14ac:dyDescent="0.3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0.19</v>
      </c>
      <c r="P135" s="508">
        <v>0.19</v>
      </c>
      <c r="Q135" s="508">
        <v>0.19</v>
      </c>
      <c r="R135" s="508"/>
      <c r="S135" s="508"/>
      <c r="T135" s="508"/>
      <c r="U135" s="508"/>
      <c r="V135" s="508"/>
      <c r="W135" s="508"/>
      <c r="X135" s="508"/>
      <c r="Y135" s="508"/>
      <c r="Z135" s="508"/>
      <c r="AA135" s="508">
        <v>0.19</v>
      </c>
      <c r="AB135" s="436"/>
      <c r="AC135" s="140"/>
      <c r="AD135" s="508">
        <v>0.18999989520428501</v>
      </c>
      <c r="AE135" s="436"/>
      <c r="AF135" s="521">
        <f t="shared" si="58"/>
        <v>1.0479571499466545E-7</v>
      </c>
      <c r="AG135" s="508">
        <v>0.19</v>
      </c>
      <c r="AH135" s="436"/>
      <c r="AI135" s="521">
        <f t="shared" si="59"/>
        <v>0</v>
      </c>
    </row>
    <row r="136" spans="1:35" x14ac:dyDescent="0.3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43">
        <v>8.8000000000000007</v>
      </c>
      <c r="P136" s="143">
        <v>41.36</v>
      </c>
      <c r="Q136" s="143">
        <v>21.56</v>
      </c>
      <c r="R136" s="143"/>
      <c r="S136" s="143"/>
      <c r="T136" s="143"/>
      <c r="U136" s="143"/>
      <c r="V136" s="143"/>
      <c r="W136" s="143"/>
      <c r="X136" s="143"/>
      <c r="Y136" s="143"/>
      <c r="Z136" s="143"/>
      <c r="AA136" s="143">
        <f>SUM(O136:Z136)</f>
        <v>71.72</v>
      </c>
      <c r="AB136" s="436">
        <f>IF(_epmOfflineCondition_,0.22,IF(AA136=0,"",IFERROR(AA136/_xll.EVGTS($B$1,1,_xll.EVPRO($B$1,$H136,"COSBASIS"),$B$3,$B$5,$B$6,$B$7,$B$9,AA$16,AA$17,AA$11),"")))</f>
        <v>0.22</v>
      </c>
      <c r="AC136" s="140"/>
      <c r="AD136" s="143">
        <v>564.41999999999996</v>
      </c>
      <c r="AE136" s="436">
        <f>IF(_epmOfflineCondition_,0.220001299536396,IF(AD136=0,"",IFERROR(AD136/_xll.EVGTS($B$1,1,_xll.EVPRO($B$1,$H136,"COSBASIS"),$B$3,$B$5,$B$6,$B$7,$B$9,AD$16,AD$17,AD$18),"")))</f>
        <v>0.22000129953639599</v>
      </c>
      <c r="AF136" s="145">
        <f t="shared" si="58"/>
        <v>-492.69999999999993</v>
      </c>
      <c r="AG136" s="143">
        <v>24.86</v>
      </c>
      <c r="AH136" s="436">
        <f>IF(_epmOfflineCondition_,0.22,IF(AG136=0,"",IFERROR(AG136/_xll.EVGTS($B$1,1,_xll.EVPRO($B$1,$H136,"COSBASIS"),$B$3,$B$5,$B$6,$B$7,$B$9,AG$16,AG$17,AG$18),"")))</f>
        <v>0.22</v>
      </c>
      <c r="AI136" s="145">
        <f t="shared" si="59"/>
        <v>46.86</v>
      </c>
    </row>
    <row r="137" spans="1:35" x14ac:dyDescent="0.3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0.22</v>
      </c>
      <c r="P137" s="508">
        <v>0.22</v>
      </c>
      <c r="Q137" s="508">
        <v>0.22</v>
      </c>
      <c r="R137" s="508"/>
      <c r="S137" s="508"/>
      <c r="T137" s="508"/>
      <c r="U137" s="508"/>
      <c r="V137" s="508"/>
      <c r="W137" s="508"/>
      <c r="X137" s="508"/>
      <c r="Y137" s="508"/>
      <c r="Z137" s="508"/>
      <c r="AA137" s="508">
        <v>0.22</v>
      </c>
      <c r="AB137" s="436"/>
      <c r="AC137" s="140"/>
      <c r="AD137" s="508">
        <v>0.22000129953639599</v>
      </c>
      <c r="AE137" s="436"/>
      <c r="AF137" s="521">
        <f t="shared" si="58"/>
        <v>-1.2995363959933393E-6</v>
      </c>
      <c r="AG137" s="508">
        <v>0.22</v>
      </c>
      <c r="AH137" s="436"/>
      <c r="AI137" s="521">
        <f t="shared" si="59"/>
        <v>0</v>
      </c>
    </row>
    <row r="138" spans="1:35" x14ac:dyDescent="0.3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43">
        <v>94.8</v>
      </c>
      <c r="P138" s="143">
        <v>211.68</v>
      </c>
      <c r="Q138" s="143">
        <v>78.72</v>
      </c>
      <c r="R138" s="143"/>
      <c r="S138" s="143"/>
      <c r="T138" s="143"/>
      <c r="U138" s="143"/>
      <c r="V138" s="143"/>
      <c r="W138" s="143"/>
      <c r="X138" s="143"/>
      <c r="Y138" s="143"/>
      <c r="Z138" s="143"/>
      <c r="AA138" s="143">
        <f>SUM(O138:Z138)</f>
        <v>385.20000000000005</v>
      </c>
      <c r="AB138" s="436">
        <f>IF(_epmOfflineCondition_,0.24,IF(AA138=0,"",IFERROR(AA138/_xll.EVGTS($B$1,1,_xll.EVPRO($B$1,$H138,"COSBASIS"),$B$3,$B$5,$B$6,$B$7,$B$9,AA$16,AA$17,AA$11),"")))</f>
        <v>0.24</v>
      </c>
      <c r="AC138" s="140"/>
      <c r="AD138" s="143">
        <v>2441.08</v>
      </c>
      <c r="AE138" s="436">
        <f>IF(_epmOfflineCondition_,0.23999996853852,IF(AD138=0,"",IFERROR(AD138/_xll.EVGTS($B$1,1,_xll.EVPRO($B$1,$H138,"COSBASIS"),$B$3,$B$5,$B$6,$B$7,$B$9,AD$16,AD$17,AD$18),"")))</f>
        <v>0.23999996853851999</v>
      </c>
      <c r="AF138" s="145">
        <f t="shared" si="58"/>
        <v>-2055.88</v>
      </c>
      <c r="AG138" s="143">
        <v>133.44</v>
      </c>
      <c r="AH138" s="436">
        <f>IF(_epmOfflineCondition_,0.24,IF(AG138=0,"",IFERROR(AG138/_xll.EVGTS($B$1,1,_xll.EVPRO($B$1,$H138,"COSBASIS"),$B$3,$B$5,$B$6,$B$7,$B$9,AG$16,AG$17,AG$18),"")))</f>
        <v>0.24</v>
      </c>
      <c r="AI138" s="145">
        <f t="shared" si="59"/>
        <v>251.76000000000005</v>
      </c>
    </row>
    <row r="139" spans="1:35" x14ac:dyDescent="0.3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0.24</v>
      </c>
      <c r="P139" s="508">
        <v>0.24</v>
      </c>
      <c r="Q139" s="508">
        <v>0.24</v>
      </c>
      <c r="R139" s="508"/>
      <c r="S139" s="508"/>
      <c r="T139" s="508"/>
      <c r="U139" s="508"/>
      <c r="V139" s="508"/>
      <c r="W139" s="508"/>
      <c r="X139" s="508"/>
      <c r="Y139" s="508"/>
      <c r="Z139" s="508"/>
      <c r="AA139" s="508">
        <v>0.24</v>
      </c>
      <c r="AB139" s="436"/>
      <c r="AC139" s="140"/>
      <c r="AD139" s="508">
        <v>0.23999996853851999</v>
      </c>
      <c r="AE139" s="436"/>
      <c r="AF139" s="521">
        <f t="shared" si="58"/>
        <v>3.1461480004546516E-8</v>
      </c>
      <c r="AG139" s="508">
        <v>0.24</v>
      </c>
      <c r="AH139" s="436"/>
      <c r="AI139" s="521">
        <f t="shared" si="59"/>
        <v>0</v>
      </c>
    </row>
    <row r="140" spans="1:35" x14ac:dyDescent="0.3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43">
        <v>2045.98</v>
      </c>
      <c r="P140" s="143">
        <v>2476.35</v>
      </c>
      <c r="Q140" s="143">
        <v>1143.18</v>
      </c>
      <c r="R140" s="143"/>
      <c r="S140" s="143"/>
      <c r="T140" s="143"/>
      <c r="U140" s="143"/>
      <c r="V140" s="143"/>
      <c r="W140" s="143"/>
      <c r="X140" s="143"/>
      <c r="Y140" s="143"/>
      <c r="Z140" s="143"/>
      <c r="AA140" s="143">
        <f>SUM(O140:Z140)</f>
        <v>5665.51</v>
      </c>
      <c r="AB140" s="436">
        <f>IF(_epmOfflineCondition_,0.283164782570015,IF(AA140=0,"",IFERROR(AA140/_xll.EVGTS($B$1,1,_xll.EVPRO($B$1,$H140,"COSBASIS"),$B$3,$B$5,$B$6,$B$7,$B$9,AA$16,AA$17,AA$11),"")))</f>
        <v>0.28316478257001498</v>
      </c>
      <c r="AC140" s="140"/>
      <c r="AD140" s="143">
        <v>23934.86</v>
      </c>
      <c r="AE140" s="436">
        <f>IF(_epmOfflineCondition_,0.270419839566151,IF(AD140=0,"",IFERROR(AD140/_xll.EVGTS($B$1,1,_xll.EVPRO($B$1,$H140,"COSBASIS"),$B$3,$B$5,$B$6,$B$7,$B$9,AD$16,AD$17,AD$18),"")))</f>
        <v>0.27041983956615101</v>
      </c>
      <c r="AF140" s="145">
        <f t="shared" si="58"/>
        <v>-18269.349999999999</v>
      </c>
      <c r="AG140" s="143">
        <v>3161.74</v>
      </c>
      <c r="AH140" s="436">
        <f>IF(_epmOfflineCondition_,0.284457040035987,IF(AG140=0,"",IFERROR(AG140/_xll.EVGTS($B$1,1,_xll.EVPRO($B$1,$H140,"COSBASIS"),$B$3,$B$5,$B$6,$B$7,$B$9,AG$16,AG$17,AG$18),"")))</f>
        <v>0.28445704003598699</v>
      </c>
      <c r="AI140" s="145">
        <f t="shared" si="59"/>
        <v>2503.7700000000004</v>
      </c>
    </row>
    <row r="141" spans="1:35" x14ac:dyDescent="0.35">
      <c r="A141" s="11"/>
      <c r="B141" s="11"/>
      <c r="C141" s="208"/>
      <c r="D141" s="11"/>
      <c r="E141" s="11"/>
      <c r="F141" s="11"/>
      <c r="G141" s="11"/>
      <c r="H141" s="185"/>
      <c r="I141" s="122"/>
      <c r="J141" s="122"/>
      <c r="K141" s="11"/>
      <c r="L141" s="90"/>
      <c r="M141" s="90"/>
      <c r="N141" s="493" t="s">
        <v>762</v>
      </c>
      <c r="O141" s="508">
        <f t="shared" ref="O141:AA141" si="60">IFERROR(O140/O85,"")</f>
        <v>0.28547628681856874</v>
      </c>
      <c r="P141" s="508">
        <f t="shared" si="60"/>
        <v>0.28325713390243651</v>
      </c>
      <c r="Q141" s="508">
        <f t="shared" si="60"/>
        <v>0.27892575594545332</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f t="shared" si="60"/>
        <v>0.28316478257001515</v>
      </c>
      <c r="AB141" s="436"/>
      <c r="AC141" s="140"/>
      <c r="AD141" s="508">
        <f>IFERROR(AD140/AD85,"")</f>
        <v>0.27041983956615073</v>
      </c>
      <c r="AE141" s="436"/>
      <c r="AF141" s="521">
        <f t="shared" si="58"/>
        <v>1.2744943003864417E-2</v>
      </c>
      <c r="AG141" s="508">
        <f>IFERROR(AG140/AG85,"")</f>
        <v>0.28445704003598737</v>
      </c>
      <c r="AH141" s="436"/>
      <c r="AI141" s="521">
        <f t="shared" si="59"/>
        <v>-1.2922574659722241E-3</v>
      </c>
    </row>
    <row r="142" spans="1:35" x14ac:dyDescent="0.3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3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4"/>
      <c r="AC143" s="140"/>
      <c r="AD143" s="511">
        <f>AD39+AD49+AD59+AD69+AD79+AD83-AD85</f>
        <v>0</v>
      </c>
      <c r="AE143" s="144"/>
      <c r="AF143" s="143"/>
      <c r="AG143" s="511">
        <f>AG39+AG49+AG59+AG69+AG79+AG83-AG85</f>
        <v>0</v>
      </c>
      <c r="AH143" s="144"/>
      <c r="AI143" s="143"/>
    </row>
    <row r="144" spans="1:35" x14ac:dyDescent="0.3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4"/>
      <c r="AC144" s="140"/>
      <c r="AD144" s="511">
        <f>AD41+AD51+AD61+AD71+AD80-AD87</f>
        <v>0</v>
      </c>
      <c r="AE144" s="144"/>
      <c r="AF144" s="143"/>
      <c r="AG144" s="511">
        <f>AG41+AG51+AG61+AG71+AG80-AG87</f>
        <v>0</v>
      </c>
      <c r="AH144" s="144"/>
      <c r="AI144" s="143"/>
    </row>
    <row r="145" spans="1:35" x14ac:dyDescent="0.3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-4.2632564145606011E-14</v>
      </c>
      <c r="P145" s="510">
        <f t="shared" si="63"/>
        <v>0</v>
      </c>
      <c r="Q145" s="510">
        <f t="shared" si="63"/>
        <v>0</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f t="shared" si="63"/>
        <v>0</v>
      </c>
      <c r="AB145" s="144"/>
      <c r="AC145" s="140"/>
      <c r="AD145" s="510">
        <f>IFERROR(AD$85/AD87,"")-AD88</f>
        <v>0</v>
      </c>
      <c r="AE145" s="144"/>
      <c r="AF145" s="143"/>
      <c r="AG145" s="510">
        <f>IFERROR(AG$85/AG87,"")-AG88</f>
        <v>3.907985046680551E-14</v>
      </c>
      <c r="AH145" s="144"/>
      <c r="AI145" s="143"/>
    </row>
    <row r="146" spans="1:35" x14ac:dyDescent="0.3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4"/>
      <c r="AC146" s="140"/>
      <c r="AD146" s="511">
        <f>(AD130+AD132)-AD140</f>
        <v>0</v>
      </c>
      <c r="AE146" s="144"/>
      <c r="AF146" s="143"/>
      <c r="AG146" s="511">
        <f>(AG130+AG132)-AG140</f>
        <v>0</v>
      </c>
      <c r="AH146" s="144"/>
      <c r="AI146" s="143"/>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3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3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3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3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QqDiw7IPNxgJXRe4I8BZQNM+IcG36MDAN8R1NSLACJ91xGa2IcAETFR27vAAiVHUzP6A90bcS6f4vIn77+LOVg==" saltValue="WEwWbGUwe0pBnAWD/r/ohQ==" spinCount="100000" sheet="1" scenarios="1"/>
  <mergeCells count="2">
    <mergeCell ref="AD31:AE31"/>
    <mergeCell ref="AG31:AH31"/>
  </mergeCells>
  <conditionalFormatting sqref="AD43 AF43:AG43 O43:AA43">
    <cfRule type="expression" dxfId="50" priority="15">
      <formula>ROUND(O42,2)&lt;&gt;ROUND(O43,2)</formula>
    </cfRule>
  </conditionalFormatting>
  <conditionalFormatting sqref="N43">
    <cfRule type="expression" dxfId="49" priority="14">
      <formula>$G43&lt;&gt;0</formula>
    </cfRule>
  </conditionalFormatting>
  <conditionalFormatting sqref="O53:AA53 AD53 AF53:AG53">
    <cfRule type="expression" dxfId="48" priority="13">
      <formula>ROUND(O52,2)&lt;&gt;ROUND(O53,2)</formula>
    </cfRule>
  </conditionalFormatting>
  <conditionalFormatting sqref="N53">
    <cfRule type="expression" dxfId="47" priority="12">
      <formula>$G53&lt;&gt;0</formula>
    </cfRule>
  </conditionalFormatting>
  <conditionalFormatting sqref="O63:AA63 AD63 AF63:AG63">
    <cfRule type="expression" dxfId="46" priority="11">
      <formula>ROUND(O62,2)&lt;&gt;ROUND(O63,2)</formula>
    </cfRule>
  </conditionalFormatting>
  <conditionalFormatting sqref="N63">
    <cfRule type="expression" dxfId="45" priority="10">
      <formula>$G63&lt;&gt;0</formula>
    </cfRule>
  </conditionalFormatting>
  <conditionalFormatting sqref="O73:AA73 AD73 AF73:AG73">
    <cfRule type="expression" dxfId="44" priority="9">
      <formula>ROUND(O72,2)&lt;&gt;ROUND(O73,2)</formula>
    </cfRule>
  </conditionalFormatting>
  <conditionalFormatting sqref="N73">
    <cfRule type="expression" dxfId="43" priority="8">
      <formula>$G73&lt;&gt;0</formula>
    </cfRule>
  </conditionalFormatting>
  <conditionalFormatting sqref="N82">
    <cfRule type="expression" dxfId="42" priority="7">
      <formula>$G82&lt;&gt;0</formula>
    </cfRule>
  </conditionalFormatting>
  <conditionalFormatting sqref="AD82 AF82:AG82 O82:AA82">
    <cfRule type="expression" dxfId="41" priority="6">
      <formula>ROUND(O81,2)&lt;&gt;ROUND(O82,2)</formula>
    </cfRule>
  </conditionalFormatting>
  <conditionalFormatting sqref="AI43">
    <cfRule type="expression" dxfId="40" priority="5">
      <formula>ROUND(AI42,2)&lt;&gt;ROUND(AI43,2)</formula>
    </cfRule>
  </conditionalFormatting>
  <conditionalFormatting sqref="AI53">
    <cfRule type="expression" dxfId="39" priority="4">
      <formula>ROUND(AI52,2)&lt;&gt;ROUND(AI53,2)</formula>
    </cfRule>
  </conditionalFormatting>
  <conditionalFormatting sqref="AI63">
    <cfRule type="expression" dxfId="38" priority="3">
      <formula>ROUND(AI62,2)&lt;&gt;ROUND(AI63,2)</formula>
    </cfRule>
  </conditionalFormatting>
  <conditionalFormatting sqref="AI73">
    <cfRule type="expression" dxfId="37" priority="2">
      <formula>ROUND(AI72,2)&lt;&gt;ROUND(AI73,2)</formula>
    </cfRule>
  </conditionalFormatting>
  <conditionalFormatting sqref="AI82">
    <cfRule type="expression" dxfId="36" priority="1">
      <formula>ROUND(AI81,2)&lt;&gt;ROUND(AI82,2)</formula>
    </cfRule>
  </conditionalFormatting>
  <dataValidations disablePrompts="1" count="2">
    <dataValidation type="list" allowBlank="1" sqref="B28" xr:uid="{00000000-0002-0000-1600-000000000000}">
      <formula1>"ACCOUNT,BUSINESSUNIT,CATEGORY,DATASRC,DEPARTMENT,INTCO,MEASURES,RPTCURRENCY,TIME"</formula1>
    </dataValidation>
    <dataValidation type="list" allowBlank="1" sqref="B29" xr:uid="{00000000-0002-0000-1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275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02754" r:id="rId7" name="FPMExcelClientSheetOptionstb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tabColor theme="6" tint="0.39997558519241921"/>
    <pageSetUpPr fitToPage="1"/>
  </sheetPr>
  <dimension ref="A1:AO133"/>
  <sheetViews>
    <sheetView topLeftCell="K25" zoomScale="85" zoomScaleNormal="85" workbookViewId="0">
      <pane xSplit="4" ySplit="8" topLeftCell="O54" activePane="bottomRight" state="frozen"/>
      <selection activeCell="O33" sqref="O33"/>
      <selection pane="topRight" activeCell="O33" sqref="O33"/>
      <selection pane="bottomLeft" activeCell="O33" sqref="O33"/>
      <selection pane="bottomRight" activeCell="P65" sqref="P65"/>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347</v>
      </c>
      <c r="C6" s="11" t="str">
        <f>IF(_epmOfflineCondition_,"Banquet-Catering &amp; CS",_xll.EVDES(B6,$B$1))</f>
        <v>Banquet-Catering &amp; CS</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IF(_epmOfflineCondition_,"'BCC_CONS'!$B$2:$B$10",_xll.EVRNG($B$2:$B$10))</f>
        <v>'BCC_CONS'!$B$2:$B$10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IF(_epmOfflineCondition_,"'BCC_CONS'!$O$16:$AN$18",_xll.EVRNG($O$16:$AN$18))</f>
        <v>'BCC_CONS'!$O$16:$AN$18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IF(_epmOfflineCondition_,"'BCC_CONS'!$H$35:$H$56",_xll.EVRNG(H35:H56))</f>
        <v>'BCC_CONS'!$H$35:$H$56</v>
      </c>
      <c r="C19" s="11"/>
      <c r="D19" s="11"/>
      <c r="E19" s="11"/>
      <c r="F19" s="11"/>
      <c r="G19" s="67" t="str">
        <f>$B$6</f>
        <v>D_BCC_CON</v>
      </c>
      <c r="H19" s="67">
        <v>400000</v>
      </c>
      <c r="I19" s="68"/>
      <c r="J19" s="68"/>
      <c r="K19" s="67"/>
      <c r="L19" s="67"/>
      <c r="M19" s="67"/>
      <c r="N19" s="67" t="str">
        <f>IF(_epmOfflineCondition_,"Total Revenue",_xll.EVDES(H19))</f>
        <v>Total Revenue</v>
      </c>
      <c r="O19" s="69">
        <f>IF(_epmOfflineCondition_,48611,_xll.EVGTS($B$1,1,$B$3,$B$5,$B$7,$B$9,O$16,O$17,O$18,$G$19,$H$19))</f>
        <v>48611</v>
      </c>
      <c r="P19" s="69">
        <f>IF(_epmOfflineCondition_,44184.73,_xll.EVGTS($B$1,1,$B$3,$B$5,$B$7,$B$9,P$16,P$17,P$18,$G$19,$H$19))</f>
        <v>44184.73</v>
      </c>
      <c r="Q19" s="69">
        <f>IF(_epmOfflineCondition_,-562.52,_xll.EVGTS($B$1,1,$B$3,$B$5,$B$7,$B$9,Q$16,Q$17,Q$18,$G$19,$H$19))</f>
        <v>-562.52</v>
      </c>
      <c r="R19" s="69">
        <f>IF(_epmOfflineCondition_,0,_xll.EVGTS($B$1,1,$B$3,$B$5,$B$7,$B$9,R$16,R$17,R$18,$G$19,$H$19))</f>
        <v>0</v>
      </c>
      <c r="S19" s="69">
        <f>IF(_epmOfflineCondition_,-14884.49,_xll.EVGTS($B$1,1,$B$3,$B$5,$B$7,$B$9,S$16,S$17,S$18,$G$19,$H$19))</f>
        <v>-14884.49</v>
      </c>
      <c r="T19" s="69">
        <f>IF(_epmOfflineCondition_,0,_xll.EVGTS($B$1,1,$B$3,$B$5,$B$7,$B$9,T$16,T$17,T$18,$G$19,$H$19))</f>
        <v>0</v>
      </c>
      <c r="U19" s="69">
        <f>IF(_epmOfflineCondition_,0,_xll.EVGTS($B$1,1,$B$3,$B$5,$B$7,$B$9,U$16,U$17,U$18,$G$19,$H$19))</f>
        <v>0</v>
      </c>
      <c r="V19" s="69">
        <f>IF(_epmOfflineCondition_,0,_xll.EVGTS($B$1,1,$B$3,$B$5,$B$7,$B$9,V$16,V$17,V$18,$G$19,$H$19))</f>
        <v>0</v>
      </c>
      <c r="W19" s="69">
        <f>IF(_epmOfflineCondition_,614.88,_xll.EVGTS($B$1,1,$B$3,$B$5,$B$7,$B$9,W$16,W$17,W$18,$G$19,$H$19))</f>
        <v>614.88</v>
      </c>
      <c r="X19" s="69">
        <f>IF(_epmOfflineCondition_,305,_xll.EVGTS($B$1,1,$B$3,$B$5,$B$7,$B$9,X$16,X$17,X$18,$G$19,$H$19))</f>
        <v>305</v>
      </c>
      <c r="Y19" s="69">
        <f>IF(_epmOfflineCondition_,650,_xll.EVGTS($B$1,1,$B$3,$B$5,$B$7,$B$9,Y$16,Y$17,Y$18,$G$19,$H$19))</f>
        <v>650</v>
      </c>
      <c r="Z19" s="69">
        <f>IF(_epmOfflineCondition_,0,_xll.EVGTS($B$1,1,$B$3,$B$5,$B$7,$B$9,Z$16,Z$17,Z$18,$G$19,$H$19))</f>
        <v>0</v>
      </c>
      <c r="AA19" s="69">
        <f>SUM(O19:Z19)</f>
        <v>78918.600000000006</v>
      </c>
      <c r="AB19" s="67"/>
      <c r="AC19" s="67"/>
      <c r="AD19" s="69">
        <f>IF(_epmOfflineCondition_,377119.2154,_xll.EVGTS($B$1,1,$B$3,$B$5,$B$7,$B$9,AD$16,AD$17,AD$18,$G$19,$H$19))</f>
        <v>377119.21539999999</v>
      </c>
      <c r="AE19" s="67"/>
      <c r="AF19" s="67"/>
      <c r="AG19" s="69">
        <f>IF(_epmOfflineCondition_,235074.34,_xll.EVGTS($B$1,1,$B$3,$B$5,$B$7,$B$9,AG$16,AG$17,AG$18,$G$19,$H$19))</f>
        <v>235074.34</v>
      </c>
      <c r="AH19" s="67"/>
      <c r="AI19" s="67"/>
      <c r="AJ19" s="11"/>
      <c r="AK19" s="11"/>
      <c r="AL19" s="11"/>
      <c r="AM19" s="11"/>
      <c r="AN19" s="11"/>
      <c r="AO19" s="11"/>
    </row>
    <row r="20" spans="1:41" hidden="1" outlineLevel="1" x14ac:dyDescent="0.35">
      <c r="A20" s="65" t="s">
        <v>5</v>
      </c>
      <c r="B20" s="66"/>
      <c r="C20" s="11"/>
      <c r="D20" s="11"/>
      <c r="E20" s="11"/>
      <c r="F20" s="11"/>
      <c r="G20" s="67" t="str">
        <f>$B$6</f>
        <v>D_BCC_CON</v>
      </c>
      <c r="H20" s="67">
        <v>946000</v>
      </c>
      <c r="I20" s="68"/>
      <c r="J20" s="68"/>
      <c r="K20" s="67"/>
      <c r="L20" s="68"/>
      <c r="M20" s="68"/>
      <c r="N20" s="67" t="str">
        <f>IF(_epmOfflineCondition_,"Total Customers",_xll.EVDES(H20))</f>
        <v>Total Customers</v>
      </c>
      <c r="O20" s="69">
        <f>IF(_epmOfflineCondition_,479,_xll.EVGTS($B$1,1,$B$3,$B$5,$B$7,$B$9,O$16,O$17,O$18,$G$20,$H$20))</f>
        <v>479</v>
      </c>
      <c r="P20" s="69">
        <f>IF(_epmOfflineCondition_,693,_xll.EVGTS($B$1,1,$B$3,$B$5,$B$7,$B$9,P$16,P$17,P$18,$G$20,$H$20))</f>
        <v>693</v>
      </c>
      <c r="Q20" s="69">
        <f>IF(_epmOfflineCondition_,10,_xll.EVGTS($B$1,1,$B$3,$B$5,$B$7,$B$9,Q$16,Q$17,Q$18,$G$20,$H$20))</f>
        <v>10</v>
      </c>
      <c r="R20" s="69">
        <f>IF(_epmOfflineCondition_,0,_xll.EVGTS($B$1,1,$B$3,$B$5,$B$7,$B$9,R$16,R$17,R$18,$G$20,$H$20))</f>
        <v>0</v>
      </c>
      <c r="S20" s="69">
        <f>IF(_epmOfflineCondition_,-280,_xll.EVGTS($B$1,1,$B$3,$B$5,$B$7,$B$9,S$16,S$17,S$18,$G$20,$H$20))</f>
        <v>-280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IF(_epmOfflineCondition_,10,_xll.EVGTS($B$1,1,$B$3,$B$5,$B$7,$B$9,X$16,X$17,X$18,$G$20,$H$20))</f>
        <v>10</v>
      </c>
      <c r="Y20" s="69">
        <f>IF(_epmOfflineCondition_,0,_xll.EVGTS($B$1,1,$B$3,$B$5,$B$7,$B$9,Y$16,Y$17,Y$18,$G$20,$H$20))</f>
        <v>0</v>
      </c>
      <c r="Z20" s="69">
        <f>IF(_epmOfflineCondition_,0,_xll.EVGTS($B$1,1,$B$3,$B$5,$B$7,$B$9,Z$16,Z$17,Z$18,$G$20,$H$20))</f>
        <v>0</v>
      </c>
      <c r="AA20" s="69">
        <f>SUM(O20:Z20)</f>
        <v>912</v>
      </c>
      <c r="AB20" s="67"/>
      <c r="AC20" s="67"/>
      <c r="AD20" s="69">
        <f>IF(_epmOfflineCondition_,4517,_xll.EVGTS($B$1,1,$B$3,$B$5,$B$7,$B$9,AD$16,AD$17,AD$18,$G$20,$H$20))</f>
        <v>4517</v>
      </c>
      <c r="AE20" s="67"/>
      <c r="AF20" s="67"/>
      <c r="AG20" s="69">
        <f>IF(_epmOfflineCondition_,2746,_xll.EVGTS($B$1,1,$B$3,$B$5,$B$7,$B$9,AG$16,AG$17,AG$18,$G$20,$H$20))</f>
        <v>2746</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IF(_epmOfflineCondition_,"'BCC_CONS'!$A$36:$F$44",_xll.EVRNG(A36:F44))</f>
        <v>'BCC_CONS'!$A$36:$F$44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IF(_epmOfflineCondition_,"'BCC_CONS'!$A$125:$B$130",_xll.EVRNG($A$125:$B$130))</f>
        <v>'BCC_CONS'!$A$125:$B$130</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IF(_epmOfflineCondition_,"Banquet-Catering &amp; CS Department",IF(_xll.EVDES(B6,$B$1)="#NODATA","",_xll.EVDES(B6,$B$1)&amp;" Department"))</f>
        <v>Banquet-Catering &amp; CS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v>8064.89</v>
      </c>
      <c r="P35" s="564">
        <v>6815</v>
      </c>
      <c r="Q35" s="564"/>
      <c r="R35" s="564"/>
      <c r="S35" s="564">
        <v>-4502</v>
      </c>
      <c r="T35" s="564"/>
      <c r="U35" s="564"/>
      <c r="V35" s="564"/>
      <c r="W35" s="564"/>
      <c r="X35" s="564"/>
      <c r="Y35" s="564"/>
      <c r="Z35" s="564"/>
      <c r="AA35" s="250">
        <f t="shared" ref="AA35:AA56" si="1">IF($I35="B1","",SUM(O35:Z35))</f>
        <v>10377.89</v>
      </c>
      <c r="AB35" s="565">
        <f t="shared" ref="AB35:AB56" si="2">IF(AA35=0,"",IFERROR(AA35/AA$19,""))</f>
        <v>0.13150119236783214</v>
      </c>
      <c r="AC35" s="437"/>
      <c r="AD35" s="564">
        <v>72858.789999999994</v>
      </c>
      <c r="AE35" s="565">
        <f t="shared" ref="AE35:AE56" si="3">IF(AD35=0,"",IFERROR(AD35/AD$19,""))</f>
        <v>0.19319829651936637</v>
      </c>
      <c r="AF35" s="566">
        <f t="shared" ref="AF35:AF56" si="4">IF(AND($AA35="",AD35=""),"",$AA35-AD35)</f>
        <v>-62480.899999999994</v>
      </c>
      <c r="AG35" s="564">
        <v>37270.629999999997</v>
      </c>
      <c r="AH35" s="565">
        <f t="shared" ref="AH35:AH56" si="5">IF(AG35=0,"",IFERROR(AG35/AG$19,""))</f>
        <v>0.15854827030461938</v>
      </c>
      <c r="AI35" s="567">
        <f t="shared" ref="AI35:AI56" si="6">IF(AND($AA35="",AG35=""),"",$AA35-AG35)</f>
        <v>-26892.739999999998</v>
      </c>
      <c r="AJ35" s="440">
        <f t="shared" ref="AJ35:AJ56" si="7">IFERROR(AA35/AA$20,0)</f>
        <v>11.379265350877192</v>
      </c>
      <c r="AK35" s="441">
        <f t="shared" ref="AK35:AK56" si="8">IFERROR(AD35/AD$20,0)</f>
        <v>16.129907017932254</v>
      </c>
      <c r="AL35" s="442">
        <f t="shared" ref="AL35:AL56" si="9">IFERROR(AG35/AG$20,0)</f>
        <v>13.572698470502548</v>
      </c>
      <c r="AM35" s="443" t="str">
        <f t="shared" ref="AM35:AM56" si="10">+IFERROR(ROUND(($AB35-AE35)*100,2)&amp;" pts.",0)</f>
        <v>-6.17 pts.</v>
      </c>
      <c r="AN35" s="444" t="str">
        <f t="shared" ref="AN35:AN56" si="11">+IFERROR(ROUND(($AB35-AH35)*100,2)&amp;" pts.",0)</f>
        <v>-2.7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v>8662</v>
      </c>
      <c r="P36" s="564">
        <v>10367</v>
      </c>
      <c r="Q36" s="564">
        <v>-375</v>
      </c>
      <c r="R36" s="564"/>
      <c r="S36" s="564">
        <v>-3472</v>
      </c>
      <c r="T36" s="564"/>
      <c r="U36" s="564"/>
      <c r="V36" s="564"/>
      <c r="W36" s="564"/>
      <c r="X36" s="564">
        <v>250</v>
      </c>
      <c r="Y36" s="564"/>
      <c r="Z36" s="564"/>
      <c r="AA36" s="250">
        <f t="shared" si="1"/>
        <v>15432</v>
      </c>
      <c r="AB36" s="565">
        <f t="shared" si="2"/>
        <v>0.19554325596247271</v>
      </c>
      <c r="AC36" s="437"/>
      <c r="AD36" s="564">
        <v>85278.41</v>
      </c>
      <c r="AE36" s="565">
        <f t="shared" si="3"/>
        <v>0.22613117157010293</v>
      </c>
      <c r="AF36" s="566">
        <f t="shared" si="4"/>
        <v>-69846.41</v>
      </c>
      <c r="AG36" s="564">
        <v>45126.2</v>
      </c>
      <c r="AH36" s="565">
        <f t="shared" si="5"/>
        <v>0.1919656564812646</v>
      </c>
      <c r="AI36" s="567">
        <f t="shared" si="6"/>
        <v>-29694.199999999997</v>
      </c>
      <c r="AJ36" s="440">
        <f t="shared" si="7"/>
        <v>16.921052631578949</v>
      </c>
      <c r="AK36" s="441">
        <f t="shared" si="8"/>
        <v>18.87943546601727</v>
      </c>
      <c r="AL36" s="442">
        <f t="shared" si="9"/>
        <v>16.433430444282592</v>
      </c>
      <c r="AM36" s="443" t="str">
        <f t="shared" si="10"/>
        <v>-3.06 pts.</v>
      </c>
      <c r="AN36" s="444" t="str">
        <f t="shared" si="11"/>
        <v>0.36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c r="P37" s="564">
        <v>3944</v>
      </c>
      <c r="Q37" s="564"/>
      <c r="R37" s="564"/>
      <c r="S37" s="564">
        <v>-3165.03</v>
      </c>
      <c r="T37" s="564"/>
      <c r="U37" s="564"/>
      <c r="V37" s="564"/>
      <c r="W37" s="564"/>
      <c r="X37" s="564"/>
      <c r="Y37" s="564"/>
      <c r="Z37" s="564"/>
      <c r="AA37" s="250">
        <f t="shared" si="1"/>
        <v>778.9699999999998</v>
      </c>
      <c r="AB37" s="565">
        <f t="shared" si="2"/>
        <v>9.870550161812295E-3</v>
      </c>
      <c r="AC37" s="437"/>
      <c r="AD37" s="564">
        <v>46992.934655999998</v>
      </c>
      <c r="AE37" s="565">
        <f t="shared" si="3"/>
        <v>0.1246102896299142</v>
      </c>
      <c r="AF37" s="566">
        <f t="shared" si="4"/>
        <v>-46213.964655999996</v>
      </c>
      <c r="AG37" s="564">
        <v>27196.21</v>
      </c>
      <c r="AH37" s="565">
        <f t="shared" si="5"/>
        <v>0.11569195514916686</v>
      </c>
      <c r="AI37" s="567">
        <f t="shared" si="6"/>
        <v>-26417.239999999998</v>
      </c>
      <c r="AJ37" s="440">
        <f t="shared" si="7"/>
        <v>0.85413377192982431</v>
      </c>
      <c r="AK37" s="441">
        <f t="shared" si="8"/>
        <v>10.40357198494576</v>
      </c>
      <c r="AL37" s="442">
        <f t="shared" si="9"/>
        <v>9.9039366351056071</v>
      </c>
      <c r="AM37" s="443" t="str">
        <f t="shared" si="10"/>
        <v>-11.47 pts.</v>
      </c>
      <c r="AN37" s="444" t="str">
        <f t="shared" si="11"/>
        <v>-10.58 pts.</v>
      </c>
      <c r="AO37" s="11"/>
    </row>
    <row r="38" spans="1:41" x14ac:dyDescent="0.3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v>3326</v>
      </c>
      <c r="P38" s="564">
        <v>1127</v>
      </c>
      <c r="Q38" s="564"/>
      <c r="R38" s="564"/>
      <c r="S38" s="564"/>
      <c r="T38" s="564"/>
      <c r="U38" s="564"/>
      <c r="V38" s="564"/>
      <c r="W38" s="564"/>
      <c r="X38" s="564"/>
      <c r="Y38" s="564"/>
      <c r="Z38" s="564"/>
      <c r="AA38" s="250">
        <f t="shared" si="1"/>
        <v>4453</v>
      </c>
      <c r="AB38" s="565">
        <f t="shared" si="2"/>
        <v>5.6425228019757065E-2</v>
      </c>
      <c r="AC38" s="437"/>
      <c r="AD38" s="564"/>
      <c r="AE38" s="565" t="str">
        <f t="shared" si="3"/>
        <v/>
      </c>
      <c r="AF38" s="566">
        <f t="shared" si="4"/>
        <v>4453</v>
      </c>
      <c r="AG38" s="564">
        <v>573</v>
      </c>
      <c r="AH38" s="565">
        <f t="shared" si="5"/>
        <v>2.4375267840803043E-3</v>
      </c>
      <c r="AI38" s="567">
        <f t="shared" si="6"/>
        <v>3880</v>
      </c>
      <c r="AJ38" s="440">
        <f t="shared" si="7"/>
        <v>4.8826754385964914</v>
      </c>
      <c r="AK38" s="441">
        <f t="shared" si="8"/>
        <v>0</v>
      </c>
      <c r="AL38" s="442">
        <f t="shared" si="9"/>
        <v>0.20866715222141297</v>
      </c>
      <c r="AM38" s="443">
        <f t="shared" si="10"/>
        <v>0</v>
      </c>
      <c r="AN38" s="444" t="str">
        <f t="shared" si="11"/>
        <v>5.4 pts.</v>
      </c>
      <c r="AO38" s="11"/>
    </row>
    <row r="39" spans="1:41" x14ac:dyDescent="0.3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45">
        <v>2790</v>
      </c>
      <c r="P39" s="251">
        <v>975</v>
      </c>
      <c r="Q39" s="251"/>
      <c r="R39" s="251"/>
      <c r="S39" s="251"/>
      <c r="T39" s="251"/>
      <c r="U39" s="251"/>
      <c r="V39" s="251"/>
      <c r="W39" s="251"/>
      <c r="X39" s="251"/>
      <c r="Y39" s="251"/>
      <c r="Z39" s="251"/>
      <c r="AA39" s="251">
        <f t="shared" si="1"/>
        <v>3765</v>
      </c>
      <c r="AB39" s="446">
        <f t="shared" si="2"/>
        <v>4.7707384570937643E-2</v>
      </c>
      <c r="AC39" s="437"/>
      <c r="AD39" s="251"/>
      <c r="AE39" s="446" t="str">
        <f t="shared" si="3"/>
        <v/>
      </c>
      <c r="AF39" s="447">
        <f t="shared" si="4"/>
        <v>3765</v>
      </c>
      <c r="AG39" s="251">
        <v>7700</v>
      </c>
      <c r="AH39" s="446">
        <f t="shared" si="5"/>
        <v>3.27555955277807E-2</v>
      </c>
      <c r="AI39" s="448">
        <f t="shared" si="6"/>
        <v>-3935</v>
      </c>
      <c r="AJ39" s="449">
        <f t="shared" si="7"/>
        <v>4.1282894736842106</v>
      </c>
      <c r="AK39" s="450">
        <f t="shared" si="8"/>
        <v>0</v>
      </c>
      <c r="AL39" s="451">
        <f t="shared" si="9"/>
        <v>2.8040786598689</v>
      </c>
      <c r="AM39" s="452">
        <f t="shared" si="10"/>
        <v>0</v>
      </c>
      <c r="AN39" s="453" t="str">
        <f t="shared" si="11"/>
        <v>1.5 pts.</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22842.89</v>
      </c>
      <c r="P40" s="225">
        <v>23228</v>
      </c>
      <c r="Q40" s="225">
        <v>-375</v>
      </c>
      <c r="R40" s="225"/>
      <c r="S40" s="225">
        <v>-11139.03</v>
      </c>
      <c r="T40" s="225"/>
      <c r="U40" s="225"/>
      <c r="V40" s="225"/>
      <c r="W40" s="225"/>
      <c r="X40" s="225">
        <v>250</v>
      </c>
      <c r="Y40" s="225"/>
      <c r="Z40" s="225"/>
      <c r="AA40" s="225">
        <f t="shared" si="1"/>
        <v>34806.86</v>
      </c>
      <c r="AB40" s="226">
        <f t="shared" si="2"/>
        <v>0.44104761108281187</v>
      </c>
      <c r="AC40" s="227"/>
      <c r="AD40" s="225">
        <v>205130.13465600001</v>
      </c>
      <c r="AE40" s="226">
        <f t="shared" si="3"/>
        <v>0.54393975771938352</v>
      </c>
      <c r="AF40" s="228">
        <f t="shared" si="4"/>
        <v>-170323.27465600002</v>
      </c>
      <c r="AG40" s="225">
        <v>117866.04</v>
      </c>
      <c r="AH40" s="226">
        <f t="shared" si="5"/>
        <v>0.50139900424691186</v>
      </c>
      <c r="AI40" s="455">
        <f t="shared" si="6"/>
        <v>-83059.179999999993</v>
      </c>
      <c r="AJ40" s="229">
        <f t="shared" si="7"/>
        <v>38.165416666666665</v>
      </c>
      <c r="AK40" s="230">
        <f t="shared" si="8"/>
        <v>45.412914468895288</v>
      </c>
      <c r="AL40" s="232">
        <f t="shared" si="9"/>
        <v>42.922811361981061</v>
      </c>
      <c r="AM40" s="427" t="str">
        <f t="shared" si="10"/>
        <v>-10.29 pts.</v>
      </c>
      <c r="AN40" s="456" t="str">
        <f t="shared" si="11"/>
        <v>-6.04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10"/>
      <c r="Q41" s="210"/>
      <c r="R41" s="210"/>
      <c r="S41" s="210"/>
      <c r="T41" s="210"/>
      <c r="U41" s="210"/>
      <c r="V41" s="210"/>
      <c r="W41" s="210"/>
      <c r="X41" s="210"/>
      <c r="Y41" s="210"/>
      <c r="Z41" s="210"/>
      <c r="AA41" s="252" t="str">
        <f t="shared" si="1"/>
        <v/>
      </c>
      <c r="AB41" s="211" t="str">
        <f t="shared" si="2"/>
        <v/>
      </c>
      <c r="AC41" s="459"/>
      <c r="AD41" s="210"/>
      <c r="AE41" s="211" t="str">
        <f t="shared" si="3"/>
        <v/>
      </c>
      <c r="AF41" s="253" t="str">
        <f t="shared" si="4"/>
        <v/>
      </c>
      <c r="AG41" s="210"/>
      <c r="AH41" s="211" t="str">
        <f t="shared" si="5"/>
        <v/>
      </c>
      <c r="AI41" s="569"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v>258.99</v>
      </c>
      <c r="Q42" s="564"/>
      <c r="R42" s="564"/>
      <c r="S42" s="564"/>
      <c r="T42" s="564"/>
      <c r="U42" s="564"/>
      <c r="V42" s="564"/>
      <c r="W42" s="564"/>
      <c r="X42" s="564"/>
      <c r="Y42" s="564"/>
      <c r="Z42" s="564"/>
      <c r="AA42" s="250">
        <f t="shared" si="1"/>
        <v>258.99</v>
      </c>
      <c r="AB42" s="565">
        <f t="shared" si="2"/>
        <v>3.2817358645490413E-3</v>
      </c>
      <c r="AC42" s="437"/>
      <c r="AD42" s="564"/>
      <c r="AE42" s="565" t="str">
        <f t="shared" si="3"/>
        <v/>
      </c>
      <c r="AF42" s="566">
        <f t="shared" si="4"/>
        <v>258.99</v>
      </c>
      <c r="AG42" s="564">
        <v>1028</v>
      </c>
      <c r="AH42" s="565">
        <f t="shared" si="5"/>
        <v>4.3730847016309818E-3</v>
      </c>
      <c r="AI42" s="567">
        <f t="shared" si="6"/>
        <v>-769.01</v>
      </c>
      <c r="AJ42" s="440">
        <f t="shared" si="7"/>
        <v>0.28398026315789476</v>
      </c>
      <c r="AK42" s="441">
        <f t="shared" si="8"/>
        <v>0</v>
      </c>
      <c r="AL42" s="442">
        <f t="shared" si="9"/>
        <v>0.37436270939548433</v>
      </c>
      <c r="AM42" s="443">
        <f t="shared" si="10"/>
        <v>0</v>
      </c>
      <c r="AN42" s="444" t="str">
        <f t="shared" si="11"/>
        <v>-0.11 pts.</v>
      </c>
      <c r="AO42" s="11"/>
    </row>
    <row r="43" spans="1:41" x14ac:dyDescent="0.3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v>102</v>
      </c>
      <c r="P43" s="564">
        <v>7</v>
      </c>
      <c r="Q43" s="564"/>
      <c r="R43" s="564"/>
      <c r="S43" s="564"/>
      <c r="T43" s="564"/>
      <c r="U43" s="564"/>
      <c r="V43" s="564"/>
      <c r="W43" s="564"/>
      <c r="X43" s="564"/>
      <c r="Y43" s="564"/>
      <c r="Z43" s="564"/>
      <c r="AA43" s="250">
        <f t="shared" si="1"/>
        <v>109</v>
      </c>
      <c r="AB43" s="565">
        <f t="shared" si="2"/>
        <v>1.3811699650019132E-3</v>
      </c>
      <c r="AC43" s="437"/>
      <c r="AD43" s="564"/>
      <c r="AE43" s="565" t="str">
        <f t="shared" si="3"/>
        <v/>
      </c>
      <c r="AF43" s="566">
        <f t="shared" si="4"/>
        <v>109</v>
      </c>
      <c r="AG43" s="564">
        <v>1313</v>
      </c>
      <c r="AH43" s="565">
        <f t="shared" si="5"/>
        <v>5.5854671335033848E-3</v>
      </c>
      <c r="AI43" s="567">
        <f t="shared" si="6"/>
        <v>-1204</v>
      </c>
      <c r="AJ43" s="440">
        <f t="shared" si="7"/>
        <v>0.11951754385964912</v>
      </c>
      <c r="AK43" s="441">
        <f t="shared" si="8"/>
        <v>0</v>
      </c>
      <c r="AL43" s="442">
        <f t="shared" si="9"/>
        <v>0.47815003641660597</v>
      </c>
      <c r="AM43" s="443">
        <f t="shared" si="10"/>
        <v>0</v>
      </c>
      <c r="AN43" s="444" t="str">
        <f t="shared" si="11"/>
        <v>-0.42 pts.</v>
      </c>
      <c r="AO43" s="11"/>
    </row>
    <row r="44" spans="1:41" x14ac:dyDescent="0.3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c r="P44" s="564">
        <v>1797</v>
      </c>
      <c r="Q44" s="564"/>
      <c r="R44" s="564"/>
      <c r="S44" s="564"/>
      <c r="T44" s="564"/>
      <c r="U44" s="564"/>
      <c r="V44" s="564"/>
      <c r="W44" s="564"/>
      <c r="X44" s="564"/>
      <c r="Y44" s="564"/>
      <c r="Z44" s="564"/>
      <c r="AA44" s="250">
        <f t="shared" si="1"/>
        <v>1797</v>
      </c>
      <c r="AB44" s="565">
        <f t="shared" si="2"/>
        <v>2.2770297496407688E-2</v>
      </c>
      <c r="AC44" s="437"/>
      <c r="AD44" s="564">
        <v>32818.435343999998</v>
      </c>
      <c r="AE44" s="565">
        <f t="shared" si="3"/>
        <v>8.7024033790456382E-2</v>
      </c>
      <c r="AF44" s="566">
        <f t="shared" si="4"/>
        <v>-31021.435343999998</v>
      </c>
      <c r="AG44" s="564">
        <v>9622.67</v>
      </c>
      <c r="AH44" s="565">
        <f t="shared" si="5"/>
        <v>4.093458265159864E-2</v>
      </c>
      <c r="AI44" s="567">
        <f t="shared" si="6"/>
        <v>-7825.67</v>
      </c>
      <c r="AJ44" s="440">
        <f t="shared" si="7"/>
        <v>1.9703947368421053</v>
      </c>
      <c r="AK44" s="441">
        <f t="shared" si="8"/>
        <v>7.265538043834403</v>
      </c>
      <c r="AL44" s="442">
        <f t="shared" si="9"/>
        <v>3.5042498179169703</v>
      </c>
      <c r="AM44" s="443" t="str">
        <f t="shared" si="10"/>
        <v>-6.43 pts.</v>
      </c>
      <c r="AN44" s="444" t="str">
        <f t="shared" si="11"/>
        <v>-1.82 pts.</v>
      </c>
      <c r="AO44" s="11"/>
    </row>
    <row r="45" spans="1:41" x14ac:dyDescent="0.3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45">
        <v>918</v>
      </c>
      <c r="P45" s="251">
        <v>1500</v>
      </c>
      <c r="Q45" s="251"/>
      <c r="R45" s="251"/>
      <c r="S45" s="251"/>
      <c r="T45" s="251"/>
      <c r="U45" s="251"/>
      <c r="V45" s="251"/>
      <c r="W45" s="251">
        <v>504</v>
      </c>
      <c r="X45" s="251"/>
      <c r="Y45" s="251"/>
      <c r="Z45" s="251"/>
      <c r="AA45" s="251">
        <f t="shared" si="1"/>
        <v>2922</v>
      </c>
      <c r="AB45" s="446">
        <f t="shared" si="2"/>
        <v>3.7025492089317345E-2</v>
      </c>
      <c r="AC45" s="437"/>
      <c r="AD45" s="251"/>
      <c r="AE45" s="446" t="str">
        <f t="shared" si="3"/>
        <v/>
      </c>
      <c r="AF45" s="447">
        <f t="shared" si="4"/>
        <v>2922</v>
      </c>
      <c r="AG45" s="251"/>
      <c r="AH45" s="446" t="str">
        <f t="shared" si="5"/>
        <v/>
      </c>
      <c r="AI45" s="448">
        <f t="shared" si="6"/>
        <v>2922</v>
      </c>
      <c r="AJ45" s="449">
        <f t="shared" si="7"/>
        <v>3.2039473684210527</v>
      </c>
      <c r="AK45" s="450">
        <f t="shared" si="8"/>
        <v>0</v>
      </c>
      <c r="AL45" s="451">
        <f t="shared" si="9"/>
        <v>0</v>
      </c>
      <c r="AM45" s="452">
        <f t="shared" si="10"/>
        <v>0</v>
      </c>
      <c r="AN45" s="453">
        <f t="shared" si="11"/>
        <v>0</v>
      </c>
      <c r="AO45" s="11"/>
    </row>
    <row r="46" spans="1:41" x14ac:dyDescent="0.3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54">
        <v>1020</v>
      </c>
      <c r="P46" s="225">
        <v>3562.99</v>
      </c>
      <c r="Q46" s="225"/>
      <c r="R46" s="225"/>
      <c r="S46" s="225"/>
      <c r="T46" s="225"/>
      <c r="U46" s="225"/>
      <c r="V46" s="225"/>
      <c r="W46" s="225">
        <v>504</v>
      </c>
      <c r="X46" s="225"/>
      <c r="Y46" s="225"/>
      <c r="Z46" s="225"/>
      <c r="AA46" s="225">
        <f t="shared" si="1"/>
        <v>5086.99</v>
      </c>
      <c r="AB46" s="226">
        <f t="shared" si="2"/>
        <v>6.4458695415275991E-2</v>
      </c>
      <c r="AC46" s="227"/>
      <c r="AD46" s="225">
        <v>32818.435343999998</v>
      </c>
      <c r="AE46" s="226">
        <f t="shared" si="3"/>
        <v>8.7024033790456382E-2</v>
      </c>
      <c r="AF46" s="228">
        <f t="shared" si="4"/>
        <v>-27731.445344</v>
      </c>
      <c r="AG46" s="225">
        <v>11963.67</v>
      </c>
      <c r="AH46" s="226">
        <f t="shared" si="5"/>
        <v>5.0893134486733008E-2</v>
      </c>
      <c r="AI46" s="455">
        <f t="shared" si="6"/>
        <v>-6876.68</v>
      </c>
      <c r="AJ46" s="229">
        <f t="shared" si="7"/>
        <v>5.5778399122807016</v>
      </c>
      <c r="AK46" s="230">
        <f t="shared" si="8"/>
        <v>7.265538043834403</v>
      </c>
      <c r="AL46" s="232">
        <f t="shared" si="9"/>
        <v>4.3567625637290606</v>
      </c>
      <c r="AM46" s="427" t="str">
        <f t="shared" si="10"/>
        <v>-2.26 pts.</v>
      </c>
      <c r="AN46" s="456" t="str">
        <f t="shared" si="11"/>
        <v>1.36 pts.</v>
      </c>
      <c r="AO46" s="11"/>
    </row>
    <row r="47" spans="1:41" x14ac:dyDescent="0.35">
      <c r="A47" s="61" t="str">
        <f>IF(_epmOfflineCondition_,"Evdre:Ok",_xll.EVDRE($B$1,A50:B57,A60:B66))</f>
        <v>Evdre:Ok</v>
      </c>
      <c r="B47" s="11"/>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5"/>
      <c r="P47" s="216"/>
      <c r="Q47" s="216"/>
      <c r="R47" s="216"/>
      <c r="S47" s="216"/>
      <c r="T47" s="216"/>
      <c r="U47" s="216"/>
      <c r="V47" s="216"/>
      <c r="W47" s="216"/>
      <c r="X47" s="216"/>
      <c r="Y47" s="216"/>
      <c r="Z47" s="216"/>
      <c r="AA47" s="216">
        <f t="shared" si="1"/>
        <v>0</v>
      </c>
      <c r="AB47" s="218" t="str">
        <f t="shared" si="2"/>
        <v/>
      </c>
      <c r="AC47" s="459"/>
      <c r="AD47" s="216"/>
      <c r="AE47" s="218" t="str">
        <f t="shared" si="3"/>
        <v/>
      </c>
      <c r="AF47" s="233">
        <f t="shared" si="4"/>
        <v>0</v>
      </c>
      <c r="AG47" s="216"/>
      <c r="AH47" s="218" t="str">
        <f t="shared" si="5"/>
        <v/>
      </c>
      <c r="AI47" s="536">
        <f t="shared" si="6"/>
        <v>0</v>
      </c>
      <c r="AJ47" s="537">
        <f t="shared" si="7"/>
        <v>0</v>
      </c>
      <c r="AK47" s="538">
        <f t="shared" si="8"/>
        <v>0</v>
      </c>
      <c r="AL47" s="539">
        <f t="shared" si="9"/>
        <v>0</v>
      </c>
      <c r="AM47" s="540">
        <f t="shared" si="10"/>
        <v>0</v>
      </c>
      <c r="AN47" s="541">
        <f t="shared" si="11"/>
        <v>0</v>
      </c>
      <c r="AO47" s="11"/>
    </row>
    <row r="48" spans="1:41" x14ac:dyDescent="0.3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54">
        <v>23862.89</v>
      </c>
      <c r="P48" s="225">
        <v>26790.99</v>
      </c>
      <c r="Q48" s="225">
        <v>-375</v>
      </c>
      <c r="R48" s="225"/>
      <c r="S48" s="225">
        <v>-11139.03</v>
      </c>
      <c r="T48" s="225"/>
      <c r="U48" s="225"/>
      <c r="V48" s="225"/>
      <c r="W48" s="225">
        <v>504</v>
      </c>
      <c r="X48" s="225">
        <v>250</v>
      </c>
      <c r="Y48" s="225"/>
      <c r="Z48" s="225"/>
      <c r="AA48" s="225">
        <f t="shared" si="1"/>
        <v>39893.850000000006</v>
      </c>
      <c r="AB48" s="226">
        <f t="shared" si="2"/>
        <v>0.50550630649808792</v>
      </c>
      <c r="AC48" s="227"/>
      <c r="AD48" s="225">
        <v>237948.57</v>
      </c>
      <c r="AE48" s="226">
        <f t="shared" si="3"/>
        <v>0.63096379150983994</v>
      </c>
      <c r="AF48" s="228">
        <f t="shared" si="4"/>
        <v>-198054.72</v>
      </c>
      <c r="AG48" s="225">
        <v>129829.71</v>
      </c>
      <c r="AH48" s="226">
        <f t="shared" si="5"/>
        <v>0.55229213873364491</v>
      </c>
      <c r="AI48" s="455">
        <f t="shared" si="6"/>
        <v>-89935.86</v>
      </c>
      <c r="AJ48" s="229">
        <f t="shared" si="7"/>
        <v>43.743256578947374</v>
      </c>
      <c r="AK48" s="230">
        <f t="shared" si="8"/>
        <v>52.678452512729692</v>
      </c>
      <c r="AL48" s="232">
        <f t="shared" si="9"/>
        <v>47.279573925710125</v>
      </c>
      <c r="AM48" s="427" t="str">
        <f t="shared" si="10"/>
        <v>-12.55 pts.</v>
      </c>
      <c r="AN48" s="456" t="str">
        <f t="shared" si="11"/>
        <v>-4.68 pts.</v>
      </c>
      <c r="AO48" s="11"/>
    </row>
    <row r="49" spans="1:41" x14ac:dyDescent="0.3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10"/>
      <c r="Q49" s="210"/>
      <c r="R49" s="210"/>
      <c r="S49" s="210"/>
      <c r="T49" s="210"/>
      <c r="U49" s="210"/>
      <c r="V49" s="210"/>
      <c r="W49" s="210"/>
      <c r="X49" s="210"/>
      <c r="Y49" s="210"/>
      <c r="Z49" s="210"/>
      <c r="AA49" s="252" t="str">
        <f t="shared" si="1"/>
        <v/>
      </c>
      <c r="AB49" s="211" t="str">
        <f t="shared" si="2"/>
        <v/>
      </c>
      <c r="AC49" s="459"/>
      <c r="AD49" s="210"/>
      <c r="AE49" s="211" t="str">
        <f t="shared" si="3"/>
        <v/>
      </c>
      <c r="AF49" s="253" t="str">
        <f t="shared" si="4"/>
        <v/>
      </c>
      <c r="AG49" s="210"/>
      <c r="AH49" s="211" t="str">
        <f t="shared" si="5"/>
        <v/>
      </c>
      <c r="AI49" s="569" t="str">
        <f t="shared" si="6"/>
        <v/>
      </c>
      <c r="AJ49" s="234">
        <f t="shared" si="7"/>
        <v>0</v>
      </c>
      <c r="AK49" s="235">
        <f t="shared" si="8"/>
        <v>0</v>
      </c>
      <c r="AL49" s="237">
        <f t="shared" si="9"/>
        <v>0</v>
      </c>
      <c r="AM49" s="429">
        <f t="shared" si="10"/>
        <v>0</v>
      </c>
      <c r="AN49" s="462">
        <f t="shared" si="11"/>
        <v>0</v>
      </c>
      <c r="AO49" s="11"/>
    </row>
    <row r="50" spans="1:41" x14ac:dyDescent="0.35">
      <c r="A50" s="65" t="s">
        <v>2</v>
      </c>
      <c r="B50" s="66" t="str">
        <f>IF(_epmOfflineCondition_,"'BCC_CONS'!$B$2:$B$10",_xll.EVRNG($B$2:$B$10))</f>
        <v>'BCC_CONS'!$B$2:$B$10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v>4474.75</v>
      </c>
      <c r="P50" s="564">
        <v>3750</v>
      </c>
      <c r="Q50" s="564">
        <v>-187.52</v>
      </c>
      <c r="R50" s="564"/>
      <c r="S50" s="564">
        <v>-1123.5</v>
      </c>
      <c r="T50" s="564"/>
      <c r="U50" s="564"/>
      <c r="V50" s="564"/>
      <c r="W50" s="564"/>
      <c r="X50" s="564"/>
      <c r="Y50" s="564"/>
      <c r="Z50" s="564"/>
      <c r="AA50" s="250">
        <f t="shared" si="1"/>
        <v>6913.73</v>
      </c>
      <c r="AB50" s="565">
        <f t="shared" si="2"/>
        <v>8.7605836900299786E-2</v>
      </c>
      <c r="AC50" s="437"/>
      <c r="AD50" s="564">
        <v>18273</v>
      </c>
      <c r="AE50" s="565">
        <f t="shared" si="3"/>
        <v>4.8454173783264616E-2</v>
      </c>
      <c r="AF50" s="566">
        <f t="shared" si="4"/>
        <v>-11359.27</v>
      </c>
      <c r="AG50" s="564">
        <v>15792.83</v>
      </c>
      <c r="AH50" s="565">
        <f t="shared" si="5"/>
        <v>6.7182279444026091E-2</v>
      </c>
      <c r="AI50" s="567">
        <f t="shared" si="6"/>
        <v>-8879.1</v>
      </c>
      <c r="AJ50" s="440">
        <f t="shared" si="7"/>
        <v>7.5808442982456139</v>
      </c>
      <c r="AK50" s="441">
        <f t="shared" si="8"/>
        <v>4.0453841044941337</v>
      </c>
      <c r="AL50" s="442">
        <f t="shared" si="9"/>
        <v>5.7512126729788786</v>
      </c>
      <c r="AM50" s="443" t="str">
        <f t="shared" si="10"/>
        <v>3.92 pts.</v>
      </c>
      <c r="AN50" s="444" t="str">
        <f t="shared" si="11"/>
        <v>2.04 pts.</v>
      </c>
      <c r="AO50" s="11"/>
    </row>
    <row r="51" spans="1:41" x14ac:dyDescent="0.35">
      <c r="A51" s="65" t="s">
        <v>3</v>
      </c>
      <c r="B51" s="66" t="str">
        <f>IF(_epmOfflineCondition_,"'BCC_CONS'!$O$16:$AN$18",_xll.EVRNG($O$16:$AN$18))</f>
        <v>'BCC_CONS'!$O$16:$AN$18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v>14875</v>
      </c>
      <c r="P51" s="564">
        <v>7300</v>
      </c>
      <c r="Q51" s="564"/>
      <c r="R51" s="564"/>
      <c r="S51" s="564"/>
      <c r="T51" s="564"/>
      <c r="U51" s="564"/>
      <c r="V51" s="564"/>
      <c r="W51" s="564"/>
      <c r="X51" s="564"/>
      <c r="Y51" s="564">
        <v>650</v>
      </c>
      <c r="Z51" s="564"/>
      <c r="AA51" s="250">
        <f t="shared" si="1"/>
        <v>22825</v>
      </c>
      <c r="AB51" s="565">
        <f t="shared" si="2"/>
        <v>0.28922205918503369</v>
      </c>
      <c r="AC51" s="437"/>
      <c r="AD51" s="564">
        <v>64998.96</v>
      </c>
      <c r="AE51" s="565">
        <f t="shared" si="3"/>
        <v>0.1723565316900052</v>
      </c>
      <c r="AF51" s="566">
        <f t="shared" si="4"/>
        <v>-42173.96</v>
      </c>
      <c r="AG51" s="564">
        <v>57870.19</v>
      </c>
      <c r="AH51" s="565">
        <f t="shared" si="5"/>
        <v>0.24617825152672981</v>
      </c>
      <c r="AI51" s="567">
        <f t="shared" si="6"/>
        <v>-35045.19</v>
      </c>
      <c r="AJ51" s="440">
        <f t="shared" si="7"/>
        <v>25.027412280701753</v>
      </c>
      <c r="AK51" s="441">
        <f t="shared" si="8"/>
        <v>14.38985167146336</v>
      </c>
      <c r="AL51" s="442">
        <f t="shared" si="9"/>
        <v>21.074359067734889</v>
      </c>
      <c r="AM51" s="443" t="str">
        <f t="shared" si="10"/>
        <v>11.69 pts.</v>
      </c>
      <c r="AN51" s="444" t="str">
        <f t="shared" si="11"/>
        <v>4.3 pts.</v>
      </c>
      <c r="AO51" s="11"/>
    </row>
    <row r="52" spans="1:41" x14ac:dyDescent="0.35">
      <c r="A52" s="65" t="s">
        <v>4</v>
      </c>
      <c r="B52" s="66" t="str">
        <f>IF(_epmOfflineCondition_,"'BCC_CONS'!$H$60:$H$68",_xll.EVRNG(H60:H68))</f>
        <v>'BCC_CONS'!$H$60:$H$68</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v>5127.83</v>
      </c>
      <c r="P52" s="564">
        <v>5893.74</v>
      </c>
      <c r="Q52" s="564"/>
      <c r="R52" s="564"/>
      <c r="S52" s="564">
        <v>-2621.96</v>
      </c>
      <c r="T52" s="564"/>
      <c r="U52" s="564"/>
      <c r="V52" s="564"/>
      <c r="W52" s="564">
        <v>110.88</v>
      </c>
      <c r="X52" s="564">
        <v>55</v>
      </c>
      <c r="Y52" s="564"/>
      <c r="Z52" s="564"/>
      <c r="AA52" s="250">
        <f t="shared" si="1"/>
        <v>8565.49</v>
      </c>
      <c r="AB52" s="565">
        <f t="shared" si="2"/>
        <v>0.10853575709655264</v>
      </c>
      <c r="AC52" s="437"/>
      <c r="AD52" s="564">
        <v>52348.685400000002</v>
      </c>
      <c r="AE52" s="565">
        <f t="shared" si="3"/>
        <v>0.13881203413216478</v>
      </c>
      <c r="AF52" s="566">
        <f t="shared" si="4"/>
        <v>-43783.195400000004</v>
      </c>
      <c r="AG52" s="564">
        <v>28181.61</v>
      </c>
      <c r="AH52" s="565">
        <f t="shared" si="5"/>
        <v>0.11988382058203376</v>
      </c>
      <c r="AI52" s="567">
        <f t="shared" si="6"/>
        <v>-19616.120000000003</v>
      </c>
      <c r="AJ52" s="440">
        <f t="shared" si="7"/>
        <v>9.3919846491228061</v>
      </c>
      <c r="AK52" s="441">
        <f t="shared" si="8"/>
        <v>11.589259552800533</v>
      </c>
      <c r="AL52" s="442">
        <f t="shared" si="9"/>
        <v>10.262785870356883</v>
      </c>
      <c r="AM52" s="443" t="str">
        <f t="shared" si="10"/>
        <v>-3.03 pts.</v>
      </c>
      <c r="AN52" s="444" t="str">
        <f t="shared" si="11"/>
        <v>-1.13 pts.</v>
      </c>
      <c r="AO52" s="11"/>
    </row>
    <row r="53" spans="1:41" x14ac:dyDescent="0.3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v>270.52999999999997</v>
      </c>
      <c r="P53" s="564">
        <v>450</v>
      </c>
      <c r="Q53" s="564"/>
      <c r="R53" s="564"/>
      <c r="S53" s="564"/>
      <c r="T53" s="564"/>
      <c r="U53" s="564"/>
      <c r="V53" s="564"/>
      <c r="W53" s="564"/>
      <c r="X53" s="564"/>
      <c r="Y53" s="564"/>
      <c r="Z53" s="564"/>
      <c r="AA53" s="250">
        <f t="shared" si="1"/>
        <v>720.53</v>
      </c>
      <c r="AB53" s="565">
        <f t="shared" si="2"/>
        <v>9.1300403200259492E-3</v>
      </c>
      <c r="AC53" s="437"/>
      <c r="AD53" s="564">
        <v>3550</v>
      </c>
      <c r="AE53" s="565">
        <f t="shared" si="3"/>
        <v>9.413468884725518E-3</v>
      </c>
      <c r="AF53" s="566">
        <f t="shared" si="4"/>
        <v>-2829.4700000000003</v>
      </c>
      <c r="AG53" s="564">
        <v>3400</v>
      </c>
      <c r="AH53" s="565">
        <f t="shared" si="5"/>
        <v>1.4463509713565505E-2</v>
      </c>
      <c r="AI53" s="567">
        <f t="shared" si="6"/>
        <v>-2679.4700000000003</v>
      </c>
      <c r="AJ53" s="440">
        <f t="shared" si="7"/>
        <v>0.79005482456140352</v>
      </c>
      <c r="AK53" s="441">
        <f t="shared" si="8"/>
        <v>0.78591985831303968</v>
      </c>
      <c r="AL53" s="442">
        <f t="shared" si="9"/>
        <v>1.238164603058995</v>
      </c>
      <c r="AM53" s="443" t="str">
        <f t="shared" si="10"/>
        <v>-0.03 pts.</v>
      </c>
      <c r="AN53" s="444" t="str">
        <f t="shared" si="11"/>
        <v>-0.53 pts.</v>
      </c>
      <c r="AO53" s="11"/>
    </row>
    <row r="54" spans="1:41" x14ac:dyDescent="0.3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45"/>
      <c r="P54" s="251"/>
      <c r="Q54" s="251"/>
      <c r="R54" s="251"/>
      <c r="S54" s="251"/>
      <c r="T54" s="251"/>
      <c r="U54" s="251"/>
      <c r="V54" s="251"/>
      <c r="W54" s="251"/>
      <c r="X54" s="251"/>
      <c r="Y54" s="251"/>
      <c r="Z54" s="251"/>
      <c r="AA54" s="251">
        <f t="shared" si="1"/>
        <v>0</v>
      </c>
      <c r="AB54" s="446" t="str">
        <f t="shared" si="2"/>
        <v/>
      </c>
      <c r="AC54" s="437"/>
      <c r="AD54" s="251"/>
      <c r="AE54" s="446" t="str">
        <f t="shared" si="3"/>
        <v/>
      </c>
      <c r="AF54" s="447">
        <f t="shared" si="4"/>
        <v>0</v>
      </c>
      <c r="AG54" s="251"/>
      <c r="AH54" s="446" t="str">
        <f t="shared" si="5"/>
        <v/>
      </c>
      <c r="AI54" s="448">
        <f t="shared" si="6"/>
        <v>0</v>
      </c>
      <c r="AJ54" s="449">
        <f t="shared" si="7"/>
        <v>0</v>
      </c>
      <c r="AK54" s="450">
        <f t="shared" si="8"/>
        <v>0</v>
      </c>
      <c r="AL54" s="451">
        <f t="shared" si="9"/>
        <v>0</v>
      </c>
      <c r="AM54" s="452">
        <f t="shared" si="10"/>
        <v>0</v>
      </c>
      <c r="AN54" s="453">
        <f t="shared" si="11"/>
        <v>0</v>
      </c>
      <c r="AO54" s="11"/>
    </row>
    <row r="55" spans="1:41" x14ac:dyDescent="0.35">
      <c r="A55" s="65" t="s">
        <v>7</v>
      </c>
      <c r="B55" s="66" t="str">
        <f>IF(_epmOfflineCondition_,"'BCC_CONS'!$A$69:$F$77",_xll.EVRNG(A69:F77))</f>
        <v>'BCC_CONS'!$A$69:$F$77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63">
        <v>24748.11</v>
      </c>
      <c r="P55" s="238">
        <v>17393.740000000002</v>
      </c>
      <c r="Q55" s="238">
        <v>-187.52</v>
      </c>
      <c r="R55" s="238"/>
      <c r="S55" s="238">
        <v>-3745.46</v>
      </c>
      <c r="T55" s="238"/>
      <c r="U55" s="238"/>
      <c r="V55" s="238"/>
      <c r="W55" s="238">
        <v>110.88</v>
      </c>
      <c r="X55" s="238">
        <v>55</v>
      </c>
      <c r="Y55" s="238">
        <v>650</v>
      </c>
      <c r="Z55" s="238"/>
      <c r="AA55" s="238">
        <f t="shared" si="1"/>
        <v>39024.750000000007</v>
      </c>
      <c r="AB55" s="239">
        <f t="shared" si="2"/>
        <v>0.49449369350191213</v>
      </c>
      <c r="AC55" s="240"/>
      <c r="AD55" s="238">
        <v>139170.64540000001</v>
      </c>
      <c r="AE55" s="239">
        <f t="shared" si="3"/>
        <v>0.36903620849016017</v>
      </c>
      <c r="AF55" s="241">
        <f t="shared" si="4"/>
        <v>-100145.89540000001</v>
      </c>
      <c r="AG55" s="238">
        <v>105244.63</v>
      </c>
      <c r="AH55" s="239">
        <f t="shared" si="5"/>
        <v>0.44770786126635514</v>
      </c>
      <c r="AI55" s="464">
        <f t="shared" si="6"/>
        <v>-66219.88</v>
      </c>
      <c r="AJ55" s="242">
        <f t="shared" si="7"/>
        <v>42.790296052631589</v>
      </c>
      <c r="AK55" s="243">
        <f t="shared" si="8"/>
        <v>30.810415187071065</v>
      </c>
      <c r="AL55" s="245">
        <f t="shared" si="9"/>
        <v>38.326522214129646</v>
      </c>
      <c r="AM55" s="431" t="str">
        <f t="shared" si="10"/>
        <v>12.55 pts.</v>
      </c>
      <c r="AN55" s="465" t="str">
        <f t="shared" si="11"/>
        <v>4.68 pts.</v>
      </c>
      <c r="AO55" s="11"/>
    </row>
    <row r="56" spans="1:41" x14ac:dyDescent="0.35">
      <c r="A56" s="65" t="s">
        <v>47</v>
      </c>
      <c r="B56" s="66" t="str">
        <f>IF(_epmOfflineCondition_,"'BCC_CONS'!$A$125:$B$130",_xll.EVRNG($A$125:$B$130))</f>
        <v>'BCC_CONS'!$A$125:$B$130</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454">
        <v>48611</v>
      </c>
      <c r="P56" s="225">
        <v>44184.73</v>
      </c>
      <c r="Q56" s="225">
        <v>-562.52</v>
      </c>
      <c r="R56" s="225"/>
      <c r="S56" s="225">
        <v>-14884.49</v>
      </c>
      <c r="T56" s="225"/>
      <c r="U56" s="225"/>
      <c r="V56" s="225"/>
      <c r="W56" s="225">
        <v>614.88</v>
      </c>
      <c r="X56" s="225">
        <v>305</v>
      </c>
      <c r="Y56" s="225">
        <v>650</v>
      </c>
      <c r="Z56" s="225"/>
      <c r="AA56" s="225">
        <f t="shared" si="1"/>
        <v>78918.600000000006</v>
      </c>
      <c r="AB56" s="226">
        <f t="shared" si="2"/>
        <v>1</v>
      </c>
      <c r="AC56" s="227"/>
      <c r="AD56" s="225">
        <v>377119.21539999999</v>
      </c>
      <c r="AE56" s="226">
        <f t="shared" si="3"/>
        <v>1</v>
      </c>
      <c r="AF56" s="228">
        <f t="shared" si="4"/>
        <v>-298200.61540000001</v>
      </c>
      <c r="AG56" s="225">
        <v>235074.34</v>
      </c>
      <c r="AH56" s="226">
        <f t="shared" si="5"/>
        <v>1</v>
      </c>
      <c r="AI56" s="455">
        <f t="shared" si="6"/>
        <v>-156155.74</v>
      </c>
      <c r="AJ56" s="229">
        <f t="shared" si="7"/>
        <v>86.533552631578956</v>
      </c>
      <c r="AK56" s="230">
        <f t="shared" si="8"/>
        <v>83.48886769980075</v>
      </c>
      <c r="AL56" s="232">
        <f t="shared" si="9"/>
        <v>85.606096139839764</v>
      </c>
      <c r="AM56" s="427" t="str">
        <f t="shared" si="10"/>
        <v>0 pts.</v>
      </c>
      <c r="AN56" s="456" t="str">
        <f t="shared" si="11"/>
        <v>0 pts.</v>
      </c>
      <c r="AO56" s="11"/>
    </row>
    <row r="57" spans="1:41" x14ac:dyDescent="0.35">
      <c r="A57" s="65" t="s">
        <v>8</v>
      </c>
      <c r="B57" s="66"/>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203"/>
      <c r="AE57" s="204"/>
      <c r="AF57" s="118"/>
      <c r="AG57" s="204"/>
      <c r="AH57" s="204"/>
      <c r="AI57" s="118"/>
      <c r="AJ57" s="11"/>
      <c r="AK57" s="11"/>
      <c r="AL57" s="11"/>
      <c r="AM57" s="11"/>
      <c r="AN57" s="11"/>
      <c r="AO57" s="11"/>
    </row>
    <row r="58" spans="1:41" x14ac:dyDescent="0.35">
      <c r="A58" s="11"/>
      <c r="B58" s="11"/>
      <c r="C58" s="11"/>
      <c r="D58" s="11"/>
      <c r="E58" s="11"/>
      <c r="F58" s="11"/>
      <c r="G58" s="76"/>
      <c r="H58" s="11" t="s">
        <v>281</v>
      </c>
      <c r="I58" s="59" t="str">
        <f>IF(_epmOfflineCondition_,"B1",_xll.EVPRO($B$1,$H58,"STYLE"))</f>
        <v>B1</v>
      </c>
      <c r="J58" s="59" t="str">
        <f>IF(_epmOfflineCondition_,"Y",_xll.EVPRO($B$1,$H58,"CALC"))</f>
        <v>Y</v>
      </c>
      <c r="K58" s="11"/>
      <c r="L58" s="11"/>
      <c r="M58" s="11"/>
      <c r="N58" s="105" t="str">
        <f>IF(_epmOfflineCondition_,"Cost of Sales",IF(_xll.EVDES(H58,$B$1)="#NODATA","",_xll.EVDES(H58,$B$1)))</f>
        <v>Cost of Sales</v>
      </c>
      <c r="O58" s="203"/>
      <c r="P58" s="204"/>
      <c r="Q58" s="204"/>
      <c r="R58" s="204"/>
      <c r="S58" s="204"/>
      <c r="T58" s="204"/>
      <c r="U58" s="204"/>
      <c r="V58" s="204"/>
      <c r="W58" s="204"/>
      <c r="X58" s="204"/>
      <c r="Y58" s="204"/>
      <c r="Z58" s="204"/>
      <c r="AA58" s="204"/>
      <c r="AB58" s="410"/>
      <c r="AC58" s="11"/>
      <c r="AD58" s="411"/>
      <c r="AE58" s="412"/>
      <c r="AF58" s="118"/>
      <c r="AG58" s="204"/>
      <c r="AH58" s="412"/>
      <c r="AI58" s="118"/>
      <c r="AJ58" s="11"/>
      <c r="AK58" s="11"/>
      <c r="AL58" s="11"/>
      <c r="AM58" s="11"/>
      <c r="AN58" s="11"/>
      <c r="AO58" s="11"/>
    </row>
    <row r="59" spans="1:41" x14ac:dyDescent="0.35">
      <c r="A59" s="62" t="s">
        <v>9</v>
      </c>
      <c r="B59" s="63" t="s">
        <v>10</v>
      </c>
      <c r="C59" s="11"/>
      <c r="D59" s="11"/>
      <c r="E59" s="11"/>
      <c r="F59" s="11"/>
      <c r="G59" s="11"/>
      <c r="H59" s="11" t="s">
        <v>284</v>
      </c>
      <c r="I59" s="59" t="str">
        <f>IF(_epmOfflineCondition_,"B1",_xll.EVPRO($B$1,$H59,"STYLE"))</f>
        <v>B1</v>
      </c>
      <c r="J59" s="59" t="str">
        <f>IF(_epmOfflineCondition_,"Y",_xll.EVPRO($B$1,$H59,"CALC"))</f>
        <v>Y</v>
      </c>
      <c r="K59" s="11"/>
      <c r="L59" s="11"/>
      <c r="M59" s="11"/>
      <c r="N59" s="53" t="str">
        <f>IF(_epmOfflineCondition_,"Cost of Food &amp; Beverage Sales",IF(_xll.EVDES(H59,$B$1)="#NODATA","",_xll.EVDES(H59,$B$1)))</f>
        <v>Cost of Food &amp; Beverage Sales</v>
      </c>
      <c r="O59" s="203"/>
      <c r="P59" s="204"/>
      <c r="Q59" s="204"/>
      <c r="R59" s="204"/>
      <c r="S59" s="204"/>
      <c r="T59" s="204"/>
      <c r="U59" s="204"/>
      <c r="V59" s="204"/>
      <c r="W59" s="204"/>
      <c r="X59" s="204"/>
      <c r="Y59" s="204"/>
      <c r="Z59" s="204"/>
      <c r="AA59" s="204"/>
      <c r="AB59" s="118"/>
      <c r="AC59" s="11"/>
      <c r="AD59" s="203"/>
      <c r="AE59" s="204"/>
      <c r="AF59" s="118"/>
      <c r="AG59" s="204"/>
      <c r="AH59" s="204"/>
      <c r="AI59" s="118"/>
      <c r="AJ59" s="11"/>
      <c r="AK59" s="11"/>
      <c r="AL59" s="11"/>
      <c r="AM59" s="11"/>
      <c r="AN59" s="11"/>
      <c r="AO59" s="11"/>
    </row>
    <row r="60" spans="1:41" x14ac:dyDescent="0.35">
      <c r="A60" s="65" t="s">
        <v>11</v>
      </c>
      <c r="B60" s="66" t="s">
        <v>21</v>
      </c>
      <c r="C60" s="11"/>
      <c r="D60" s="11"/>
      <c r="E60" s="11"/>
      <c r="F60" s="11"/>
      <c r="G60" s="11"/>
      <c r="H60" s="88" t="s">
        <v>285</v>
      </c>
      <c r="I60" s="122" t="str">
        <f>IF(_epmOfflineCondition_,"T5",_xll.EVPRO($B$1,$H60,"STYLE"))</f>
        <v>T5</v>
      </c>
      <c r="J60" s="122" t="str">
        <f>IF(_epmOfflineCondition_,"Y",_xll.EVPRO($B$1,$H60,"CALC"))</f>
        <v>Y</v>
      </c>
      <c r="K60" s="179" t="str">
        <f t="shared" ref="K60:K70" si="12">IF(AND(I60&gt;="T5"),"&gt;","")</f>
        <v>&gt;</v>
      </c>
      <c r="L60" s="90" t="str">
        <f>IF(_epmOfflineCondition_,"561100",_xll.EVPRO($B$1,H60,"JDEID"))</f>
        <v>561100</v>
      </c>
      <c r="M60" s="90" t="str">
        <f>IF(_epmOfflineCondition_,"",IF(AND(I60="N",J60="N"),_xll.EVPRO($B$1,H60,"PSFTID"),""))</f>
        <v/>
      </c>
      <c r="N60" s="90" t="str">
        <f>IF(_epmOfflineCondition_,"Cost of Food Sales",IF(_xll.EVDES(H60,$B$1)="#NODATA","",_xll.EVDES(H60,$B$1)))</f>
        <v>Cost of Food Sales</v>
      </c>
      <c r="O60" s="563">
        <v>4774.1899999999996</v>
      </c>
      <c r="P60" s="564">
        <v>4415.33</v>
      </c>
      <c r="Q60" s="564"/>
      <c r="R60" s="564"/>
      <c r="S60" s="564"/>
      <c r="T60" s="564"/>
      <c r="U60" s="564"/>
      <c r="V60" s="564"/>
      <c r="W60" s="564"/>
      <c r="X60" s="564"/>
      <c r="Y60" s="564"/>
      <c r="Z60" s="564"/>
      <c r="AA60" s="250">
        <f t="shared" ref="AA60:AA68" si="13">IF($I60="B1","",SUM(O60:Z60))</f>
        <v>9189.52</v>
      </c>
      <c r="AB60" s="565">
        <f>IF(_epmOfflineCondition_,0.264014622404894,IF(AA60=0,"",IFERROR(AA60/_xll.EVGTS($B$1,1,_xll.EVPRO($B$1,$H60,"COSBASIS"),$B$3,$B$5,$B$6,$B$7,$B$9,AA$16,AA$17,AA$11),"")))</f>
        <v>0.26401462240489398</v>
      </c>
      <c r="AC60" s="437"/>
      <c r="AD60" s="564">
        <v>42872.19</v>
      </c>
      <c r="AE60" s="565">
        <f>IF(_epmOfflineCondition_,0.208999960302741,IF(AD60=0,"",IFERROR(AD60/_xll.EVGTS($B$1,1,_xll.EVPRO($B$1,$H60,"COSBASIS"),$B$3,$B$5,$B$6,$B$7,$B$9,AD$16,AD$17,AD$18),"")))</f>
        <v>0.20899996030274101</v>
      </c>
      <c r="AF60" s="566">
        <f t="shared" ref="AF60:AF70" si="14">IF(AND($AA60="",AD60=""),"",$AA60-AD60)</f>
        <v>-33682.67</v>
      </c>
      <c r="AG60" s="564">
        <v>24677.8</v>
      </c>
      <c r="AH60" s="565">
        <f>IF(_epmOfflineCondition_,0.209371588287856,IF(AG60=0,"",IFERROR(AG60/_xll.EVGTS($B$1,1,_xll.EVPRO($B$1,$H60,"COSBASIS"),$B$3,$B$5,$B$6,$B$7,$B$9,AG$16,AG$17,AG$18),"")))</f>
        <v>0.20937158828785599</v>
      </c>
      <c r="AI60" s="567">
        <f t="shared" ref="AI60:AI70" si="15">IF(AND($AA60="",AG60=""),"",$AA60-AG60)</f>
        <v>-15488.279999999999</v>
      </c>
      <c r="AJ60" s="440">
        <f t="shared" ref="AJ60:AJ70" si="16">IFERROR(AA60/AA$20,0)</f>
        <v>10.076228070175439</v>
      </c>
      <c r="AK60" s="441">
        <f t="shared" ref="AK60:AK70" si="17">IFERROR(AD60/AD$20,0)</f>
        <v>9.4912973212309062</v>
      </c>
      <c r="AL60" s="442">
        <f t="shared" ref="AL60:AL70" si="18">IFERROR(AG60/AG$20,0)</f>
        <v>8.9868171886380193</v>
      </c>
      <c r="AM60" s="443" t="str">
        <f t="shared" ref="AM60:AM70" si="19">+IFERROR(ROUND(($AB60-AE60)*100,2)&amp;" pts.",0)</f>
        <v>5.5 pts.</v>
      </c>
      <c r="AN60" s="444" t="str">
        <f t="shared" ref="AN60:AN70" si="20">+IFERROR(ROUND(($AB60-AH60)*100,2)&amp;" pts.",0)</f>
        <v>5.46 pts.</v>
      </c>
      <c r="AO60" s="11"/>
    </row>
    <row r="61" spans="1:41" x14ac:dyDescent="0.35">
      <c r="A61" s="65" t="s">
        <v>12</v>
      </c>
      <c r="B61" s="66" t="s">
        <v>22</v>
      </c>
      <c r="C61" s="11"/>
      <c r="D61" s="11"/>
      <c r="E61" s="11"/>
      <c r="F61" s="11"/>
      <c r="G61" s="11"/>
      <c r="H61" s="88" t="s">
        <v>636</v>
      </c>
      <c r="I61" s="122" t="str">
        <f>IF(_epmOfflineCondition_,"T5",_xll.EVPRO($B$1,$H61,"STYLE"))</f>
        <v>T5</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IF(_epmOfflineCondition_,"Cost of Beverage Sales",IF(_xll.EVDES(H61,$B$1)="#NODATA","",_xll.EVDES(H61,$B$1)))</f>
        <v>Cost of Beverage Sales</v>
      </c>
      <c r="O61" s="445">
        <v>202.83</v>
      </c>
      <c r="P61" s="251">
        <v>408.11</v>
      </c>
      <c r="Q61" s="251"/>
      <c r="R61" s="251"/>
      <c r="S61" s="251"/>
      <c r="T61" s="251"/>
      <c r="U61" s="251"/>
      <c r="V61" s="251"/>
      <c r="W61" s="251"/>
      <c r="X61" s="251"/>
      <c r="Y61" s="251"/>
      <c r="Z61" s="251"/>
      <c r="AA61" s="251">
        <f t="shared" si="13"/>
        <v>610.94000000000005</v>
      </c>
      <c r="AB61" s="446">
        <f>IF(_epmOfflineCondition_,0.120098525847309,IF(AA61=0,"",IFERROR(AA61/_xll.EVGTS($B$1,1,_xll.EVPRO($B$1,$H61,"COSBASIS"),$B$3,$B$5,$B$6,$B$7,$B$9,AA$16,AA$17,AA$11),"")))</f>
        <v>0.120098525847309</v>
      </c>
      <c r="AC61" s="437"/>
      <c r="AD61" s="251">
        <v>6522.16</v>
      </c>
      <c r="AE61" s="446">
        <f>IF(_epmOfflineCondition_,0.198734642027729,IF(AD61=0,"",IFERROR(AD61/_xll.EVGTS($B$1,1,_xll.EVPRO($B$1,$H61,"COSBASIS"),$B$3,$B$5,$B$6,$B$7,$B$9,AD$16,AD$17,AD$18),"")))</f>
        <v>0.198734642027729</v>
      </c>
      <c r="AF61" s="447">
        <f t="shared" si="14"/>
        <v>-5911.2199999999993</v>
      </c>
      <c r="AG61" s="251">
        <v>2161.5</v>
      </c>
      <c r="AH61" s="446">
        <f>IF(_epmOfflineCondition_,0.180671984432871,IF(AG61=0,"",IFERROR(AG61/_xll.EVGTS($B$1,1,_xll.EVPRO($B$1,$H61,"COSBASIS"),$B$3,$B$5,$B$6,$B$7,$B$9,AG$16,AG$17,AG$18),"")))</f>
        <v>0.180671984432871</v>
      </c>
      <c r="AI61" s="448">
        <f t="shared" si="15"/>
        <v>-1550.56</v>
      </c>
      <c r="AJ61" s="449">
        <f t="shared" si="16"/>
        <v>0.66989035087719306</v>
      </c>
      <c r="AK61" s="450">
        <f t="shared" si="17"/>
        <v>1.4439141022802744</v>
      </c>
      <c r="AL61" s="451">
        <f t="shared" si="18"/>
        <v>0.78714493809176989</v>
      </c>
      <c r="AM61" s="452" t="str">
        <f t="shared" si="19"/>
        <v>-7.86 pts.</v>
      </c>
      <c r="AN61" s="453" t="str">
        <f t="shared" si="20"/>
        <v>-6.06 pts.</v>
      </c>
      <c r="AO61" s="11"/>
    </row>
    <row r="62" spans="1:41" x14ac:dyDescent="0.35">
      <c r="A62" s="65" t="s">
        <v>13</v>
      </c>
      <c r="B62" s="66" t="str">
        <f>"DEP(COS_FB) AND "&amp;$E$6&amp;"=Y,COS_FB,COSOTH,DEP(COS_OTHR) AND "&amp;$E$6&amp;"=Y,COS_OTHR,500001"</f>
        <v>DEP(COS_FB) AND D2148=Y,COS_FB,COSOTH,DEP(COS_OTHR) AND D2148=Y,COS_OTHR,500001</v>
      </c>
      <c r="C62" s="11"/>
      <c r="D62" s="11"/>
      <c r="E62" s="11"/>
      <c r="F62" s="11"/>
      <c r="G62" s="11"/>
      <c r="H62" s="88" t="s">
        <v>286</v>
      </c>
      <c r="I62" s="188" t="str">
        <f>IF(_epmOfflineCondition_,"T4",_xll.EVPRO($B$1,$H62,"STYLE"))</f>
        <v>T4</v>
      </c>
      <c r="J62" s="188" t="str">
        <f>IF(_epmOfflineCondition_,"Y",_xll.EVPRO($B$1,$H62,"CALC"))</f>
        <v>Y</v>
      </c>
      <c r="K62" s="189" t="str">
        <f t="shared" si="12"/>
        <v/>
      </c>
      <c r="L62" s="190" t="str">
        <f>IF(_epmOfflineCondition_,"",_xll.EVPRO($B$1,H62,"JDEID"))</f>
        <v/>
      </c>
      <c r="M62" s="190" t="str">
        <f>IF(_epmOfflineCondition_,"",IF(AND(I62="N",J62="N"),_xll.EVPRO($B$1,H62,"PSFTID"),""))</f>
        <v/>
      </c>
      <c r="N62" s="190" t="str">
        <f>IF(_epmOfflineCondition_,"Total Cost of Food &amp; Beverage Sales",IF(_xll.EVDES(H62,$B$1)="#NODATA","",_xll.EVDES(H62,$B$1)))</f>
        <v>Total Cost of Food &amp; Beverage Sales</v>
      </c>
      <c r="O62" s="454">
        <v>4977.0200000000004</v>
      </c>
      <c r="P62" s="225">
        <v>4823.4399999999996</v>
      </c>
      <c r="Q62" s="225"/>
      <c r="R62" s="225"/>
      <c r="S62" s="225"/>
      <c r="T62" s="225"/>
      <c r="U62" s="225"/>
      <c r="V62" s="225"/>
      <c r="W62" s="225"/>
      <c r="X62" s="225"/>
      <c r="Y62" s="225"/>
      <c r="Z62" s="225"/>
      <c r="AA62" s="225">
        <f t="shared" si="13"/>
        <v>9800.4599999999991</v>
      </c>
      <c r="AB62" s="226">
        <f>IF(_epmOfflineCondition_,0.245663429325573,IF(AA62=0,"",IFERROR(AA62/_xll.EVGTS($B$1,1,_xll.EVPRO($B$1,$H62,"COSBASIS"),$B$3,$B$5,$B$6,$B$7,$B$9,AA$16,AA$17,AA$11),"")))</f>
        <v>0.245663429325573</v>
      </c>
      <c r="AC62" s="227"/>
      <c r="AD62" s="225">
        <v>49394.35</v>
      </c>
      <c r="AE62" s="226">
        <f>IF(_epmOfflineCondition_,0.207584143077641,IF(AD62=0,"",IFERROR(AD62/_xll.EVGTS($B$1,1,_xll.EVPRO($B$1,$H62,"COSBASIS"),$B$3,$B$5,$B$6,$B$7,$B$9,AD$16,AD$17,AD$18),"")))</f>
        <v>0.207584143077641</v>
      </c>
      <c r="AF62" s="228">
        <f t="shared" si="14"/>
        <v>-39593.89</v>
      </c>
      <c r="AG62" s="225">
        <v>26839.3</v>
      </c>
      <c r="AH62" s="226">
        <f>IF(_epmOfflineCondition_,0.206726950248907,IF(AG62=0,"",IFERROR(AG62/_xll.EVGTS($B$1,1,_xll.EVPRO($B$1,$H62,"COSBASIS"),$B$3,$B$5,$B$6,$B$7,$B$9,AG$16,AG$17,AG$18),"")))</f>
        <v>0.206726950248907</v>
      </c>
      <c r="AI62" s="455">
        <f t="shared" si="15"/>
        <v>-17038.84</v>
      </c>
      <c r="AJ62" s="229">
        <f t="shared" si="16"/>
        <v>10.74611842105263</v>
      </c>
      <c r="AK62" s="230">
        <f t="shared" si="17"/>
        <v>10.935211423511179</v>
      </c>
      <c r="AL62" s="232">
        <f t="shared" si="18"/>
        <v>9.7739621267297885</v>
      </c>
      <c r="AM62" s="427" t="str">
        <f t="shared" si="19"/>
        <v>3.81 pts.</v>
      </c>
      <c r="AN62" s="456" t="str">
        <f t="shared" si="20"/>
        <v>3.89 pts.</v>
      </c>
      <c r="AO62" s="11"/>
    </row>
    <row r="63" spans="1:41" x14ac:dyDescent="0.35">
      <c r="A63" s="65" t="s">
        <v>14</v>
      </c>
      <c r="B63" s="66"/>
      <c r="C63" s="11"/>
      <c r="D63" s="11"/>
      <c r="E63" s="11"/>
      <c r="F63" s="11"/>
      <c r="G63" s="11"/>
      <c r="H63" s="88" t="s">
        <v>287</v>
      </c>
      <c r="I63" s="188" t="str">
        <f>IF(_epmOfflineCondition_,"B1",_xll.EVPRO($B$1,$H63,"STYLE"))</f>
        <v>B1</v>
      </c>
      <c r="J63" s="188" t="str">
        <f>IF(_epmOfflineCondition_,"Y",_xll.EVPRO($B$1,$H63,"CALC"))</f>
        <v>Y</v>
      </c>
      <c r="K63" s="189" t="str">
        <f t="shared" si="12"/>
        <v/>
      </c>
      <c r="L63" s="190" t="str">
        <f>IF(_epmOfflineCondition_,"",_xll.EVPRO($B$1,H63,"JDEID"))</f>
        <v/>
      </c>
      <c r="M63" s="190" t="str">
        <f>IF(_epmOfflineCondition_,"",IF(AND(I63="N",J63="N"),_xll.EVPRO($B$1,H63,"PSFTID"),""))</f>
        <v/>
      </c>
      <c r="N63" s="190" t="str">
        <f>IF(_epmOfflineCondition_,"Cost of Other Revenue",IF(_xll.EVDES(H63,$B$1)="#NODATA","",_xll.EVDES(H63,$B$1)))</f>
        <v>Cost of Other Revenue</v>
      </c>
      <c r="O63" s="568"/>
      <c r="P63" s="210"/>
      <c r="Q63" s="210"/>
      <c r="R63" s="210"/>
      <c r="S63" s="210"/>
      <c r="T63" s="210"/>
      <c r="U63" s="210"/>
      <c r="V63" s="210"/>
      <c r="W63" s="210"/>
      <c r="X63" s="210"/>
      <c r="Y63" s="210"/>
      <c r="Z63" s="210"/>
      <c r="AA63" s="252" t="str">
        <f t="shared" si="13"/>
        <v/>
      </c>
      <c r="AB63" s="211" t="str">
        <f>IF(_epmOfflineCondition_,"",IF(AA63=0,"",IFERROR(AA63/_xll.EVGTS($B$1,1,_xll.EVPRO($B$1,$H63,"COSBASIS"),$B$3,$B$5,$B$6,$B$7,$B$9,AA$16,AA$17,AA$11),"")))</f>
        <v/>
      </c>
      <c r="AC63" s="459"/>
      <c r="AD63" s="210"/>
      <c r="AE63" s="211" t="str">
        <f>IF(_epmOfflineCondition_,"",IF(AD63=0,"",IFERROR(AD63/_xll.EVGTS($B$1,1,_xll.EVPRO($B$1,$H63,"COSBASIS"),$B$3,$B$5,$B$6,$B$7,$B$9,AD$16,AD$17,AD$18),"")))</f>
        <v/>
      </c>
      <c r="AF63" s="253" t="str">
        <f t="shared" si="14"/>
        <v/>
      </c>
      <c r="AG63" s="210"/>
      <c r="AH63" s="211" t="str">
        <f>IF(_epmOfflineCondition_,"",IF(AG63=0,"",IFERROR(AG63/_xll.EVGTS($B$1,1,_xll.EVPRO($B$1,$H63,"COSBASIS"),$B$3,$B$5,$B$6,$B$7,$B$9,AG$16,AG$17,AG$18),"")))</f>
        <v/>
      </c>
      <c r="AI63" s="569" t="str">
        <f t="shared" si="15"/>
        <v/>
      </c>
      <c r="AJ63" s="234">
        <f t="shared" si="16"/>
        <v>0</v>
      </c>
      <c r="AK63" s="235">
        <f t="shared" si="17"/>
        <v>0</v>
      </c>
      <c r="AL63" s="237">
        <f t="shared" si="18"/>
        <v>0</v>
      </c>
      <c r="AM63" s="429">
        <f t="shared" si="19"/>
        <v>0</v>
      </c>
      <c r="AN63" s="462">
        <f t="shared" si="20"/>
        <v>0</v>
      </c>
      <c r="AO63" s="11"/>
    </row>
    <row r="64" spans="1:41" x14ac:dyDescent="0.35">
      <c r="A64" s="65" t="s">
        <v>15</v>
      </c>
      <c r="B64" s="66"/>
      <c r="C64" s="11"/>
      <c r="D64" s="11"/>
      <c r="E64" s="11"/>
      <c r="F64" s="11"/>
      <c r="G64" s="11"/>
      <c r="H64" s="88" t="s">
        <v>637</v>
      </c>
      <c r="I64" s="122" t="str">
        <f>IF(_epmOfflineCondition_,"N",_xll.EVPRO($B$1,$H64,"STYLE"))</f>
        <v>N</v>
      </c>
      <c r="J64" s="122" t="str">
        <f>IF(_epmOfflineCondition_,"N",_xll.EVPRO($B$1,$H64,"CALC"))</f>
        <v>N</v>
      </c>
      <c r="K64" s="179" t="str">
        <f t="shared" si="12"/>
        <v/>
      </c>
      <c r="L64" s="90" t="str">
        <f>IF(_epmOfflineCondition_,"568300",_xll.EVPRO($B$1,H64,"JDEID"))</f>
        <v>568300</v>
      </c>
      <c r="M64" s="90" t="str">
        <f>IF(_epmOfflineCondition_,"306005",IF(AND(I64="N",J64="N"),_xll.EVPRO($B$1,H64,"PSFTID"),""))</f>
        <v>306005</v>
      </c>
      <c r="N64" s="90" t="str">
        <f>IF(_epmOfflineCondition_,"A/V Cost of Sales",IF(_xll.EVDES(H64,$B$1)="#NODATA","",_xll.EVDES(H64,$B$1)))</f>
        <v>A/V Cost of Sales</v>
      </c>
      <c r="O64" s="563"/>
      <c r="P64" s="564"/>
      <c r="Q64" s="564"/>
      <c r="R64" s="564"/>
      <c r="S64" s="564"/>
      <c r="T64" s="564"/>
      <c r="U64" s="564"/>
      <c r="V64" s="564"/>
      <c r="W64" s="564"/>
      <c r="X64" s="564"/>
      <c r="Y64" s="564"/>
      <c r="Z64" s="564">
        <v>471</v>
      </c>
      <c r="AA64" s="250">
        <f t="shared" si="13"/>
        <v>471</v>
      </c>
      <c r="AB64" s="565">
        <f>IF(_epmOfflineCondition_,0.0681253100714086,IF(AA64=0,"",IFERROR(AA64/_xll.EVGTS($B$1,1,_xll.EVPRO($B$1,$H64,"COSBASIS"),$B$3,$B$5,$B$6,$B$7,$B$9,AA$16,AA$17,AA$11),"")))</f>
        <v>6.8125310071408596E-2</v>
      </c>
      <c r="AC64" s="437"/>
      <c r="AD64" s="564"/>
      <c r="AE64" s="565" t="str">
        <f>IF(_epmOfflineCondition_,"",IF(AD64=0,"",IFERROR(AD64/_xll.EVGTS($B$1,1,_xll.EVPRO($B$1,$H64,"COSBASIS"),$B$3,$B$5,$B$6,$B$7,$B$9,AD$16,AD$17,AD$18),"")))</f>
        <v/>
      </c>
      <c r="AF64" s="566">
        <f t="shared" si="14"/>
        <v>471</v>
      </c>
      <c r="AG64" s="564"/>
      <c r="AH64" s="565" t="str">
        <f>IF(_epmOfflineCondition_,"",IF(AG64=0,"",IFERROR(AG64/_xll.EVGTS($B$1,1,_xll.EVPRO($B$1,$H64,"COSBASIS"),$B$3,$B$5,$B$6,$B$7,$B$9,AG$16,AG$17,AG$18),"")))</f>
        <v/>
      </c>
      <c r="AI64" s="567">
        <f t="shared" si="15"/>
        <v>471</v>
      </c>
      <c r="AJ64" s="440">
        <f t="shared" si="16"/>
        <v>0.51644736842105265</v>
      </c>
      <c r="AK64" s="441">
        <f t="shared" si="17"/>
        <v>0</v>
      </c>
      <c r="AL64" s="442">
        <f t="shared" si="18"/>
        <v>0</v>
      </c>
      <c r="AM64" s="443">
        <f t="shared" si="19"/>
        <v>0</v>
      </c>
      <c r="AN64" s="444">
        <f t="shared" si="20"/>
        <v>0</v>
      </c>
      <c r="AO64" s="11"/>
    </row>
    <row r="65" spans="1:41" x14ac:dyDescent="0.35">
      <c r="A65" s="65" t="s">
        <v>16</v>
      </c>
      <c r="B65" s="66"/>
      <c r="C65" s="11"/>
      <c r="D65" s="11"/>
      <c r="E65" s="11"/>
      <c r="F65" s="11"/>
      <c r="G65" s="11"/>
      <c r="H65" s="88" t="s">
        <v>638</v>
      </c>
      <c r="I65" s="122" t="str">
        <f>IF(_epmOfflineCondition_,"N",_xll.EVPRO($B$1,$H65,"STYLE"))</f>
        <v>N</v>
      </c>
      <c r="J65" s="122" t="str">
        <f>IF(_epmOfflineCondition_,"N",_xll.EVPRO($B$1,$H65,"CALC"))</f>
        <v>N</v>
      </c>
      <c r="K65" s="179" t="str">
        <f t="shared" si="12"/>
        <v/>
      </c>
      <c r="L65" s="90" t="str">
        <f>IF(_epmOfflineCondition_,"568350",_xll.EVPRO($B$1,H65,"JDEID"))</f>
        <v>568350</v>
      </c>
      <c r="M65" s="90" t="str">
        <f>IF(_epmOfflineCondition_,"306099",IF(AND(I65="N",J65="N"),_xll.EVPRO($B$1,H65,"PSFTID"),""))</f>
        <v>306099</v>
      </c>
      <c r="N65" s="90" t="str">
        <f>IF(_epmOfflineCondition_,"Public Room Rental",IF(_xll.EVDES(H65,$B$1)="#NODATA","",_xll.EVDES(H65,$B$1)))</f>
        <v>Public Room Rental</v>
      </c>
      <c r="O65" s="563"/>
      <c r="P65" s="564"/>
      <c r="Q65" s="564"/>
      <c r="R65" s="564"/>
      <c r="S65" s="564"/>
      <c r="T65" s="564"/>
      <c r="U65" s="564"/>
      <c r="V65" s="564"/>
      <c r="W65" s="564"/>
      <c r="X65" s="564"/>
      <c r="Y65" s="564"/>
      <c r="Z65" s="564"/>
      <c r="AA65" s="250">
        <f t="shared" si="13"/>
        <v>0</v>
      </c>
      <c r="AB65" s="565" t="str">
        <f>IF(_epmOfflineCondition_,"",IF(AA65=0,"",IFERROR(AA65/_xll.EVGTS($B$1,1,_xll.EVPRO($B$1,$H65,"COSBASIS"),$B$3,$B$5,$B$6,$B$7,$B$9,AA$16,AA$17,AA$11),"")))</f>
        <v/>
      </c>
      <c r="AC65" s="437"/>
      <c r="AD65" s="564"/>
      <c r="AE65" s="565" t="str">
        <f>IF(_epmOfflineCondition_,"",IF(AD65=0,"",IFERROR(AD65/_xll.EVGTS($B$1,1,_xll.EVPRO($B$1,$H65,"COSBASIS"),$B$3,$B$5,$B$6,$B$7,$B$9,AD$16,AD$17,AD$18),"")))</f>
        <v/>
      </c>
      <c r="AF65" s="566">
        <f t="shared" si="14"/>
        <v>0</v>
      </c>
      <c r="AG65" s="564"/>
      <c r="AH65" s="565" t="str">
        <f>IF(_epmOfflineCondition_,"",IF(AG65=0,"",IFERROR(AG65/_xll.EVGTS($B$1,1,_xll.EVPRO($B$1,$H65,"COSBASIS"),$B$3,$B$5,$B$6,$B$7,$B$9,AG$16,AG$17,AG$18),"")))</f>
        <v/>
      </c>
      <c r="AI65" s="567">
        <f t="shared" si="15"/>
        <v>0</v>
      </c>
      <c r="AJ65" s="440">
        <f t="shared" si="16"/>
        <v>0</v>
      </c>
      <c r="AK65" s="441">
        <f t="shared" si="17"/>
        <v>0</v>
      </c>
      <c r="AL65" s="442">
        <f t="shared" si="18"/>
        <v>0</v>
      </c>
      <c r="AM65" s="443">
        <f t="shared" si="19"/>
        <v>0</v>
      </c>
      <c r="AN65" s="444">
        <f t="shared" si="20"/>
        <v>0</v>
      </c>
      <c r="AO65" s="11"/>
    </row>
    <row r="66" spans="1:41" x14ac:dyDescent="0.35">
      <c r="A66" s="65" t="s">
        <v>17</v>
      </c>
      <c r="B66" s="66"/>
      <c r="C66" s="11"/>
      <c r="D66" s="11"/>
      <c r="E66" s="11"/>
      <c r="F66" s="11"/>
      <c r="G66" s="11"/>
      <c r="H66" s="88" t="s">
        <v>639</v>
      </c>
      <c r="I66" s="122" t="str">
        <f>IF(_epmOfflineCondition_,"T5",_xll.EVPRO($B$1,$H66,"STYLE"))</f>
        <v>T5</v>
      </c>
      <c r="J66" s="122" t="str">
        <f>IF(_epmOfflineCondition_,"Y",_xll.EVPRO($B$1,$H66,"CALC"))</f>
        <v>Y</v>
      </c>
      <c r="K66" s="179" t="str">
        <f t="shared" si="12"/>
        <v>&gt;</v>
      </c>
      <c r="L66" s="90" t="str">
        <f>IF(_epmOfflineCondition_,"",_xll.EVPRO($B$1,H66,"JDEID"))</f>
        <v/>
      </c>
      <c r="M66" s="90" t="str">
        <f>IF(_epmOfflineCondition_,"",IF(AND(I66="N",J66="N"),_xll.EVPRO($B$1,H66,"PSFTID"),""))</f>
        <v/>
      </c>
      <c r="N66" s="90" t="str">
        <f>IF(_epmOfflineCondition_,"Miscellaneous Cost",IF(_xll.EVDES(H66,$B$1)="#NODATA","",_xll.EVDES(H66,$B$1)))</f>
        <v>Miscellaneous Cost</v>
      </c>
      <c r="O66" s="445"/>
      <c r="P66" s="251"/>
      <c r="Q66" s="251"/>
      <c r="R66" s="251"/>
      <c r="S66" s="251"/>
      <c r="T66" s="251"/>
      <c r="U66" s="251"/>
      <c r="V66" s="251"/>
      <c r="W66" s="251"/>
      <c r="X66" s="251"/>
      <c r="Y66" s="251"/>
      <c r="Z66" s="251"/>
      <c r="AA66" s="251">
        <f t="shared" si="13"/>
        <v>0</v>
      </c>
      <c r="AB66" s="446" t="str">
        <f>IF(_epmOfflineCondition_,"",IF(AA66=0,"",IFERROR(AA66/_xll.EVGTS($B$1,1,_xll.EVPRO($B$1,$H66,"COSBASIS"),$B$3,$B$5,$B$6,$B$7,$B$9,AA$16,AA$17,AA$11),"")))</f>
        <v/>
      </c>
      <c r="AC66" s="437"/>
      <c r="AD66" s="251"/>
      <c r="AE66" s="446" t="str">
        <f>IF(_epmOfflineCondition_,"",IF(AD66=0,"",IFERROR(AD66/_xll.EVGTS($B$1,1,_xll.EVPRO($B$1,$H66,"COSBASIS"),$B$3,$B$5,$B$6,$B$7,$B$9,AD$16,AD$17,AD$18),"")))</f>
        <v/>
      </c>
      <c r="AF66" s="447">
        <f t="shared" si="14"/>
        <v>0</v>
      </c>
      <c r="AG66" s="251"/>
      <c r="AH66" s="446" t="str">
        <f>IF(_epmOfflineCondition_,"",IF(AG66=0,"",IFERROR(AG66/_xll.EVGTS($B$1,1,_xll.EVPRO($B$1,$H66,"COSBASIS"),$B$3,$B$5,$B$6,$B$7,$B$9,AG$16,AG$17,AG$18),"")))</f>
        <v/>
      </c>
      <c r="AI66" s="448">
        <f t="shared" si="15"/>
        <v>0</v>
      </c>
      <c r="AJ66" s="449">
        <f t="shared" si="16"/>
        <v>0</v>
      </c>
      <c r="AK66" s="450">
        <f t="shared" si="17"/>
        <v>0</v>
      </c>
      <c r="AL66" s="451">
        <f t="shared" si="18"/>
        <v>0</v>
      </c>
      <c r="AM66" s="452">
        <f t="shared" si="19"/>
        <v>0</v>
      </c>
      <c r="AN66" s="453">
        <f t="shared" si="20"/>
        <v>0</v>
      </c>
      <c r="AO66" s="11"/>
    </row>
    <row r="67" spans="1:41" x14ac:dyDescent="0.35">
      <c r="A67" s="11"/>
      <c r="B67" s="11"/>
      <c r="C67" s="11"/>
      <c r="D67" s="11"/>
      <c r="E67" s="11"/>
      <c r="F67" s="11"/>
      <c r="G67" s="11"/>
      <c r="H67" s="88" t="s">
        <v>288</v>
      </c>
      <c r="I67" s="188" t="str">
        <f>IF(_epmOfflineCondition_,"T4",_xll.EVPRO($B$1,$H67,"STYLE"))</f>
        <v>T4</v>
      </c>
      <c r="J67" s="188" t="str">
        <f>IF(_epmOfflineCondition_,"Y",_xll.EVPRO($B$1,$H67,"CALC"))</f>
        <v>Y</v>
      </c>
      <c r="K67" s="189" t="str">
        <f t="shared" si="12"/>
        <v/>
      </c>
      <c r="L67" s="190" t="str">
        <f>IF(_epmOfflineCondition_,"",_xll.EVPRO($B$1,H67,"JDEID"))</f>
        <v/>
      </c>
      <c r="M67" s="190" t="str">
        <f>IF(_epmOfflineCondition_,"",IF(AND(I67="N",J67="N"),_xll.EVPRO($B$1,H67,"PSFTID"),""))</f>
        <v/>
      </c>
      <c r="N67" s="190" t="str">
        <f>IF(_epmOfflineCondition_,"Total Cost of Other Revenue",IF(_xll.EVDES(H67,$B$1)="#NODATA","",_xll.EVDES(H67,$B$1)))</f>
        <v>Total Cost of Other Revenue</v>
      </c>
      <c r="O67" s="463"/>
      <c r="P67" s="238"/>
      <c r="Q67" s="238"/>
      <c r="R67" s="238"/>
      <c r="S67" s="238"/>
      <c r="T67" s="238"/>
      <c r="U67" s="238"/>
      <c r="V67" s="238"/>
      <c r="W67" s="238"/>
      <c r="X67" s="238"/>
      <c r="Y67" s="238"/>
      <c r="Z67" s="238">
        <v>471</v>
      </c>
      <c r="AA67" s="238">
        <f t="shared" si="13"/>
        <v>471</v>
      </c>
      <c r="AB67" s="239">
        <f>IF(_epmOfflineCondition_,0.0120692637364749,IF(AA67=0,"",IFERROR(AA67/_xll.EVGTS($B$1,1,_xll.EVPRO($B$1,$H67,"COSBASIS"),$B$3,$B$5,$B$6,$B$7,$B$9,AA$16,AA$17,AA$11),"")))</f>
        <v>1.20692637364749E-2</v>
      </c>
      <c r="AC67" s="240"/>
      <c r="AD67" s="238"/>
      <c r="AE67" s="239" t="str">
        <f>IF(_epmOfflineCondition_,"",IF(AD67=0,"",IFERROR(AD67/_xll.EVGTS($B$1,1,_xll.EVPRO($B$1,$H67,"COSBASIS"),$B$3,$B$5,$B$6,$B$7,$B$9,AD$16,AD$17,AD$18),"")))</f>
        <v/>
      </c>
      <c r="AF67" s="241">
        <f t="shared" si="14"/>
        <v>471</v>
      </c>
      <c r="AG67" s="238"/>
      <c r="AH67" s="239" t="str">
        <f>IF(_epmOfflineCondition_,"",IF(AG67=0,"",IFERROR(AG67/_xll.EVGTS($B$1,1,_xll.EVPRO($B$1,$H67,"COSBASIS"),$B$3,$B$5,$B$6,$B$7,$B$9,AG$16,AG$17,AG$18),"")))</f>
        <v/>
      </c>
      <c r="AI67" s="464">
        <f t="shared" si="15"/>
        <v>471</v>
      </c>
      <c r="AJ67" s="242">
        <f t="shared" si="16"/>
        <v>0.51644736842105265</v>
      </c>
      <c r="AK67" s="243">
        <f t="shared" si="17"/>
        <v>0</v>
      </c>
      <c r="AL67" s="245">
        <f t="shared" si="18"/>
        <v>0</v>
      </c>
      <c r="AM67" s="431">
        <f t="shared" si="19"/>
        <v>0</v>
      </c>
      <c r="AN67" s="465">
        <f t="shared" si="20"/>
        <v>0</v>
      </c>
      <c r="AO67" s="11"/>
    </row>
    <row r="68" spans="1:41" x14ac:dyDescent="0.35">
      <c r="A68" s="97" t="s">
        <v>92</v>
      </c>
      <c r="B68" s="98" t="s">
        <v>93</v>
      </c>
      <c r="C68" s="98" t="s">
        <v>94</v>
      </c>
      <c r="D68" s="98" t="s">
        <v>95</v>
      </c>
      <c r="E68" s="98" t="s">
        <v>96</v>
      </c>
      <c r="F68" s="99" t="s">
        <v>97</v>
      </c>
      <c r="G68" s="11"/>
      <c r="H68" s="88" t="s">
        <v>289</v>
      </c>
      <c r="I68" s="188" t="str">
        <f>IF(_epmOfflineCondition_,"T3",_xll.EVPRO($B$1,$H68,"STYLE"))</f>
        <v>T3</v>
      </c>
      <c r="J68" s="188" t="str">
        <f>IF(_epmOfflineCondition_,"Y",_xll.EVPRO($B$1,$H68,"CALC"))</f>
        <v>Y</v>
      </c>
      <c r="K68" s="189" t="str">
        <f t="shared" si="12"/>
        <v/>
      </c>
      <c r="L68" s="190" t="str">
        <f>IF(_epmOfflineCondition_,"500001",_xll.EVPRO($B$1,H68,"JDEID"))</f>
        <v>500001</v>
      </c>
      <c r="M68" s="190" t="str">
        <f>IF(_epmOfflineCondition_,"",IF(AND(I68="N",J68="N"),_xll.EVPRO($B$1,H68,"PSFTID"),""))</f>
        <v/>
      </c>
      <c r="N68" s="190" t="str">
        <f>IF(_epmOfflineCondition_,"Total Cost of Sales",IF(_xll.EVDES(H68,$B$1)="#NODATA","",_xll.EVDES(H68,$B$1)))</f>
        <v>Total Cost of Sales</v>
      </c>
      <c r="O68" s="454">
        <v>4977.0200000000004</v>
      </c>
      <c r="P68" s="225">
        <v>4823.4399999999996</v>
      </c>
      <c r="Q68" s="225"/>
      <c r="R68" s="225"/>
      <c r="S68" s="225"/>
      <c r="T68" s="225"/>
      <c r="U68" s="225"/>
      <c r="V68" s="225"/>
      <c r="W68" s="225"/>
      <c r="X68" s="225"/>
      <c r="Y68" s="225"/>
      <c r="Z68" s="225">
        <v>471</v>
      </c>
      <c r="AA68" s="225">
        <f t="shared" si="13"/>
        <v>10271.459999999999</v>
      </c>
      <c r="AB68" s="226">
        <f>IF(_epmOfflineCondition_,0.130152587602922,IF(AA68=0,"",IFERROR(AA68/_xll.EVGTS($B$1,1,_xll.EVPRO($B$1,$H68,"COSBASIS"),$B$3,$B$5,$B$6,$B$7,$B$9,AA$16,AA$17,AA$11),"")))</f>
        <v>0.130152587602922</v>
      </c>
      <c r="AC68" s="227"/>
      <c r="AD68" s="225">
        <v>49394.35</v>
      </c>
      <c r="AE68" s="226">
        <f>IF(_epmOfflineCondition_,0.130978077973589,IF(AD68=0,"",IFERROR(AD68/_xll.EVGTS($B$1,1,_xll.EVPRO($B$1,$H68,"COSBASIS"),$B$3,$B$5,$B$6,$B$7,$B$9,AD$16,AD$17,AD$18),"")))</f>
        <v>0.13097807797358901</v>
      </c>
      <c r="AF68" s="228">
        <f t="shared" si="14"/>
        <v>-39122.89</v>
      </c>
      <c r="AG68" s="225">
        <v>26839.3</v>
      </c>
      <c r="AH68" s="226">
        <f>IF(_epmOfflineCondition_,0.114173669486853,IF(AG68=0,"",IFERROR(AG68/_xll.EVGTS($B$1,1,_xll.EVPRO($B$1,$H68,"COSBASIS"),$B$3,$B$5,$B$6,$B$7,$B$9,AG$16,AG$17,AG$18),"")))</f>
        <v>0.11417366948685299</v>
      </c>
      <c r="AI68" s="455">
        <f t="shared" si="15"/>
        <v>-16567.84</v>
      </c>
      <c r="AJ68" s="229">
        <f t="shared" si="16"/>
        <v>11.262565789473683</v>
      </c>
      <c r="AK68" s="230">
        <f t="shared" si="17"/>
        <v>10.935211423511179</v>
      </c>
      <c r="AL68" s="232">
        <f t="shared" si="18"/>
        <v>9.7739621267297885</v>
      </c>
      <c r="AM68" s="427" t="str">
        <f t="shared" si="19"/>
        <v>-0.08 pts.</v>
      </c>
      <c r="AN68" s="456" t="str">
        <f t="shared" si="20"/>
        <v>1.6 pts.</v>
      </c>
      <c r="AO68" s="11"/>
    </row>
    <row r="69" spans="1:41" x14ac:dyDescent="0.35">
      <c r="A69" s="11"/>
      <c r="B69" s="11"/>
      <c r="C69" s="11"/>
      <c r="D69" s="11"/>
      <c r="E69" s="11"/>
      <c r="F69" s="11"/>
      <c r="G69" s="11"/>
      <c r="H69" s="185" t="s">
        <v>175</v>
      </c>
      <c r="I69" s="89" t="str">
        <f>IF(_epmOfflineCondition_,"B1",_xll.EVPRO($B$1,$H69,"STYLE"))</f>
        <v>B1</v>
      </c>
      <c r="J69" s="89" t="str">
        <f>IF(_epmOfflineCondition_,"Y",_xll.EVPRO($B$1,$H69,"CALC"))</f>
        <v>Y</v>
      </c>
      <c r="K69" s="265" t="str">
        <f t="shared" si="12"/>
        <v/>
      </c>
      <c r="L69" s="265"/>
      <c r="M69" s="265"/>
      <c r="N69" s="106" t="str">
        <f>IF(_epmOfflineCondition_,"BLANKROW",IF(_xll.EVDES(H69,$B$1)="#NODATA","",_xll.EVDES(H69,$B$1)))</f>
        <v>BLANKROW</v>
      </c>
      <c r="O69" s="205"/>
      <c r="P69" s="205"/>
      <c r="Q69" s="205"/>
      <c r="R69" s="205"/>
      <c r="S69" s="205"/>
      <c r="T69" s="205"/>
      <c r="U69" s="205"/>
      <c r="V69" s="205"/>
      <c r="W69" s="205"/>
      <c r="X69" s="205"/>
      <c r="Y69" s="205"/>
      <c r="Z69" s="205"/>
      <c r="AA69" s="205"/>
      <c r="AB69" s="206" t="str">
        <f>IF(_epmOfflineCondition_,"",IF(O69=0,"",IFERROR(O69/_xll.EVGTS($B$1,1,INDEX(#REF!,MATCH($H69,#REF!,0)),$B$3,$B$5,$B$6,$B$7,$B$9,O$16,O$17,O$18),"")))</f>
        <v/>
      </c>
      <c r="AC69" s="11"/>
      <c r="AD69" s="205"/>
      <c r="AE69" s="206" t="str">
        <f>IF(_epmOfflineCondition_,"",IF(AD69=0,"",IFERROR(AD69/_xll.EVGTS($B$1,1,INDEX(#REF!,MATCH($H69,#REF!,0)),$B$3,$B$5,$B$6,$B$7,$B$9,AD$16,AD$17,AD$18),"")))</f>
        <v/>
      </c>
      <c r="AF69" s="207" t="str">
        <f t="shared" si="14"/>
        <v/>
      </c>
      <c r="AG69" s="205"/>
      <c r="AH69" s="206" t="str">
        <f>IF(_epmOfflineCondition_,"",IF(AG69=0,"",IFERROR(AG69/_xll.EVGTS($B$1,1,INDEX(#REF!,MATCH($H69,#REF!,0)),$B$3,$B$5,$B$6,$B$7,$B$9,AG$16,AG$17,AG$18),"")))</f>
        <v/>
      </c>
      <c r="AI69" s="207" t="str">
        <f t="shared" si="15"/>
        <v/>
      </c>
      <c r="AJ69" s="523">
        <f t="shared" si="16"/>
        <v>0</v>
      </c>
      <c r="AK69" s="524">
        <f t="shared" si="17"/>
        <v>0</v>
      </c>
      <c r="AL69" s="525">
        <f t="shared" si="18"/>
        <v>0</v>
      </c>
      <c r="AM69" s="526">
        <f t="shared" si="19"/>
        <v>0</v>
      </c>
      <c r="AN69" s="527">
        <f t="shared" si="20"/>
        <v>0</v>
      </c>
      <c r="AO69" s="11"/>
    </row>
    <row r="70" spans="1:41" x14ac:dyDescent="0.35">
      <c r="A70" s="11" t="s">
        <v>209</v>
      </c>
      <c r="B70" s="11" t="s">
        <v>21</v>
      </c>
      <c r="C70" s="395"/>
      <c r="D70" s="11" t="s">
        <v>590</v>
      </c>
      <c r="E70" s="11"/>
      <c r="F70" s="11" t="s">
        <v>99</v>
      </c>
      <c r="G70" s="11"/>
      <c r="H70" s="185" t="s">
        <v>292</v>
      </c>
      <c r="I70" s="89" t="str">
        <f>IF(_epmOfflineCondition_,"T3",_xll.EVPRO($B$1,$H70,"STYLE"))</f>
        <v>T3</v>
      </c>
      <c r="J70" s="89" t="str">
        <f>IF(_epmOfflineCondition_,"Y",_xll.EVPRO($B$1,$H70,"CALC"))</f>
        <v>Y</v>
      </c>
      <c r="K70" s="265" t="str">
        <f t="shared" si="12"/>
        <v/>
      </c>
      <c r="L70" s="265"/>
      <c r="M70" s="265"/>
      <c r="N70" s="106" t="str">
        <f>IF(_epmOfflineCondition_,"Gross Profit",IF(_xll.EVDES(H70,$B$1)="#NODATA","",_xll.EVDES(H70,$B$1)))</f>
        <v>Gross Profit</v>
      </c>
      <c r="O70" s="123">
        <f t="shared" ref="O70:Z70" si="21">SUMIF($H$35:$H$68,"400000",O35:O68)-SUMIF($H$35:$H$68,"500001",O35:O68)</f>
        <v>43633.979999999996</v>
      </c>
      <c r="P70" s="123">
        <f t="shared" si="21"/>
        <v>39361.29</v>
      </c>
      <c r="Q70" s="123">
        <f t="shared" si="21"/>
        <v>-562.52</v>
      </c>
      <c r="R70" s="123">
        <f t="shared" si="21"/>
        <v>0</v>
      </c>
      <c r="S70" s="123">
        <f t="shared" si="21"/>
        <v>-14884.49</v>
      </c>
      <c r="T70" s="123">
        <f t="shared" si="21"/>
        <v>0</v>
      </c>
      <c r="U70" s="123">
        <f t="shared" si="21"/>
        <v>0</v>
      </c>
      <c r="V70" s="123">
        <f t="shared" si="21"/>
        <v>0</v>
      </c>
      <c r="W70" s="123">
        <f t="shared" si="21"/>
        <v>614.88</v>
      </c>
      <c r="X70" s="123">
        <f t="shared" si="21"/>
        <v>305</v>
      </c>
      <c r="Y70" s="123">
        <f t="shared" si="21"/>
        <v>650</v>
      </c>
      <c r="Z70" s="123">
        <f t="shared" si="21"/>
        <v>-471</v>
      </c>
      <c r="AA70" s="123">
        <f>IF($I70="B1","",SUM(O70:Z70))</f>
        <v>68647.139999999985</v>
      </c>
      <c r="AB70" s="192">
        <f>IF(O70=0,"",IFERROR(O70/O$19,""))</f>
        <v>0.89761535454938179</v>
      </c>
      <c r="AC70" s="11"/>
      <c r="AD70" s="123">
        <f>SUMIF($H$35:$H$68,"400000",AD35:AD68)-SUMIF($H$35:$H$68,"500001",AD35:AD68)</f>
        <v>327724.86540000001</v>
      </c>
      <c r="AE70" s="192">
        <f>IF(AD70=0,"",IFERROR(AD70/AD$19,""))</f>
        <v>0.86902192202641082</v>
      </c>
      <c r="AF70" s="125">
        <f t="shared" si="14"/>
        <v>-259077.72540000002</v>
      </c>
      <c r="AG70" s="123">
        <f>SUMIF($H$35:$H$68,"400000",AG35:AG68)-SUMIF($H$35:$H$68,"500001",AG35:AG68)</f>
        <v>208235.04</v>
      </c>
      <c r="AH70" s="192">
        <f>IF(AG70=0,"",IFERROR(AG70/AG$19,""))</f>
        <v>0.88582633051314752</v>
      </c>
      <c r="AI70" s="125">
        <f t="shared" si="15"/>
        <v>-139587.90000000002</v>
      </c>
      <c r="AJ70" s="388">
        <f t="shared" si="16"/>
        <v>75.270986842105245</v>
      </c>
      <c r="AK70" s="389">
        <f t="shared" si="17"/>
        <v>72.553656276289573</v>
      </c>
      <c r="AL70" s="390">
        <f t="shared" si="18"/>
        <v>75.832134013109979</v>
      </c>
      <c r="AM70" s="391" t="str">
        <f t="shared" si="19"/>
        <v>2.86 pts.</v>
      </c>
      <c r="AN70" s="544" t="str">
        <f t="shared" si="20"/>
        <v>1.18 pts.</v>
      </c>
      <c r="AO70" s="11"/>
    </row>
    <row r="71" spans="1:41" x14ac:dyDescent="0.35">
      <c r="A71" s="11" t="s">
        <v>105</v>
      </c>
      <c r="B71" s="11"/>
      <c r="C71" s="104" t="s">
        <v>101</v>
      </c>
      <c r="D71" s="11" t="s">
        <v>106</v>
      </c>
      <c r="E71" s="11"/>
      <c r="F71" s="11" t="s">
        <v>98</v>
      </c>
      <c r="G71" s="11"/>
      <c r="H71" s="11"/>
      <c r="I71" s="59"/>
      <c r="J71" s="59"/>
      <c r="K71" s="11"/>
      <c r="L71" s="11"/>
      <c r="M71" s="11"/>
      <c r="N71" s="11"/>
      <c r="O71" s="393"/>
      <c r="P71" s="394"/>
      <c r="Q71" s="394"/>
      <c r="R71" s="394"/>
      <c r="S71" s="394"/>
      <c r="T71" s="394"/>
      <c r="U71" s="394"/>
      <c r="V71" s="394"/>
      <c r="W71" s="394"/>
      <c r="X71" s="394"/>
      <c r="Y71" s="394"/>
      <c r="Z71" s="394"/>
      <c r="AA71" s="394"/>
      <c r="AB71" s="118"/>
      <c r="AC71" s="11"/>
      <c r="AD71" s="203"/>
      <c r="AE71" s="204"/>
      <c r="AF71" s="118"/>
      <c r="AG71" s="204"/>
      <c r="AH71" s="204"/>
      <c r="AI71" s="118"/>
      <c r="AJ71" s="11"/>
      <c r="AK71" s="11"/>
      <c r="AL71" s="11"/>
      <c r="AM71" s="11"/>
      <c r="AN71" s="11"/>
      <c r="AO71" s="11"/>
    </row>
    <row r="72" spans="1:41" x14ac:dyDescent="0.35">
      <c r="A72" s="11" t="s">
        <v>104</v>
      </c>
      <c r="B72" s="11"/>
      <c r="C72" s="104" t="s">
        <v>101</v>
      </c>
      <c r="D72" s="11" t="s">
        <v>106</v>
      </c>
      <c r="E72" s="11"/>
      <c r="F72" s="11" t="s">
        <v>98</v>
      </c>
      <c r="G72" s="11"/>
      <c r="H72" s="11" t="s">
        <v>73</v>
      </c>
      <c r="I72" s="59" t="str">
        <f>IF(_epmOfflineCondition_,"B1",_xll.EVPRO($B$1,$H72,"STYLE"))</f>
        <v>B1</v>
      </c>
      <c r="J72" s="59" t="str">
        <f>IF(_epmOfflineCondition_,"Y",_xll.EVPRO($B$1,$H72,"CALC"))</f>
        <v>Y</v>
      </c>
      <c r="K72" s="11"/>
      <c r="L72" s="11"/>
      <c r="M72" s="11"/>
      <c r="N72" s="105" t="str">
        <f>IF(_epmOfflineCondition_,"Labor &amp; Related Expenses",IF(_xll.EVDES(H72,$B$1)="#NODATA","",_xll.EVDES(H72,$B$1)))</f>
        <v>Labor &amp; Related Expenses</v>
      </c>
      <c r="O72" s="203"/>
      <c r="P72" s="204"/>
      <c r="Q72" s="204"/>
      <c r="R72" s="204"/>
      <c r="S72" s="204"/>
      <c r="T72" s="204"/>
      <c r="U72" s="204"/>
      <c r="V72" s="204"/>
      <c r="W72" s="204"/>
      <c r="X72" s="204"/>
      <c r="Y72" s="204"/>
      <c r="Z72" s="204"/>
      <c r="AA72" s="204"/>
      <c r="AB72" s="410"/>
      <c r="AC72" s="11"/>
      <c r="AD72" s="411"/>
      <c r="AE72" s="412"/>
      <c r="AF72" s="118"/>
      <c r="AG72" s="204"/>
      <c r="AH72" s="412"/>
      <c r="AI72" s="118"/>
      <c r="AJ72" s="11"/>
      <c r="AK72" s="11"/>
      <c r="AL72" s="11"/>
      <c r="AM72" s="11"/>
      <c r="AN72" s="11"/>
      <c r="AO72" s="11"/>
    </row>
    <row r="73" spans="1:41" x14ac:dyDescent="0.35">
      <c r="A73" s="11" t="s">
        <v>100</v>
      </c>
      <c r="B73" s="11"/>
      <c r="C73" s="53" t="s">
        <v>101</v>
      </c>
      <c r="D73" s="11" t="s">
        <v>106</v>
      </c>
      <c r="E73" s="11"/>
      <c r="F73" s="11" t="s">
        <v>98</v>
      </c>
      <c r="G73" s="11"/>
      <c r="H73" s="11" t="s">
        <v>74</v>
      </c>
      <c r="I73" s="59" t="str">
        <f>IF(_epmOfflineCondition_,"B1",_xll.EVPRO($B$1,$H73,"STYLE"))</f>
        <v>B1</v>
      </c>
      <c r="J73" s="59" t="str">
        <f>IF(_epmOfflineCondition_,"Y",_xll.EVPRO($B$1,$H73,"CALC"))</f>
        <v>Y</v>
      </c>
      <c r="K73" s="11"/>
      <c r="L73" s="11"/>
      <c r="M73" s="11"/>
      <c r="N73" s="53" t="str">
        <f>IF(_epmOfflineCondition_,"Salaries &amp; Wages",IF(_xll.EVDES(H73,$B$1)="#NODATA","",_xll.EVDES(H73,$B$1)))</f>
        <v>Salaries &amp; Wages</v>
      </c>
      <c r="O73" s="119"/>
      <c r="P73" s="120"/>
      <c r="Q73" s="120"/>
      <c r="R73" s="120"/>
      <c r="S73" s="120"/>
      <c r="T73" s="120"/>
      <c r="U73" s="120"/>
      <c r="V73" s="120"/>
      <c r="W73" s="120"/>
      <c r="X73" s="120"/>
      <c r="Y73" s="120"/>
      <c r="Z73" s="120"/>
      <c r="AA73" s="120"/>
      <c r="AB73" s="121"/>
      <c r="AC73" s="11"/>
      <c r="AD73" s="119"/>
      <c r="AE73" s="120"/>
      <c r="AF73" s="121"/>
      <c r="AG73" s="120"/>
      <c r="AH73" s="120"/>
      <c r="AI73" s="121"/>
      <c r="AJ73" s="11"/>
      <c r="AK73" s="11"/>
      <c r="AL73" s="11"/>
      <c r="AM73" s="11"/>
      <c r="AN73" s="11"/>
      <c r="AO73" s="11"/>
    </row>
    <row r="74" spans="1:41" hidden="1" x14ac:dyDescent="0.35">
      <c r="A74" s="11" t="s">
        <v>102</v>
      </c>
      <c r="B74" s="11"/>
      <c r="C74" s="106" t="s">
        <v>101</v>
      </c>
      <c r="D74" s="11" t="s">
        <v>106</v>
      </c>
      <c r="E74" s="11"/>
      <c r="F74" s="11" t="s">
        <v>98</v>
      </c>
      <c r="G74" s="11"/>
      <c r="H74" s="88" t="s">
        <v>667</v>
      </c>
      <c r="I74" s="122" t="str">
        <f>IF(_epmOfflineCondition_,"",_xll.EVPRO($B$1,$H74,"STYLE"))</f>
        <v/>
      </c>
      <c r="J74" s="122" t="str">
        <f>IF(_epmOfflineCondition_,"",_xll.EVPRO($B$1,$H74,"CALC"))</f>
        <v/>
      </c>
      <c r="K74" s="179" t="str">
        <f t="shared" ref="K74:K88" si="22">IF(AND(I74&gt;="T3"),"&gt;","")</f>
        <v/>
      </c>
      <c r="L74" s="90" t="str">
        <f>IF(_epmOfflineCondition_,"",_xll.EVPRO($B$1,H74,"JDEID"))</f>
        <v/>
      </c>
      <c r="M74" s="90" t="str">
        <f>IF(_epmOfflineCondition_,"",IF(AND(I74="N",J74="N"),_xll.EVPRO($B$1,H74,"PSFTID"),""))</f>
        <v/>
      </c>
      <c r="N74" s="90" t="str">
        <f>IF(_epmOfflineCondition_,"",IF(_xll.EVDES(H74,$B$1)="#NODATA","",_xll.EVDES(H74,$B$1)))</f>
        <v/>
      </c>
      <c r="O74" s="210"/>
      <c r="P74" s="210"/>
      <c r="Q74" s="210"/>
      <c r="R74" s="210"/>
      <c r="S74" s="210"/>
      <c r="T74" s="210"/>
      <c r="U74" s="210"/>
      <c r="V74" s="210"/>
      <c r="W74" s="210"/>
      <c r="X74" s="210"/>
      <c r="Y74" s="210"/>
      <c r="Z74" s="210"/>
      <c r="AA74" s="250">
        <f t="shared" ref="AA74:AA88" si="23">IF($I74="B1","",SUM(O74:Z74))</f>
        <v>0</v>
      </c>
      <c r="AB74" s="211" t="str">
        <f t="shared" ref="AB74:AB88" si="24">IF(AA74=0,"",IFERROR(AA74/AA$19,""))</f>
        <v/>
      </c>
      <c r="AC74" s="140"/>
      <c r="AD74" s="210"/>
      <c r="AE74" s="211" t="str">
        <f t="shared" ref="AE74:AE88" si="25">IF(AD74=0,"",IFERROR(AD74/AD$19,""))</f>
        <v/>
      </c>
      <c r="AF74" s="253">
        <f t="shared" ref="AF74:AF88" si="26">IF(AND($AA74="",AD74=""),"",$AA74-AD74)</f>
        <v>0</v>
      </c>
      <c r="AG74" s="210"/>
      <c r="AH74" s="211" t="str">
        <f t="shared" ref="AH74:AH88" si="27">IF(AG74=0,"",IFERROR(AG74/AG$19,""))</f>
        <v/>
      </c>
      <c r="AI74" s="253">
        <f t="shared" ref="AI74:AI88" si="28">IF(AND($AA74="",AG74=""),"",$AA74-AG74)</f>
        <v>0</v>
      </c>
      <c r="AJ74" s="440">
        <f t="shared" ref="AJ74:AJ88" si="29">IFERROR(AA74/AA$20,0)</f>
        <v>0</v>
      </c>
      <c r="AK74" s="441">
        <f t="shared" ref="AK74:AK88" si="30">IFERROR(AD74/AD$20,0)</f>
        <v>0</v>
      </c>
      <c r="AL74" s="442">
        <f t="shared" ref="AL74:AL88" si="31">IFERROR(AG74/AG$20,0)</f>
        <v>0</v>
      </c>
      <c r="AM74" s="443">
        <f t="shared" ref="AM74:AM88" si="32">+IFERROR(ROUND(($AB74-AE74)*100,2)&amp;" pts.",0)</f>
        <v>0</v>
      </c>
      <c r="AN74" s="444">
        <f t="shared" ref="AN74:AN88" si="33">+IFERROR(ROUND(($AB74-AH74)*100,2)&amp;" pts.",0)</f>
        <v>0</v>
      </c>
      <c r="AO74" s="11"/>
    </row>
    <row r="75" spans="1:41" hidden="1" x14ac:dyDescent="0.35">
      <c r="A75" s="11" t="s">
        <v>102</v>
      </c>
      <c r="B75" s="11"/>
      <c r="C75" s="196" t="s">
        <v>101</v>
      </c>
      <c r="D75" s="11" t="s">
        <v>107</v>
      </c>
      <c r="E75" s="11"/>
      <c r="F75" s="11" t="s">
        <v>99</v>
      </c>
      <c r="G75" s="11"/>
      <c r="H75" s="88"/>
      <c r="I75" s="122" t="str">
        <f>IF(_epmOfflineCondition_,"",_xll.EVPRO($B$1,$H75,"STYLE"))</f>
        <v/>
      </c>
      <c r="J75" s="122" t="str">
        <f>IF(_epmOfflineCondition_,"",_xll.EVPRO($B$1,$H75,"CALC"))</f>
        <v/>
      </c>
      <c r="K75" s="179" t="str">
        <f t="shared" si="22"/>
        <v/>
      </c>
      <c r="L75" s="90" t="str">
        <f>IF(_epmOfflineCondition_,"",_xll.EVPRO($B$1,H75,"JDEID"))</f>
        <v/>
      </c>
      <c r="M75" s="90" t="str">
        <f>IF(_epmOfflineCondition_,"",IF(AND(I75="N",J75="N"),_xll.EVPRO($B$1,H75,"PSFTID"),""))</f>
        <v/>
      </c>
      <c r="N75" s="90" t="str">
        <f>IF(_epmOfflineCondition_,"",IF(_xll.EVDES(H75,$B$1)="#NODATA","",_xll.EVDES(H75,$B$1)))</f>
        <v/>
      </c>
      <c r="O75" s="210"/>
      <c r="P75" s="210"/>
      <c r="Q75" s="210"/>
      <c r="R75" s="210"/>
      <c r="S75" s="210"/>
      <c r="T75" s="210"/>
      <c r="U75" s="210"/>
      <c r="V75" s="210"/>
      <c r="W75" s="210"/>
      <c r="X75" s="210"/>
      <c r="Y75" s="210"/>
      <c r="Z75" s="210"/>
      <c r="AA75" s="250">
        <f t="shared" si="23"/>
        <v>0</v>
      </c>
      <c r="AB75" s="211" t="str">
        <f t="shared" si="24"/>
        <v/>
      </c>
      <c r="AC75" s="140"/>
      <c r="AD75" s="210"/>
      <c r="AE75" s="211" t="str">
        <f t="shared" si="25"/>
        <v/>
      </c>
      <c r="AF75" s="253">
        <f t="shared" si="26"/>
        <v>0</v>
      </c>
      <c r="AG75" s="210"/>
      <c r="AH75" s="211" t="str">
        <f t="shared" si="27"/>
        <v/>
      </c>
      <c r="AI75" s="253">
        <f t="shared" si="28"/>
        <v>0</v>
      </c>
      <c r="AJ75" s="440">
        <f t="shared" si="29"/>
        <v>0</v>
      </c>
      <c r="AK75" s="441">
        <f t="shared" si="30"/>
        <v>0</v>
      </c>
      <c r="AL75" s="442">
        <f t="shared" si="31"/>
        <v>0</v>
      </c>
      <c r="AM75" s="443">
        <f t="shared" si="32"/>
        <v>0</v>
      </c>
      <c r="AN75" s="444">
        <f t="shared" si="33"/>
        <v>0</v>
      </c>
      <c r="AO75" s="11"/>
    </row>
    <row r="76" spans="1:41" x14ac:dyDescent="0.35">
      <c r="A76" s="11" t="s">
        <v>108</v>
      </c>
      <c r="B76" s="11"/>
      <c r="C76" s="106" t="s">
        <v>101</v>
      </c>
      <c r="D76" s="11" t="s">
        <v>106</v>
      </c>
      <c r="E76" s="11"/>
      <c r="F76" s="11" t="s">
        <v>98</v>
      </c>
      <c r="G76" s="11"/>
      <c r="H76" s="88" t="s">
        <v>75</v>
      </c>
      <c r="I76" s="89" t="str">
        <f>IF(_epmOfflineCondition_,"B1",_xll.EVPRO($B$1,$H76,"STYLE"))</f>
        <v>B1</v>
      </c>
      <c r="J76" s="89" t="str">
        <f>IF(_epmOfflineCondition_,"Y",_xll.EVPRO($B$1,$H76,"CALC"))</f>
        <v>Y</v>
      </c>
      <c r="K76" s="265" t="str">
        <f t="shared" si="22"/>
        <v/>
      </c>
      <c r="L76" s="106" t="str">
        <f>IF(_epmOfflineCondition_,"",_xll.EVPRO($B$1,H76,"JDEID"))</f>
        <v/>
      </c>
      <c r="M76" s="90" t="str">
        <f>IF(_epmOfflineCondition_,"",IF(AND(I76="N",J76="N"),_xll.EVPRO($B$1,H76,"PSFTID"),""))</f>
        <v/>
      </c>
      <c r="N76" s="106" t="str">
        <f>IF(_epmOfflineCondition_,"Non-Management",IF(_xll.EVDES(H76,$B$1)="#NODATA","",_xll.EVDES(H76,$B$1)))</f>
        <v>Non-Management</v>
      </c>
      <c r="O76" s="197"/>
      <c r="P76" s="197"/>
      <c r="Q76" s="197"/>
      <c r="R76" s="197"/>
      <c r="S76" s="197"/>
      <c r="T76" s="197"/>
      <c r="U76" s="197"/>
      <c r="V76" s="197"/>
      <c r="W76" s="197"/>
      <c r="X76" s="197"/>
      <c r="Y76" s="197"/>
      <c r="Z76" s="197"/>
      <c r="AA76" s="180" t="str">
        <f t="shared" si="23"/>
        <v/>
      </c>
      <c r="AB76" s="198" t="str">
        <f t="shared" si="24"/>
        <v/>
      </c>
      <c r="AC76" s="11"/>
      <c r="AD76" s="197"/>
      <c r="AE76" s="198" t="str">
        <f t="shared" si="25"/>
        <v/>
      </c>
      <c r="AF76" s="199" t="str">
        <f t="shared" si="26"/>
        <v/>
      </c>
      <c r="AG76" s="197"/>
      <c r="AH76" s="198" t="str">
        <f t="shared" si="27"/>
        <v/>
      </c>
      <c r="AI76" s="199" t="str">
        <f t="shared" si="28"/>
        <v/>
      </c>
      <c r="AJ76" s="397">
        <f t="shared" si="29"/>
        <v>0</v>
      </c>
      <c r="AK76" s="398">
        <f t="shared" si="30"/>
        <v>0</v>
      </c>
      <c r="AL76" s="399">
        <f t="shared" si="31"/>
        <v>0</v>
      </c>
      <c r="AM76" s="400">
        <f t="shared" si="32"/>
        <v>0</v>
      </c>
      <c r="AN76" s="401">
        <f t="shared" si="33"/>
        <v>0</v>
      </c>
      <c r="AO76" s="11"/>
    </row>
    <row r="77" spans="1:41" x14ac:dyDescent="0.35">
      <c r="A77" s="11" t="s">
        <v>108</v>
      </c>
      <c r="B77" s="11"/>
      <c r="C77" s="196" t="s">
        <v>101</v>
      </c>
      <c r="D77" s="11" t="s">
        <v>107</v>
      </c>
      <c r="E77" s="11"/>
      <c r="F77" s="11" t="s">
        <v>99</v>
      </c>
      <c r="G77" s="11"/>
      <c r="H77" s="88" t="s">
        <v>870</v>
      </c>
      <c r="I77" s="122" t="str">
        <f>IF(_epmOfflineCondition_,"T3",_xll.EVPRO($B$1,$H77,"STYLE"))</f>
        <v>T3</v>
      </c>
      <c r="J77" s="122" t="str">
        <f>IF(_epmOfflineCondition_,"Y",_xll.EVPRO($B$1,$H77,"CALC"))</f>
        <v>Y</v>
      </c>
      <c r="K77" s="179" t="str">
        <f t="shared" si="22"/>
        <v>&gt;</v>
      </c>
      <c r="L77" s="90" t="str">
        <f>IF(_epmOfflineCondition_,"",_xll.EVPRO($B$1,H77,"JDEID"))</f>
        <v/>
      </c>
      <c r="M77" s="90" t="str">
        <f>IF(_epmOfflineCondition_,"",IF(AND(I77="N",J77="N"),_xll.EVPRO($B$1,H77,"PSFTID"),""))</f>
        <v/>
      </c>
      <c r="N77" s="90" t="str">
        <f>IF(_epmOfflineCondition_,"Banquet &amp; Conf/Catering Service",IF(_xll.EVDES(H77,$B$1)="#NODATA","",_xll.EVDES(H77,$B$1)))</f>
        <v>Banquet &amp; Conf/Catering Service</v>
      </c>
      <c r="O77" s="216">
        <v>1098.43</v>
      </c>
      <c r="P77" s="216">
        <v>387.23</v>
      </c>
      <c r="Q77" s="216"/>
      <c r="R77" s="216"/>
      <c r="S77" s="216"/>
      <c r="T77" s="216"/>
      <c r="U77" s="216"/>
      <c r="V77" s="216"/>
      <c r="W77" s="216"/>
      <c r="X77" s="216"/>
      <c r="Y77" s="216">
        <v>560.79999999999995</v>
      </c>
      <c r="Z77" s="216"/>
      <c r="AA77" s="251">
        <f t="shared" si="23"/>
        <v>2046.46</v>
      </c>
      <c r="AB77" s="218">
        <f t="shared" si="24"/>
        <v>2.5931276023649683E-2</v>
      </c>
      <c r="AC77" s="140"/>
      <c r="AD77" s="216">
        <v>27696</v>
      </c>
      <c r="AE77" s="218">
        <f t="shared" si="25"/>
        <v>7.3440967389114903E-2</v>
      </c>
      <c r="AF77" s="233">
        <f t="shared" si="26"/>
        <v>-25649.54</v>
      </c>
      <c r="AG77" s="216">
        <v>12683.58</v>
      </c>
      <c r="AH77" s="218">
        <f t="shared" si="27"/>
        <v>5.3955612509642696E-2</v>
      </c>
      <c r="AI77" s="233">
        <f t="shared" si="28"/>
        <v>-10637.119999999999</v>
      </c>
      <c r="AJ77" s="449">
        <f t="shared" si="29"/>
        <v>2.2439254385964911</v>
      </c>
      <c r="AK77" s="450">
        <f t="shared" si="30"/>
        <v>6.1315032100951958</v>
      </c>
      <c r="AL77" s="451">
        <f t="shared" si="31"/>
        <v>4.6189293517844137</v>
      </c>
      <c r="AM77" s="452" t="str">
        <f t="shared" si="32"/>
        <v>-4.75 pts.</v>
      </c>
      <c r="AN77" s="453" t="str">
        <f t="shared" si="33"/>
        <v>-2.8 pts.</v>
      </c>
      <c r="AO77" s="11"/>
    </row>
    <row r="78" spans="1:41" x14ac:dyDescent="0.35">
      <c r="A78" s="11"/>
      <c r="B78" s="11"/>
      <c r="C78" s="11"/>
      <c r="D78" s="11"/>
      <c r="E78" s="11"/>
      <c r="F78" s="11"/>
      <c r="G78" s="11"/>
      <c r="H78" s="88" t="s">
        <v>871</v>
      </c>
      <c r="I78" s="122" t="str">
        <f>IF(_epmOfflineCondition_,"T3",_xll.EVPRO($B$1,$H78,"STYLE"))</f>
        <v>T3</v>
      </c>
      <c r="J78" s="122" t="str">
        <f>IF(_epmOfflineCondition_,"Y",_xll.EVPRO($B$1,$H78,"CALC"))</f>
        <v>Y</v>
      </c>
      <c r="K78" s="179" t="str">
        <f t="shared" si="22"/>
        <v>&gt;</v>
      </c>
      <c r="L78" s="90" t="str">
        <f>IF(_epmOfflineCondition_,"",_xll.EVPRO($B$1,H78,"JDEID"))</f>
        <v/>
      </c>
      <c r="M78" s="90" t="str">
        <f>IF(_epmOfflineCondition_,"",IF(AND(I78="N",J78="N"),_xll.EVPRO($B$1,H78,"PSFTID"),""))</f>
        <v/>
      </c>
      <c r="N78" s="90" t="str">
        <f>IF(_epmOfflineCondition_,"F&amp;B Kitchen",IF(_xll.EVDES(H78,$B$1)="#NODATA","",_xll.EVDES(H78,$B$1)))</f>
        <v>F&amp;B Kitchen</v>
      </c>
      <c r="O78" s="216">
        <v>2295</v>
      </c>
      <c r="P78" s="216">
        <v>1893</v>
      </c>
      <c r="Q78" s="216"/>
      <c r="R78" s="216"/>
      <c r="S78" s="216"/>
      <c r="T78" s="216"/>
      <c r="U78" s="216"/>
      <c r="V78" s="216"/>
      <c r="W78" s="216"/>
      <c r="X78" s="216"/>
      <c r="Y78" s="216"/>
      <c r="Z78" s="216"/>
      <c r="AA78" s="251">
        <f t="shared" si="23"/>
        <v>4188</v>
      </c>
      <c r="AB78" s="218">
        <f t="shared" si="24"/>
        <v>5.306733773787168E-2</v>
      </c>
      <c r="AC78" s="140"/>
      <c r="AD78" s="216">
        <v>16692.55</v>
      </c>
      <c r="AE78" s="218">
        <f t="shared" si="25"/>
        <v>4.426332395259857E-2</v>
      </c>
      <c r="AF78" s="233">
        <f t="shared" si="26"/>
        <v>-12504.55</v>
      </c>
      <c r="AG78" s="216">
        <v>14244.88</v>
      </c>
      <c r="AH78" s="218">
        <f t="shared" si="27"/>
        <v>6.0597341249580876E-2</v>
      </c>
      <c r="AI78" s="233">
        <f t="shared" si="28"/>
        <v>-10056.879999999999</v>
      </c>
      <c r="AJ78" s="449">
        <f t="shared" si="29"/>
        <v>4.5921052631578947</v>
      </c>
      <c r="AK78" s="450">
        <f t="shared" si="30"/>
        <v>3.6954947974319237</v>
      </c>
      <c r="AL78" s="451">
        <f t="shared" si="31"/>
        <v>5.1875018208302981</v>
      </c>
      <c r="AM78" s="452" t="str">
        <f t="shared" si="32"/>
        <v>0.88 pts.</v>
      </c>
      <c r="AN78" s="453" t="str">
        <f t="shared" si="33"/>
        <v>-0.75 pts.</v>
      </c>
      <c r="AO78" s="11"/>
    </row>
    <row r="79" spans="1:41" x14ac:dyDescent="0.35">
      <c r="A79" s="11"/>
      <c r="B79" s="11"/>
      <c r="C79" s="208"/>
      <c r="D79" s="11"/>
      <c r="E79" s="11"/>
      <c r="F79" s="11"/>
      <c r="G79" s="11"/>
      <c r="H79" s="88" t="s">
        <v>872</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Venues",IF(_xll.EVDES(H79,$B$1)="#NODATA","",_xll.EVDES(H79,$B$1)))</f>
        <v>F&amp;B Venues</v>
      </c>
      <c r="O79" s="216"/>
      <c r="P79" s="216">
        <v>2810</v>
      </c>
      <c r="Q79" s="216"/>
      <c r="R79" s="216"/>
      <c r="S79" s="216"/>
      <c r="T79" s="216"/>
      <c r="U79" s="216"/>
      <c r="V79" s="216"/>
      <c r="W79" s="216"/>
      <c r="X79" s="216"/>
      <c r="Y79" s="216"/>
      <c r="Z79" s="216"/>
      <c r="AA79" s="251">
        <f t="shared" si="23"/>
        <v>2810</v>
      </c>
      <c r="AB79" s="218">
        <f t="shared" si="24"/>
        <v>3.560630827206767E-2</v>
      </c>
      <c r="AC79" s="140"/>
      <c r="AD79" s="216"/>
      <c r="AE79" s="218" t="str">
        <f t="shared" si="25"/>
        <v/>
      </c>
      <c r="AF79" s="233">
        <f t="shared" si="26"/>
        <v>2810</v>
      </c>
      <c r="AG79" s="216">
        <v>91.5</v>
      </c>
      <c r="AH79" s="218">
        <f t="shared" si="27"/>
        <v>3.8923857023271871E-4</v>
      </c>
      <c r="AI79" s="233">
        <f t="shared" si="28"/>
        <v>2718.5</v>
      </c>
      <c r="AJ79" s="449">
        <f t="shared" si="29"/>
        <v>3.0811403508771931</v>
      </c>
      <c r="AK79" s="450">
        <f t="shared" si="30"/>
        <v>0</v>
      </c>
      <c r="AL79" s="451">
        <f t="shared" si="31"/>
        <v>3.3321194464675893E-2</v>
      </c>
      <c r="AM79" s="452">
        <f t="shared" si="32"/>
        <v>0</v>
      </c>
      <c r="AN79" s="453" t="str">
        <f t="shared" si="33"/>
        <v>3.52 pts.</v>
      </c>
      <c r="AO79" s="11"/>
    </row>
    <row r="80" spans="1:41" x14ac:dyDescent="0.35">
      <c r="A80" s="61" t="str">
        <f>IF(_epmOfflineCondition_,"Evdre:Ok",_xll.EVDRE($B$1,A83:B90,A93:B99))</f>
        <v>Evdre:Ok</v>
      </c>
      <c r="B80" s="11"/>
      <c r="C80" s="11"/>
      <c r="D80" s="11"/>
      <c r="E80" s="11"/>
      <c r="F80" s="11"/>
      <c r="G80" s="11"/>
      <c r="H80" s="88" t="s">
        <v>852</v>
      </c>
      <c r="I80" s="188" t="str">
        <f>IF(_epmOfflineCondition_,"T2",_xll.EVPRO($B$1,$H80,"STYLE"))</f>
        <v>T2</v>
      </c>
      <c r="J80" s="188" t="str">
        <f>IF(_epmOfflineCondition_,"Y",_xll.EVPRO($B$1,$H80,"CALC"))</f>
        <v>Y</v>
      </c>
      <c r="K80" s="189" t="str">
        <f t="shared" si="22"/>
        <v/>
      </c>
      <c r="L80" s="190" t="str">
        <f>IF(_epmOfflineCondition_,"",_xll.EVPRO($B$1,H80,"JDEID"))</f>
        <v/>
      </c>
      <c r="M80" s="190" t="str">
        <f>IF(_epmOfflineCondition_,"",IF(AND(I80="N",J80="N"),_xll.EVPRO($B$1,H80,"PSFTID"),""))</f>
        <v/>
      </c>
      <c r="N80" s="190" t="str">
        <f>IF(_epmOfflineCondition_,"Total Salaries and Wages",IF(_xll.EVDES(H80,$B$1)="#NODATA","",_xll.EVDES(H80,$B$1)))</f>
        <v>Total Salaries and Wages</v>
      </c>
      <c r="O80" s="225">
        <v>3393.43</v>
      </c>
      <c r="P80" s="225">
        <v>5090.2299999999996</v>
      </c>
      <c r="Q80" s="225"/>
      <c r="R80" s="225"/>
      <c r="S80" s="225"/>
      <c r="T80" s="225"/>
      <c r="U80" s="225"/>
      <c r="V80" s="225"/>
      <c r="W80" s="225"/>
      <c r="X80" s="225"/>
      <c r="Y80" s="225">
        <v>560.79999999999995</v>
      </c>
      <c r="Z80" s="225"/>
      <c r="AA80" s="225">
        <f t="shared" si="23"/>
        <v>9044.4599999999991</v>
      </c>
      <c r="AB80" s="226">
        <f t="shared" si="24"/>
        <v>0.11460492203358902</v>
      </c>
      <c r="AC80" s="227"/>
      <c r="AD80" s="225">
        <v>44388.55</v>
      </c>
      <c r="AE80" s="226">
        <f t="shared" si="25"/>
        <v>0.11770429134171349</v>
      </c>
      <c r="AF80" s="228">
        <f t="shared" si="26"/>
        <v>-35344.090000000004</v>
      </c>
      <c r="AG80" s="225">
        <v>27019.96</v>
      </c>
      <c r="AH80" s="226">
        <f t="shared" si="27"/>
        <v>0.11494219232945629</v>
      </c>
      <c r="AI80" s="228">
        <f t="shared" si="28"/>
        <v>-17975.5</v>
      </c>
      <c r="AJ80" s="229">
        <f t="shared" si="29"/>
        <v>9.9171710526315788</v>
      </c>
      <c r="AK80" s="230">
        <f t="shared" si="30"/>
        <v>9.8269980075271199</v>
      </c>
      <c r="AL80" s="232">
        <f t="shared" si="31"/>
        <v>9.8397523670793881</v>
      </c>
      <c r="AM80" s="427" t="str">
        <f t="shared" si="32"/>
        <v>-0.31 pts.</v>
      </c>
      <c r="AN80" s="456" t="str">
        <f t="shared" si="33"/>
        <v>-0.03 pts.</v>
      </c>
      <c r="AO80" s="11"/>
    </row>
    <row r="81" spans="1:41" x14ac:dyDescent="0.35">
      <c r="A81" s="11"/>
      <c r="B81" s="11"/>
      <c r="C81" s="11"/>
      <c r="D81" s="11"/>
      <c r="E81" s="11"/>
      <c r="F81" s="11"/>
      <c r="G81" s="11"/>
      <c r="H81" s="88" t="s">
        <v>873</v>
      </c>
      <c r="I81" s="122" t="str">
        <f>IF(_epmOfflineCondition_,"T3",_xll.EVPRO($B$1,$H81,"STYLE"))</f>
        <v>T3</v>
      </c>
      <c r="J81" s="122" t="str">
        <f>IF(_epmOfflineCondition_,"Y",_xll.EVPRO($B$1,$H81,"CALC"))</f>
        <v>Y</v>
      </c>
      <c r="K81" s="179" t="str">
        <f t="shared" si="22"/>
        <v>&gt;</v>
      </c>
      <c r="L81" s="90" t="str">
        <f>IF(_epmOfflineCondition_,"",_xll.EVPRO($B$1,H81,"JDEID"))</f>
        <v/>
      </c>
      <c r="M81" s="90" t="str">
        <f>IF(_epmOfflineCondition_,"",IF(AND(I81="N",J81="N"),_xll.EVPRO($B$1,H81,"PSFTID"),""))</f>
        <v/>
      </c>
      <c r="N81" s="90" t="str">
        <f>IF(_epmOfflineCondition_,"Service Charge Distribution",IF(_xll.EVDES(H81,$B$1)="#NODATA","",_xll.EVDES(H81,$B$1)))</f>
        <v>Service Charge Distribution</v>
      </c>
      <c r="O81" s="216">
        <v>4281.08</v>
      </c>
      <c r="P81" s="216">
        <v>4822.16</v>
      </c>
      <c r="Q81" s="216"/>
      <c r="R81" s="216"/>
      <c r="S81" s="216">
        <v>-2005.03</v>
      </c>
      <c r="T81" s="216"/>
      <c r="U81" s="216"/>
      <c r="V81" s="216"/>
      <c r="W81" s="216">
        <v>90.72</v>
      </c>
      <c r="X81" s="216">
        <v>55</v>
      </c>
      <c r="Y81" s="216">
        <v>40</v>
      </c>
      <c r="Z81" s="216"/>
      <c r="AA81" s="216">
        <f t="shared" si="23"/>
        <v>7283.93</v>
      </c>
      <c r="AB81" s="218">
        <f t="shared" si="24"/>
        <v>9.2296746267673271E-2</v>
      </c>
      <c r="AC81" s="140"/>
      <c r="AD81" s="216">
        <v>50254.737983999999</v>
      </c>
      <c r="AE81" s="218">
        <f t="shared" si="25"/>
        <v>0.13325955276687818</v>
      </c>
      <c r="AF81" s="233">
        <f t="shared" si="26"/>
        <v>-42970.807983999999</v>
      </c>
      <c r="AG81" s="216">
        <v>24701.95</v>
      </c>
      <c r="AH81" s="218">
        <f t="shared" si="27"/>
        <v>0.1050814393438263</v>
      </c>
      <c r="AI81" s="233">
        <f t="shared" si="28"/>
        <v>-17418.02</v>
      </c>
      <c r="AJ81" s="537">
        <f t="shared" si="29"/>
        <v>7.9867653508771932</v>
      </c>
      <c r="AK81" s="538">
        <f t="shared" si="30"/>
        <v>11.12568917068851</v>
      </c>
      <c r="AL81" s="539">
        <f t="shared" si="31"/>
        <v>8.9956117989803346</v>
      </c>
      <c r="AM81" s="540" t="str">
        <f t="shared" si="32"/>
        <v>-4.1 pts.</v>
      </c>
      <c r="AN81" s="541" t="str">
        <f t="shared" si="33"/>
        <v>-1.28 pts.</v>
      </c>
      <c r="AO81" s="11"/>
    </row>
    <row r="82" spans="1:41" x14ac:dyDescent="0.35">
      <c r="A82" s="62" t="s">
        <v>0</v>
      </c>
      <c r="B82" s="63" t="s">
        <v>1</v>
      </c>
      <c r="C82" s="11"/>
      <c r="D82" s="11"/>
      <c r="E82" s="11"/>
      <c r="F82" s="11"/>
      <c r="G82" s="11"/>
      <c r="H82" s="88" t="s">
        <v>874</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IF(_epmOfflineCondition_,"Contracted &amp; Leased Labor",IF(_xll.EVDES(H82,$B$1)="#NODATA","",_xll.EVDES(H82,$B$1)))</f>
        <v>Contracted &amp; Leased Labor</v>
      </c>
      <c r="O82" s="216"/>
      <c r="P82" s="216">
        <v>3200</v>
      </c>
      <c r="Q82" s="216">
        <v>3609.53</v>
      </c>
      <c r="R82" s="216"/>
      <c r="S82" s="216"/>
      <c r="T82" s="216"/>
      <c r="U82" s="216"/>
      <c r="V82" s="216"/>
      <c r="W82" s="216"/>
      <c r="X82" s="216"/>
      <c r="Y82" s="216"/>
      <c r="Z82" s="216"/>
      <c r="AA82" s="251">
        <f t="shared" si="23"/>
        <v>6809.5300000000007</v>
      </c>
      <c r="AB82" s="218">
        <f t="shared" si="24"/>
        <v>8.6285489098894302E-2</v>
      </c>
      <c r="AC82" s="140"/>
      <c r="AD82" s="216"/>
      <c r="AE82" s="218" t="str">
        <f t="shared" si="25"/>
        <v/>
      </c>
      <c r="AF82" s="233">
        <f t="shared" si="26"/>
        <v>6809.5300000000007</v>
      </c>
      <c r="AG82" s="216"/>
      <c r="AH82" s="218" t="str">
        <f t="shared" si="27"/>
        <v/>
      </c>
      <c r="AI82" s="233">
        <f t="shared" si="28"/>
        <v>6809.5300000000007</v>
      </c>
      <c r="AJ82" s="449">
        <f t="shared" si="29"/>
        <v>7.4665899122807025</v>
      </c>
      <c r="AK82" s="450">
        <f t="shared" si="30"/>
        <v>0</v>
      </c>
      <c r="AL82" s="451">
        <f t="shared" si="31"/>
        <v>0</v>
      </c>
      <c r="AM82" s="452">
        <f t="shared" si="32"/>
        <v>0</v>
      </c>
      <c r="AN82" s="453">
        <f t="shared" si="33"/>
        <v>0</v>
      </c>
      <c r="AO82" s="11"/>
    </row>
    <row r="83" spans="1:41" x14ac:dyDescent="0.35">
      <c r="A83" s="65" t="s">
        <v>2</v>
      </c>
      <c r="B83" s="66" t="str">
        <f>IF(_epmOfflineCondition_,"'BCC_CONS'!$B$2:$B$10",_xll.EVRNG($B$2:$B$10))</f>
        <v>'BCC_CONS'!$B$2:$B$10</v>
      </c>
      <c r="C83" s="11"/>
      <c r="D83" s="11"/>
      <c r="E83" s="11"/>
      <c r="F83" s="11"/>
      <c r="G83" s="11"/>
      <c r="H83" s="88" t="s">
        <v>854</v>
      </c>
      <c r="I83" s="188" t="str">
        <f>IF(_epmOfflineCondition_,"T2",_xll.EVPRO($B$1,$H83,"STYLE"))</f>
        <v>T2</v>
      </c>
      <c r="J83" s="188" t="str">
        <f>IF(_epmOfflineCondition_,"Y",_xll.EVPRO($B$1,$H83,"CALC"))</f>
        <v>Y</v>
      </c>
      <c r="K83" s="189" t="str">
        <f t="shared" si="22"/>
        <v/>
      </c>
      <c r="L83" s="190" t="str">
        <f>IF(_epmOfflineCondition_,"",_xll.EVPRO($B$1,H83,"JDEID"))</f>
        <v/>
      </c>
      <c r="M83" s="190" t="str">
        <f>IF(_epmOfflineCondition_,"",IF(AND(I83="N",J83="N"),_xll.EVPRO($B$1,H83,"PSFTID"),""))</f>
        <v/>
      </c>
      <c r="N83" s="190" t="str">
        <f>IF(_epmOfflineCondition_,"Total Labor Expense",IF(_xll.EVDES(H83,$B$1)="#NODATA","",_xll.EVDES(H83,$B$1)))</f>
        <v>Total Labor Expense</v>
      </c>
      <c r="O83" s="225">
        <v>7674.51</v>
      </c>
      <c r="P83" s="225">
        <v>13112.39</v>
      </c>
      <c r="Q83" s="225">
        <v>3609.53</v>
      </c>
      <c r="R83" s="225"/>
      <c r="S83" s="225">
        <v>-2005.03</v>
      </c>
      <c r="T83" s="225"/>
      <c r="U83" s="225"/>
      <c r="V83" s="225"/>
      <c r="W83" s="225">
        <v>90.72</v>
      </c>
      <c r="X83" s="225">
        <v>55</v>
      </c>
      <c r="Y83" s="225">
        <v>600.79999999999995</v>
      </c>
      <c r="Z83" s="225"/>
      <c r="AA83" s="225">
        <f t="shared" si="23"/>
        <v>23137.920000000002</v>
      </c>
      <c r="AB83" s="226">
        <f t="shared" si="24"/>
        <v>0.29318715740015661</v>
      </c>
      <c r="AC83" s="227"/>
      <c r="AD83" s="225">
        <v>94643.287983999995</v>
      </c>
      <c r="AE83" s="226">
        <f t="shared" si="25"/>
        <v>0.25096384410859168</v>
      </c>
      <c r="AF83" s="228">
        <f t="shared" si="26"/>
        <v>-71505.367983999997</v>
      </c>
      <c r="AG83" s="225">
        <v>51721.91</v>
      </c>
      <c r="AH83" s="226">
        <f t="shared" si="27"/>
        <v>0.22002363167328259</v>
      </c>
      <c r="AI83" s="228">
        <f t="shared" si="28"/>
        <v>-28583.99</v>
      </c>
      <c r="AJ83" s="229">
        <f t="shared" si="29"/>
        <v>25.370526315789476</v>
      </c>
      <c r="AK83" s="230">
        <f t="shared" si="30"/>
        <v>20.95268717821563</v>
      </c>
      <c r="AL83" s="232">
        <f t="shared" si="31"/>
        <v>18.835364166059726</v>
      </c>
      <c r="AM83" s="427" t="str">
        <f t="shared" si="32"/>
        <v>4.22 pts.</v>
      </c>
      <c r="AN83" s="456" t="str">
        <f t="shared" si="33"/>
        <v>7.32 pts.</v>
      </c>
      <c r="AO83" s="11"/>
    </row>
    <row r="84" spans="1:41" x14ac:dyDescent="0.35">
      <c r="A84" s="65" t="s">
        <v>3</v>
      </c>
      <c r="B84" s="66" t="str">
        <f>IF(_epmOfflineCondition_,"'BCC_CONS'!$O$16:$AN$18",_xll.EVRNG($O$16:$AN$18))</f>
        <v>'BCC_CONS'!$O$16:$AN$18</v>
      </c>
      <c r="C84" s="11"/>
      <c r="D84" s="11"/>
      <c r="E84" s="11"/>
      <c r="F84" s="11"/>
      <c r="G84" s="11"/>
      <c r="H84" s="88" t="s">
        <v>855</v>
      </c>
      <c r="I84" s="122" t="str">
        <f>IF(_epmOfflineCondition_,"T3",_xll.EVPRO($B$1,$H84,"STYLE"))</f>
        <v>T3</v>
      </c>
      <c r="J84" s="122" t="str">
        <f>IF(_epmOfflineCondition_,"Y",_xll.EVPRO($B$1,$H84,"CALC"))</f>
        <v>Y</v>
      </c>
      <c r="K84" s="179" t="str">
        <f t="shared" si="22"/>
        <v>&gt;</v>
      </c>
      <c r="L84" s="90" t="str">
        <f>IF(_epmOfflineCondition_,"",_xll.EVPRO($B$1,H84,"JDEID"))</f>
        <v/>
      </c>
      <c r="M84" s="90" t="str">
        <f>IF(_epmOfflineCondition_,"",IF(AND(I84="N",J84="N"),_xll.EVPRO($B$1,H84,"PSFTID"),""))</f>
        <v/>
      </c>
      <c r="N84" s="90" t="str">
        <f>IF(_epmOfflineCondition_,"Payroll Taxes",IF(_xll.EVDES(H84,$B$1)="#NODATA","",_xll.EVDES(H84,$B$1)))</f>
        <v>Payroll Taxes</v>
      </c>
      <c r="O84" s="216">
        <v>394.85</v>
      </c>
      <c r="P84" s="216">
        <v>406.39</v>
      </c>
      <c r="Q84" s="216">
        <v>1.79</v>
      </c>
      <c r="R84" s="216"/>
      <c r="S84" s="216"/>
      <c r="T84" s="216"/>
      <c r="U84" s="216"/>
      <c r="V84" s="216"/>
      <c r="W84" s="216"/>
      <c r="X84" s="216"/>
      <c r="Y84" s="216">
        <v>53.95</v>
      </c>
      <c r="Z84" s="216"/>
      <c r="AA84" s="216">
        <f t="shared" si="23"/>
        <v>856.98</v>
      </c>
      <c r="AB84" s="218">
        <f t="shared" si="24"/>
        <v>1.0859037033094859E-2</v>
      </c>
      <c r="AC84" s="140"/>
      <c r="AD84" s="216">
        <v>6764.1942087473999</v>
      </c>
      <c r="AE84" s="218">
        <f t="shared" si="25"/>
        <v>1.7936487806840616E-2</v>
      </c>
      <c r="AF84" s="233">
        <f t="shared" si="26"/>
        <v>-5907.2142087474003</v>
      </c>
      <c r="AG84" s="216">
        <v>2528.2399999999998</v>
      </c>
      <c r="AH84" s="218">
        <f t="shared" si="27"/>
        <v>1.0755065823007308E-2</v>
      </c>
      <c r="AI84" s="233">
        <f t="shared" si="28"/>
        <v>-1671.2599999999998</v>
      </c>
      <c r="AJ84" s="537">
        <f t="shared" si="29"/>
        <v>0.93967105263157902</v>
      </c>
      <c r="AK84" s="538">
        <f t="shared" si="30"/>
        <v>1.4974970575044055</v>
      </c>
      <c r="AL84" s="539">
        <f t="shared" si="31"/>
        <v>0.92069919883466855</v>
      </c>
      <c r="AM84" s="540" t="str">
        <f t="shared" si="32"/>
        <v>-0.71 pts.</v>
      </c>
      <c r="AN84" s="541" t="str">
        <f t="shared" si="33"/>
        <v>0.01 pts.</v>
      </c>
      <c r="AO84" s="11"/>
    </row>
    <row r="85" spans="1:41" x14ac:dyDescent="0.35">
      <c r="A85" s="65" t="s">
        <v>4</v>
      </c>
      <c r="B85" s="66" t="str">
        <f>IF(_epmOfflineCondition_,"'BCC_CONS'!$H$74:$H$75,'BCC_CONS'!$H$77:$H$88,'BCC_CONS'!$H$91:$H$105",_xll.EVRNG(H74:H75,H77:H88,H91:H105))</f>
        <v>'BCC_CONS'!$H$74:$H$75,'BCC_CONS'!$H$77:$H$88,'BCC_CONS'!$H$91:$H$105</v>
      </c>
      <c r="C85" s="11"/>
      <c r="D85" s="11"/>
      <c r="E85" s="11"/>
      <c r="F85" s="11"/>
      <c r="G85" s="11"/>
      <c r="H85" s="88" t="s">
        <v>856</v>
      </c>
      <c r="I85" s="122" t="str">
        <f>IF(_epmOfflineCondition_,"T3",_xll.EVPRO($B$1,$H85,"STYLE"))</f>
        <v>T3</v>
      </c>
      <c r="J85" s="122" t="str">
        <f>IF(_epmOfflineCondition_,"Y",_xll.EVPRO($B$1,$H85,"CALC"))</f>
        <v>Y</v>
      </c>
      <c r="K85" s="179" t="str">
        <f t="shared" si="22"/>
        <v>&gt;</v>
      </c>
      <c r="L85" s="90" t="str">
        <f>IF(_epmOfflineCondition_,"",_xll.EVPRO($B$1,H85,"JDEID"))</f>
        <v/>
      </c>
      <c r="M85" s="90" t="str">
        <f>IF(_epmOfflineCondition_,"",IF(AND(I85="N",J85="N"),_xll.EVPRO($B$1,H85,"PSFTID"),""))</f>
        <v/>
      </c>
      <c r="N85" s="90" t="str">
        <f>IF(_epmOfflineCondition_,"Supplemental Pay",IF(_xll.EVDES(H85,$B$1)="#NODATA","",_xll.EVDES(H85,$B$1)))</f>
        <v>Supplemental Pay</v>
      </c>
      <c r="O85" s="216"/>
      <c r="P85" s="216"/>
      <c r="Q85" s="216">
        <v>-7.91</v>
      </c>
      <c r="R85" s="216">
        <v>-2.71</v>
      </c>
      <c r="S85" s="216"/>
      <c r="T85" s="216"/>
      <c r="U85" s="216"/>
      <c r="V85" s="216"/>
      <c r="W85" s="216"/>
      <c r="X85" s="216"/>
      <c r="Y85" s="216"/>
      <c r="Z85" s="216"/>
      <c r="AA85" s="251">
        <f t="shared" si="23"/>
        <v>-10.620000000000001</v>
      </c>
      <c r="AB85" s="218">
        <f t="shared" si="24"/>
        <v>-1.3456903695706715E-4</v>
      </c>
      <c r="AC85" s="140"/>
      <c r="AD85" s="216">
        <v>1993.0783763441</v>
      </c>
      <c r="AE85" s="218">
        <f t="shared" si="25"/>
        <v>5.2850088114181522E-3</v>
      </c>
      <c r="AF85" s="233">
        <f t="shared" si="26"/>
        <v>-2003.6983763440999</v>
      </c>
      <c r="AG85" s="216">
        <v>32.619999999999997</v>
      </c>
      <c r="AH85" s="218">
        <f t="shared" si="27"/>
        <v>1.387646137813255E-4</v>
      </c>
      <c r="AI85" s="233">
        <f t="shared" si="28"/>
        <v>-43.239999999999995</v>
      </c>
      <c r="AJ85" s="449">
        <f t="shared" si="29"/>
        <v>-1.1644736842105265E-2</v>
      </c>
      <c r="AK85" s="450">
        <f t="shared" si="30"/>
        <v>0.44123940144877133</v>
      </c>
      <c r="AL85" s="451">
        <f t="shared" si="31"/>
        <v>1.1879096868171886E-2</v>
      </c>
      <c r="AM85" s="452" t="str">
        <f t="shared" si="32"/>
        <v>-0.54 pts.</v>
      </c>
      <c r="AN85" s="453" t="str">
        <f t="shared" si="33"/>
        <v>-0.03 pts.</v>
      </c>
      <c r="AO85" s="11"/>
    </row>
    <row r="86" spans="1:41" x14ac:dyDescent="0.35">
      <c r="A86" s="65" t="s">
        <v>5</v>
      </c>
      <c r="B86" s="66"/>
      <c r="C86" s="11"/>
      <c r="D86" s="11"/>
      <c r="E86" s="11"/>
      <c r="F86" s="11"/>
      <c r="G86" s="11"/>
      <c r="H86" s="88" t="s">
        <v>857</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IF(_epmOfflineCondition_,"Employee Benefits",IF(_xll.EVDES(H86,$B$1)="#NODATA","",_xll.EVDES(H86,$B$1)))</f>
        <v>Employee Benefits</v>
      </c>
      <c r="O86" s="216">
        <v>92.18</v>
      </c>
      <c r="P86" s="216">
        <v>94.42</v>
      </c>
      <c r="Q86" s="216">
        <v>94.58</v>
      </c>
      <c r="R86" s="216">
        <v>94.42</v>
      </c>
      <c r="S86" s="216">
        <v>94.43</v>
      </c>
      <c r="T86" s="216">
        <v>94.43</v>
      </c>
      <c r="U86" s="216">
        <v>45.83</v>
      </c>
      <c r="V86" s="216">
        <v>70.13</v>
      </c>
      <c r="W86" s="216">
        <v>-29.22</v>
      </c>
      <c r="X86" s="216">
        <v>-82.53</v>
      </c>
      <c r="Y86" s="216">
        <v>9.0299999999999994</v>
      </c>
      <c r="Z86" s="216"/>
      <c r="AA86" s="251">
        <f t="shared" si="23"/>
        <v>577.70000000000005</v>
      </c>
      <c r="AB86" s="218">
        <f t="shared" si="24"/>
        <v>7.3202008145101406E-3</v>
      </c>
      <c r="AC86" s="140"/>
      <c r="AD86" s="216">
        <v>1993.9580675268001</v>
      </c>
      <c r="AE86" s="218">
        <f t="shared" si="25"/>
        <v>5.2873414721439308E-3</v>
      </c>
      <c r="AF86" s="233">
        <f t="shared" si="26"/>
        <v>-1416.2580675268</v>
      </c>
      <c r="AG86" s="216">
        <v>1072.68</v>
      </c>
      <c r="AH86" s="218">
        <f t="shared" si="27"/>
        <v>4.5631522351610139E-3</v>
      </c>
      <c r="AI86" s="233">
        <f t="shared" si="28"/>
        <v>-494.98</v>
      </c>
      <c r="AJ86" s="449">
        <f t="shared" si="29"/>
        <v>0.63344298245614039</v>
      </c>
      <c r="AK86" s="450">
        <f t="shared" si="30"/>
        <v>0.44143415265149438</v>
      </c>
      <c r="AL86" s="451">
        <f t="shared" si="31"/>
        <v>0.39063364894391844</v>
      </c>
      <c r="AM86" s="452" t="str">
        <f t="shared" si="32"/>
        <v>0.2 pts.</v>
      </c>
      <c r="AN86" s="453" t="str">
        <f t="shared" si="33"/>
        <v>0.28 pts.</v>
      </c>
      <c r="AO86" s="11"/>
    </row>
    <row r="87" spans="1:41" x14ac:dyDescent="0.35">
      <c r="A87" s="65" t="s">
        <v>6</v>
      </c>
      <c r="B87" s="66"/>
      <c r="C87" s="11"/>
      <c r="D87" s="11"/>
      <c r="E87" s="11"/>
      <c r="F87" s="11"/>
      <c r="G87" s="11"/>
      <c r="H87" s="88" t="s">
        <v>858</v>
      </c>
      <c r="I87" s="188" t="str">
        <f>IF(_epmOfflineCondition_,"T2",_xll.EVPRO($B$1,$H87,"STYLE"))</f>
        <v>T2</v>
      </c>
      <c r="J87" s="188" t="str">
        <f>IF(_epmOfflineCondition_,"Y",_xll.EVPRO($B$1,$H87,"CALC"))</f>
        <v>Y</v>
      </c>
      <c r="K87" s="189" t="str">
        <f t="shared" si="22"/>
        <v/>
      </c>
      <c r="L87" s="190" t="str">
        <f>IF(_epmOfflineCondition_,"",_xll.EVPRO($B$1,H87,"JDEID"))</f>
        <v/>
      </c>
      <c r="M87" s="190" t="str">
        <f>IF(_epmOfflineCondition_,"",IF(AND(I87="N",J87="N"),_xll.EVPRO($B$1,H87,"PSFTID"),""))</f>
        <v/>
      </c>
      <c r="N87" s="190" t="str">
        <f>IF(_epmOfflineCondition_,"Total Payroll Related",IF(_xll.EVDES(H87,$B$1)="#NODATA","",_xll.EVDES(H87,$B$1)))</f>
        <v>Total Payroll Related</v>
      </c>
      <c r="O87" s="238">
        <v>487.03</v>
      </c>
      <c r="P87" s="238">
        <v>500.81</v>
      </c>
      <c r="Q87" s="238">
        <v>88.46</v>
      </c>
      <c r="R87" s="238">
        <v>91.71</v>
      </c>
      <c r="S87" s="238">
        <v>94.43</v>
      </c>
      <c r="T87" s="238">
        <v>94.43</v>
      </c>
      <c r="U87" s="238">
        <v>45.83</v>
      </c>
      <c r="V87" s="238">
        <v>70.13</v>
      </c>
      <c r="W87" s="238">
        <v>-29.22</v>
      </c>
      <c r="X87" s="238">
        <v>-82.53</v>
      </c>
      <c r="Y87" s="238">
        <v>62.98</v>
      </c>
      <c r="Z87" s="238"/>
      <c r="AA87" s="238">
        <f t="shared" si="23"/>
        <v>1424.06</v>
      </c>
      <c r="AB87" s="239">
        <f t="shared" si="24"/>
        <v>1.8044668810647931E-2</v>
      </c>
      <c r="AC87" s="240"/>
      <c r="AD87" s="238">
        <v>10751.2306526183</v>
      </c>
      <c r="AE87" s="239">
        <f t="shared" si="25"/>
        <v>2.8508838090402701E-2</v>
      </c>
      <c r="AF87" s="241">
        <f t="shared" si="26"/>
        <v>-9327.1706526183007</v>
      </c>
      <c r="AG87" s="238">
        <v>3633.54</v>
      </c>
      <c r="AH87" s="239">
        <f t="shared" si="27"/>
        <v>1.5456982671949648E-2</v>
      </c>
      <c r="AI87" s="241">
        <f t="shared" si="28"/>
        <v>-2209.48</v>
      </c>
      <c r="AJ87" s="242">
        <f t="shared" si="29"/>
        <v>1.561469298245614</v>
      </c>
      <c r="AK87" s="243">
        <f t="shared" si="30"/>
        <v>2.3801706116046715</v>
      </c>
      <c r="AL87" s="245">
        <f t="shared" si="31"/>
        <v>1.323211944646759</v>
      </c>
      <c r="AM87" s="431" t="str">
        <f t="shared" si="32"/>
        <v>-1.05 pts.</v>
      </c>
      <c r="AN87" s="465" t="str">
        <f t="shared" si="33"/>
        <v>0.26 pts.</v>
      </c>
      <c r="AO87" s="11"/>
    </row>
    <row r="88" spans="1:41" x14ac:dyDescent="0.35">
      <c r="A88" s="65" t="s">
        <v>7</v>
      </c>
      <c r="B88" s="66" t="str">
        <f>IF(_epmOfflineCondition_,"'BCC_CONS'!$A$102:$F$108",_xll.EVRNG(A102:F108))</f>
        <v>'BCC_CONS'!$A$102:$F$108</v>
      </c>
      <c r="C88" s="11"/>
      <c r="D88" s="11"/>
      <c r="E88" s="11"/>
      <c r="F88" s="11"/>
      <c r="G88" s="11"/>
      <c r="H88" s="88" t="s">
        <v>76</v>
      </c>
      <c r="I88" s="188" t="str">
        <f>IF(_epmOfflineCondition_,"T1",_xll.EVPRO($B$1,$H88,"STYLE"))</f>
        <v>T1</v>
      </c>
      <c r="J88" s="188" t="str">
        <f>IF(_epmOfflineCondition_,"Y",_xll.EVPRO($B$1,$H88,"CALC"))</f>
        <v>Y</v>
      </c>
      <c r="K88" s="189" t="str">
        <f t="shared" si="22"/>
        <v/>
      </c>
      <c r="L88" s="190" t="str">
        <f>IF(_epmOfflineCondition_,"600000",_xll.EVPRO($B$1,H88,"JDEID"))</f>
        <v>600000</v>
      </c>
      <c r="M88" s="190" t="str">
        <f>IF(_epmOfflineCondition_,"",IF(AND(I88="N",J88="N"),_xll.EVPRO($B$1,H88,"PSFTID"),""))</f>
        <v/>
      </c>
      <c r="N88" s="190" t="str">
        <f>IF(_epmOfflineCondition_,"Total Labor &amp; Related Exp",IF(_xll.EVDES(H88,$B$1)="#NODATA","",_xll.EVDES(H88,$B$1)))</f>
        <v>Total Labor &amp; Related Exp</v>
      </c>
      <c r="O88" s="238">
        <v>8161.54</v>
      </c>
      <c r="P88" s="238">
        <v>13613.2</v>
      </c>
      <c r="Q88" s="238">
        <v>3697.99</v>
      </c>
      <c r="R88" s="238">
        <v>91.71</v>
      </c>
      <c r="S88" s="238">
        <v>-1910.6</v>
      </c>
      <c r="T88" s="238">
        <v>94.43</v>
      </c>
      <c r="U88" s="238">
        <v>45.83</v>
      </c>
      <c r="V88" s="238">
        <v>70.13</v>
      </c>
      <c r="W88" s="238">
        <v>61.5</v>
      </c>
      <c r="X88" s="238">
        <v>-27.53</v>
      </c>
      <c r="Y88" s="238">
        <v>663.78</v>
      </c>
      <c r="Z88" s="238"/>
      <c r="AA88" s="238">
        <f t="shared" si="23"/>
        <v>24561.980000000007</v>
      </c>
      <c r="AB88" s="239">
        <f t="shared" si="24"/>
        <v>0.31123182621080464</v>
      </c>
      <c r="AC88" s="240"/>
      <c r="AD88" s="238">
        <v>105394.518636618</v>
      </c>
      <c r="AE88" s="239">
        <f t="shared" si="25"/>
        <v>0.27947268219899357</v>
      </c>
      <c r="AF88" s="241">
        <f t="shared" si="26"/>
        <v>-80832.538636617988</v>
      </c>
      <c r="AG88" s="238">
        <v>55355.45</v>
      </c>
      <c r="AH88" s="239">
        <f t="shared" si="27"/>
        <v>0.23548061434523224</v>
      </c>
      <c r="AI88" s="241">
        <f t="shared" si="28"/>
        <v>-30793.46999999999</v>
      </c>
      <c r="AJ88" s="242">
        <f t="shared" si="29"/>
        <v>26.931995614035095</v>
      </c>
      <c r="AK88" s="243">
        <f t="shared" si="30"/>
        <v>23.332857789820235</v>
      </c>
      <c r="AL88" s="245">
        <f t="shared" si="31"/>
        <v>20.15857611070648</v>
      </c>
      <c r="AM88" s="431" t="str">
        <f t="shared" si="32"/>
        <v>3.18 pts.</v>
      </c>
      <c r="AN88" s="465" t="str">
        <f t="shared" si="33"/>
        <v>7.58 pts.</v>
      </c>
      <c r="AO88" s="11"/>
    </row>
    <row r="89" spans="1:41" x14ac:dyDescent="0.35">
      <c r="A89" s="65" t="s">
        <v>47</v>
      </c>
      <c r="B89" s="66" t="str">
        <f>IF(_epmOfflineCondition_,"'BCC_CONS'!$A$125:$B$130",_xll.EVRNG($A$125:$B$130))</f>
        <v>'BCC_CONS'!$A$125:$B$130</v>
      </c>
      <c r="C89" s="11"/>
      <c r="D89" s="11"/>
      <c r="E89" s="11"/>
      <c r="F89" s="11"/>
      <c r="G89" s="11"/>
      <c r="H89" s="11"/>
      <c r="I89" s="59"/>
      <c r="J89" s="59"/>
      <c r="K89" s="11"/>
      <c r="L89" s="11"/>
      <c r="M89" s="11"/>
      <c r="N89" s="11"/>
      <c r="O89" s="129"/>
      <c r="P89" s="130"/>
      <c r="Q89" s="130"/>
      <c r="R89" s="130"/>
      <c r="S89" s="130"/>
      <c r="T89" s="130"/>
      <c r="U89" s="130"/>
      <c r="V89" s="130"/>
      <c r="W89" s="130"/>
      <c r="X89" s="130"/>
      <c r="Y89" s="130"/>
      <c r="Z89" s="130"/>
      <c r="AA89" s="130"/>
      <c r="AB89" s="131"/>
      <c r="AC89" s="11"/>
      <c r="AD89" s="129"/>
      <c r="AE89" s="130"/>
      <c r="AF89" s="131"/>
      <c r="AG89" s="129"/>
      <c r="AH89" s="130"/>
      <c r="AI89" s="131"/>
      <c r="AJ89" s="11"/>
      <c r="AK89" s="11"/>
      <c r="AL89" s="11"/>
      <c r="AM89" s="11"/>
      <c r="AN89" s="11"/>
      <c r="AO89" s="11"/>
    </row>
    <row r="90" spans="1:41" x14ac:dyDescent="0.35">
      <c r="A90" s="65" t="s">
        <v>8</v>
      </c>
      <c r="B90" s="66"/>
      <c r="C90" s="11"/>
      <c r="D90" s="11"/>
      <c r="E90" s="11"/>
      <c r="F90" s="11"/>
      <c r="G90" s="11"/>
      <c r="H90" s="11" t="s">
        <v>82</v>
      </c>
      <c r="I90" s="59" t="str">
        <f>IF(_epmOfflineCondition_,"B1",_xll.EVPRO($B$1,$H90,"STYLE"))</f>
        <v>B1</v>
      </c>
      <c r="J90" s="59" t="str">
        <f>IF(_epmOfflineCondition_,"Y",_xll.EVPRO($B$1,$H90,"CALC"))</f>
        <v>Y</v>
      </c>
      <c r="K90" s="11"/>
      <c r="L90" s="11"/>
      <c r="M90" s="11"/>
      <c r="N90" s="105" t="str">
        <f>IF(_epmOfflineCondition_,"Other Expenses",IF(_xll.EVDES(H90,$B$1)="#NODATA","",_xll.EVDES(H90,$B$1)))</f>
        <v>Other Expenses</v>
      </c>
      <c r="O90" s="119"/>
      <c r="P90" s="120"/>
      <c r="Q90" s="120"/>
      <c r="R90" s="120"/>
      <c r="S90" s="120"/>
      <c r="T90" s="120"/>
      <c r="U90" s="120"/>
      <c r="V90" s="120"/>
      <c r="W90" s="120"/>
      <c r="X90" s="120"/>
      <c r="Y90" s="120"/>
      <c r="Z90" s="120"/>
      <c r="AA90" s="120"/>
      <c r="AB90" s="121"/>
      <c r="AC90" s="11"/>
      <c r="AD90" s="119"/>
      <c r="AE90" s="120"/>
      <c r="AF90" s="121"/>
      <c r="AG90" s="119"/>
      <c r="AH90" s="120"/>
      <c r="AI90" s="121"/>
      <c r="AJ90" s="11"/>
      <c r="AK90" s="11"/>
      <c r="AL90" s="11"/>
      <c r="AM90" s="11"/>
      <c r="AN90" s="11"/>
      <c r="AO90" s="11"/>
    </row>
    <row r="91" spans="1:41" x14ac:dyDescent="0.35">
      <c r="A91" s="11"/>
      <c r="B91" s="11"/>
      <c r="C91" s="11"/>
      <c r="D91" s="11"/>
      <c r="E91" s="11"/>
      <c r="F91" s="11"/>
      <c r="G91" s="76"/>
      <c r="H91" s="88" t="s">
        <v>826</v>
      </c>
      <c r="I91" s="122" t="str">
        <f>IF(_epmOfflineCondition_,"N",_xll.EVPRO($B$1,$H91,"STYLE"))</f>
        <v>N</v>
      </c>
      <c r="J91" s="122" t="str">
        <f>IF(_epmOfflineCondition_,"N",_xll.EVPRO($B$1,$H91,"CALC"))</f>
        <v>N</v>
      </c>
      <c r="K91" s="179" t="str">
        <f t="shared" ref="K91:K105" si="34">IF(AND(I91&lt;&gt;"B1",J91="Y"),"&gt;","")</f>
        <v/>
      </c>
      <c r="L91" s="90" t="str">
        <f>IF(_epmOfflineCondition_,"701100",_xll.EVPRO($B$1,H91,"JDEID"))</f>
        <v>701100</v>
      </c>
      <c r="M91" s="90" t="str">
        <f>IF(_epmOfflineCondition_,"690015",IF(AND(I91="N",J91="N"),_xll.EVPRO($B$1,H91,"PSFTID"),""))</f>
        <v>690015</v>
      </c>
      <c r="N91" s="90" t="str">
        <f>IF(_epmOfflineCondition_,"Dues and Subscriptions",IF(_xll.EVDES(H91,$B$1)="#NODATA","",_xll.EVDES(H91,$B$1)))</f>
        <v>Dues and Subscriptions</v>
      </c>
      <c r="O91" s="143"/>
      <c r="P91" s="143"/>
      <c r="Q91" s="143"/>
      <c r="R91" s="143"/>
      <c r="S91" s="143"/>
      <c r="T91" s="143"/>
      <c r="U91" s="143"/>
      <c r="V91" s="143"/>
      <c r="W91" s="143"/>
      <c r="X91" s="143"/>
      <c r="Y91" s="143"/>
      <c r="Z91" s="143"/>
      <c r="AA91" s="250">
        <f t="shared" ref="AA91:AA106" si="35">IF($I91="B1","",SUM(O91:Z91))</f>
        <v>0</v>
      </c>
      <c r="AB91" s="144" t="str">
        <f t="shared" ref="AB91:AB106" si="36">IF(AA91=0,"",IFERROR(AA91/AA$19,""))</f>
        <v/>
      </c>
      <c r="AC91" s="140"/>
      <c r="AD91" s="143">
        <v>1050</v>
      </c>
      <c r="AE91" s="144">
        <f t="shared" ref="AE91:AE106" si="37">IF(AD91=0,"",IFERROR(AD91/AD$19,""))</f>
        <v>2.7842654447779698E-3</v>
      </c>
      <c r="AF91" s="145">
        <f t="shared" ref="AF91:AF106" si="38">IF(AND($AA91="",AD91=""),"",$AA91-AD91)</f>
        <v>-1050</v>
      </c>
      <c r="AG91" s="143">
        <v>1850</v>
      </c>
      <c r="AH91" s="144">
        <f t="shared" ref="AH91:AH106" si="39">IF(AG91=0,"",IFERROR(AG91/AG$19,""))</f>
        <v>7.8698508735577013E-3</v>
      </c>
      <c r="AI91" s="145">
        <f t="shared" ref="AI91:AI106" si="40">IF(AND($AA91="",AG91=""),"",$AA91-AG91)</f>
        <v>-1850</v>
      </c>
      <c r="AJ91" s="440">
        <f t="shared" ref="AJ91:AJ106" si="41">IFERROR(AA91/AA$20,0)</f>
        <v>0</v>
      </c>
      <c r="AK91" s="441">
        <f t="shared" ref="AK91:AK106" si="42">IFERROR(AD91/AD$20,0)</f>
        <v>0.23245516936019481</v>
      </c>
      <c r="AL91" s="442">
        <f t="shared" ref="AL91:AL106" si="43">IFERROR(AG91/AG$20,0)</f>
        <v>0.67370721048798254</v>
      </c>
      <c r="AM91" s="443">
        <f t="shared" ref="AM91:AM106" si="44">+IFERROR(ROUND(($AB91-AE91)*100,2)&amp;" pts.",0)</f>
        <v>0</v>
      </c>
      <c r="AN91" s="444">
        <f t="shared" ref="AN91:AN106" si="45">+IFERROR(ROUND(($AB91-AH91)*100,2)&amp;" pts.",0)</f>
        <v>0</v>
      </c>
      <c r="AO91" s="11"/>
    </row>
    <row r="92" spans="1:41" x14ac:dyDescent="0.35">
      <c r="A92" s="62" t="s">
        <v>9</v>
      </c>
      <c r="B92" s="63" t="s">
        <v>10</v>
      </c>
      <c r="C92" s="11"/>
      <c r="D92" s="11"/>
      <c r="E92" s="11"/>
      <c r="F92" s="11"/>
      <c r="G92" s="11"/>
      <c r="H92" s="88" t="s">
        <v>860</v>
      </c>
      <c r="I92" s="122" t="str">
        <f>IF(_epmOfflineCondition_,"N",_xll.EVPRO($B$1,$H92,"STYLE"))</f>
        <v>N</v>
      </c>
      <c r="J92" s="122" t="str">
        <f>IF(_epmOfflineCondition_,"N",_xll.EVPRO($B$1,$H92,"CALC"))</f>
        <v>N</v>
      </c>
      <c r="K92" s="179" t="str">
        <f t="shared" si="34"/>
        <v/>
      </c>
      <c r="L92" s="90" t="str">
        <f>IF(_epmOfflineCondition_,"701300",_xll.EVPRO($B$1,H92,"JDEID"))</f>
        <v>701300</v>
      </c>
      <c r="M92" s="90" t="str">
        <f>IF(_epmOfflineCondition_,"690205",IF(AND(I92="N",J92="N"),_xll.EVPRO($B$1,H92,"PSFTID"),""))</f>
        <v>690205</v>
      </c>
      <c r="N92" s="90" t="str">
        <f>IF(_epmOfflineCondition_,"Printing &amp; Stationery",IF(_xll.EVDES(H92,$B$1)="#NODATA","",_xll.EVDES(H92,$B$1)))</f>
        <v>Printing &amp; Stationery</v>
      </c>
      <c r="O92" s="143"/>
      <c r="P92" s="143">
        <v>147.28</v>
      </c>
      <c r="Q92" s="143"/>
      <c r="R92" s="143"/>
      <c r="S92" s="143"/>
      <c r="T92" s="143"/>
      <c r="U92" s="143"/>
      <c r="V92" s="143"/>
      <c r="W92" s="143"/>
      <c r="X92" s="143"/>
      <c r="Y92" s="143"/>
      <c r="Z92" s="143"/>
      <c r="AA92" s="250">
        <f t="shared" si="35"/>
        <v>147.28</v>
      </c>
      <c r="AB92" s="144">
        <f t="shared" si="36"/>
        <v>1.8662267196833191E-3</v>
      </c>
      <c r="AC92" s="140"/>
      <c r="AD92" s="143">
        <v>271.02</v>
      </c>
      <c r="AE92" s="144">
        <f t="shared" si="37"/>
        <v>7.1865868651783363E-4</v>
      </c>
      <c r="AF92" s="145">
        <f t="shared" si="38"/>
        <v>-123.73999999999998</v>
      </c>
      <c r="AG92" s="143"/>
      <c r="AH92" s="144" t="str">
        <f t="shared" si="39"/>
        <v/>
      </c>
      <c r="AI92" s="145">
        <f t="shared" si="40"/>
        <v>147.28</v>
      </c>
      <c r="AJ92" s="440">
        <f t="shared" si="41"/>
        <v>0.16149122807017544</v>
      </c>
      <c r="AK92" s="441">
        <f t="shared" si="42"/>
        <v>0.06</v>
      </c>
      <c r="AL92" s="442">
        <f t="shared" si="43"/>
        <v>0</v>
      </c>
      <c r="AM92" s="443" t="str">
        <f t="shared" si="44"/>
        <v>0.11 pts.</v>
      </c>
      <c r="AN92" s="444">
        <f t="shared" si="45"/>
        <v>0</v>
      </c>
      <c r="AO92" s="11"/>
    </row>
    <row r="93" spans="1:41" x14ac:dyDescent="0.35">
      <c r="A93" s="65" t="s">
        <v>11</v>
      </c>
      <c r="B93" s="66" t="s">
        <v>21</v>
      </c>
      <c r="C93" s="11"/>
      <c r="D93" s="11"/>
      <c r="E93" s="11"/>
      <c r="F93" s="11"/>
      <c r="G93" s="11"/>
      <c r="H93" s="88" t="s">
        <v>830</v>
      </c>
      <c r="I93" s="122" t="str">
        <f>IF(_epmOfflineCondition_,"T4",_xll.EVPRO($B$1,$H93,"STYLE"))</f>
        <v>T4</v>
      </c>
      <c r="J93" s="122" t="str">
        <f>IF(_epmOfflineCondition_,"Y",_xll.EVPRO($B$1,$H93,"CALC"))</f>
        <v>Y</v>
      </c>
      <c r="K93" s="179" t="str">
        <f t="shared" si="34"/>
        <v>&gt;</v>
      </c>
      <c r="L93" s="90" t="str">
        <f>IF(_epmOfflineCondition_,"701500",_xll.EVPRO($B$1,H93,"JDEID"))</f>
        <v>701500</v>
      </c>
      <c r="M93" s="90" t="str">
        <f>IF(_epmOfflineCondition_,"",IF(AND(I93="N",J93="N"),_xll.EVPRO($B$1,H93,"PSFTID"),""))</f>
        <v/>
      </c>
      <c r="N93" s="90" t="str">
        <f>IF(_epmOfflineCondition_,"Operating Supplies",IF(_xll.EVDES(H93,$B$1)="#NODATA","",_xll.EVDES(H93,$B$1)))</f>
        <v>Operating Supplies</v>
      </c>
      <c r="O93" s="143">
        <v>449</v>
      </c>
      <c r="P93" s="143">
        <v>593.74</v>
      </c>
      <c r="Q93" s="143">
        <v>246.97</v>
      </c>
      <c r="R93" s="143"/>
      <c r="S93" s="143"/>
      <c r="T93" s="143"/>
      <c r="U93" s="143"/>
      <c r="V93" s="143"/>
      <c r="W93" s="143"/>
      <c r="X93" s="143"/>
      <c r="Y93" s="143"/>
      <c r="Z93" s="143"/>
      <c r="AA93" s="250">
        <f t="shared" si="35"/>
        <v>1289.71</v>
      </c>
      <c r="AB93" s="144">
        <f t="shared" si="36"/>
        <v>1.6342281794152456E-2</v>
      </c>
      <c r="AC93" s="140"/>
      <c r="AD93" s="143">
        <v>2950.0527000000002</v>
      </c>
      <c r="AE93" s="144">
        <f t="shared" si="37"/>
        <v>7.8225998027466204E-3</v>
      </c>
      <c r="AF93" s="145">
        <f t="shared" si="38"/>
        <v>-1660.3427000000001</v>
      </c>
      <c r="AG93" s="143">
        <v>2130.86</v>
      </c>
      <c r="AH93" s="144">
        <f t="shared" si="39"/>
        <v>9.0646218553671158E-3</v>
      </c>
      <c r="AI93" s="145">
        <f t="shared" si="40"/>
        <v>-841.15000000000009</v>
      </c>
      <c r="AJ93" s="440">
        <f t="shared" si="41"/>
        <v>1.414155701754386</v>
      </c>
      <c r="AK93" s="441">
        <f t="shared" si="42"/>
        <v>0.65310000000000001</v>
      </c>
      <c r="AL93" s="442">
        <f t="shared" si="43"/>
        <v>0.77598689002185006</v>
      </c>
      <c r="AM93" s="443" t="str">
        <f t="shared" si="44"/>
        <v>0.85 pts.</v>
      </c>
      <c r="AN93" s="444" t="str">
        <f t="shared" si="45"/>
        <v>0.73 pts.</v>
      </c>
      <c r="AO93" s="11"/>
    </row>
    <row r="94" spans="1:41" x14ac:dyDescent="0.35">
      <c r="A94" s="65" t="s">
        <v>12</v>
      </c>
      <c r="B94" s="66" t="s">
        <v>22</v>
      </c>
      <c r="C94" s="11"/>
      <c r="D94" s="11"/>
      <c r="E94" s="11"/>
      <c r="F94" s="11"/>
      <c r="G94" s="11"/>
      <c r="H94" s="88" t="s">
        <v>861</v>
      </c>
      <c r="I94" s="122" t="str">
        <f>IF(_epmOfflineCondition_,"N",_xll.EVPRO($B$1,$H94,"STYLE"))</f>
        <v>N</v>
      </c>
      <c r="J94" s="122" t="str">
        <f>IF(_epmOfflineCondition_,"N",_xll.EVPRO($B$1,$H94,"CALC"))</f>
        <v>N</v>
      </c>
      <c r="K94" s="179" t="str">
        <f t="shared" si="34"/>
        <v/>
      </c>
      <c r="L94" s="90" t="str">
        <f>IF(_epmOfflineCondition_,"701600",_xll.EVPRO($B$1,H94,"JDEID"))</f>
        <v>701600</v>
      </c>
      <c r="M94" s="90" t="str">
        <f>IF(_epmOfflineCondition_,"590015",IF(AND(I94="N",J94="N"),_xll.EVPRO($B$1,H94,"PSFTID"),""))</f>
        <v>590015</v>
      </c>
      <c r="N94" s="90" t="str">
        <f>IF(_epmOfflineCondition_,"Cleaning Supplies",IF(_xll.EVDES(H94,$B$1)="#NODATA","",_xll.EVDES(H94,$B$1)))</f>
        <v>Cleaning Supplies</v>
      </c>
      <c r="O94" s="143">
        <v>14</v>
      </c>
      <c r="P94" s="143">
        <v>12</v>
      </c>
      <c r="Q94" s="143"/>
      <c r="R94" s="143"/>
      <c r="S94" s="143"/>
      <c r="T94" s="143"/>
      <c r="U94" s="143"/>
      <c r="V94" s="143"/>
      <c r="W94" s="143"/>
      <c r="X94" s="143"/>
      <c r="Y94" s="143"/>
      <c r="Z94" s="143"/>
      <c r="AA94" s="250">
        <f t="shared" si="35"/>
        <v>26</v>
      </c>
      <c r="AB94" s="144">
        <f t="shared" si="36"/>
        <v>3.2945338614724537E-4</v>
      </c>
      <c r="AC94" s="140"/>
      <c r="AD94" s="143">
        <v>90.34</v>
      </c>
      <c r="AE94" s="144">
        <f t="shared" si="37"/>
        <v>2.3955289550594457E-4</v>
      </c>
      <c r="AF94" s="145">
        <f t="shared" si="38"/>
        <v>-64.34</v>
      </c>
      <c r="AG94" s="143">
        <v>18.440000000000001</v>
      </c>
      <c r="AH94" s="144">
        <f t="shared" si="39"/>
        <v>7.8443270328867033E-5</v>
      </c>
      <c r="AI94" s="145">
        <f t="shared" si="40"/>
        <v>7.5599999999999987</v>
      </c>
      <c r="AJ94" s="440">
        <f t="shared" si="41"/>
        <v>2.850877192982456E-2</v>
      </c>
      <c r="AK94" s="441">
        <f t="shared" si="42"/>
        <v>0.02</v>
      </c>
      <c r="AL94" s="442">
        <f t="shared" si="43"/>
        <v>6.7152221412964319E-3</v>
      </c>
      <c r="AM94" s="443" t="str">
        <f t="shared" si="44"/>
        <v>0.01 pts.</v>
      </c>
      <c r="AN94" s="444" t="str">
        <f t="shared" si="45"/>
        <v>0.03 pts.</v>
      </c>
      <c r="AO94" s="11"/>
    </row>
    <row r="95" spans="1:41" x14ac:dyDescent="0.35">
      <c r="A95" s="65" t="s">
        <v>13</v>
      </c>
      <c r="B95" s="66" t="s">
        <v>737</v>
      </c>
      <c r="C95" s="11"/>
      <c r="D95" s="11"/>
      <c r="E95" s="11"/>
      <c r="F95" s="11"/>
      <c r="G95" s="11"/>
      <c r="H95" s="88" t="s">
        <v>862</v>
      </c>
      <c r="I95" s="122" t="str">
        <f>IF(_epmOfflineCondition_,"N",_xll.EVPRO($B$1,$H95,"STYLE"))</f>
        <v>N</v>
      </c>
      <c r="J95" s="122" t="str">
        <f>IF(_epmOfflineCondition_,"N",_xll.EVPRO($B$1,$H95,"CALC"))</f>
        <v>N</v>
      </c>
      <c r="K95" s="179" t="str">
        <f t="shared" si="34"/>
        <v/>
      </c>
      <c r="L95" s="90" t="str">
        <f>IF(_epmOfflineCondition_,"701700",_xll.EVPRO($B$1,H95,"JDEID"))</f>
        <v>701700</v>
      </c>
      <c r="M95" s="90" t="str">
        <f>IF(_epmOfflineCondition_,"590026",IF(AND(I95="N",J95="N"),_xll.EVPRO($B$1,H95,"PSFTID"),""))</f>
        <v>590026</v>
      </c>
      <c r="N95" s="90" t="str">
        <f>IF(_epmOfflineCondition_,"Dishwashing Supplies",IF(_xll.EVDES(H95,$B$1)="#NODATA","",_xll.EVDES(H95,$B$1)))</f>
        <v>Dishwashing Supplies</v>
      </c>
      <c r="O95" s="143"/>
      <c r="P95" s="143">
        <v>37</v>
      </c>
      <c r="Q95" s="143"/>
      <c r="R95" s="143"/>
      <c r="S95" s="143"/>
      <c r="T95" s="143"/>
      <c r="U95" s="143"/>
      <c r="V95" s="143"/>
      <c r="W95" s="143"/>
      <c r="X95" s="143"/>
      <c r="Y95" s="143"/>
      <c r="Z95" s="143"/>
      <c r="AA95" s="250">
        <f t="shared" si="35"/>
        <v>37</v>
      </c>
      <c r="AB95" s="144">
        <f t="shared" si="36"/>
        <v>4.6883751105569532E-4</v>
      </c>
      <c r="AC95" s="140"/>
      <c r="AD95" s="143">
        <v>271.02</v>
      </c>
      <c r="AE95" s="144">
        <f t="shared" si="37"/>
        <v>7.1865868651783363E-4</v>
      </c>
      <c r="AF95" s="145">
        <f t="shared" si="38"/>
        <v>-234.01999999999998</v>
      </c>
      <c r="AG95" s="143"/>
      <c r="AH95" s="144" t="str">
        <f t="shared" si="39"/>
        <v/>
      </c>
      <c r="AI95" s="145">
        <f t="shared" si="40"/>
        <v>37</v>
      </c>
      <c r="AJ95" s="440">
        <f t="shared" si="41"/>
        <v>4.0570175438596492E-2</v>
      </c>
      <c r="AK95" s="441">
        <f t="shared" si="42"/>
        <v>0.06</v>
      </c>
      <c r="AL95" s="442">
        <f t="shared" si="43"/>
        <v>0</v>
      </c>
      <c r="AM95" s="443" t="str">
        <f t="shared" si="44"/>
        <v>-0.02 pts.</v>
      </c>
      <c r="AN95" s="444">
        <f t="shared" si="45"/>
        <v>0</v>
      </c>
      <c r="AO95" s="11"/>
    </row>
    <row r="96" spans="1:41" x14ac:dyDescent="0.35">
      <c r="A96" s="65" t="s">
        <v>14</v>
      </c>
      <c r="B96" s="66"/>
      <c r="C96" s="11"/>
      <c r="D96" s="11"/>
      <c r="E96" s="11"/>
      <c r="F96" s="11"/>
      <c r="G96" s="11"/>
      <c r="H96" s="88" t="s">
        <v>863</v>
      </c>
      <c r="I96" s="122" t="str">
        <f>IF(_epmOfflineCondition_,"N",_xll.EVPRO($B$1,$H96,"STYLE"))</f>
        <v>N</v>
      </c>
      <c r="J96" s="122" t="str">
        <f>IF(_epmOfflineCondition_,"N",_xll.EVPRO($B$1,$H96,"CALC"))</f>
        <v>N</v>
      </c>
      <c r="K96" s="179" t="str">
        <f t="shared" si="34"/>
        <v/>
      </c>
      <c r="L96" s="90" t="str">
        <f>IF(_epmOfflineCondition_,"702000",_xll.EVPRO($B$1,H96,"JDEID"))</f>
        <v>702000</v>
      </c>
      <c r="M96" s="90" t="str">
        <f>IF(_epmOfflineCondition_,"590031",IF(AND(I96="N",J96="N"),_xll.EVPRO($B$1,H96,"PSFTID"),""))</f>
        <v>590031</v>
      </c>
      <c r="N96" s="90" t="str">
        <f>IF(_epmOfflineCondition_,"Paper and Plastics",IF(_xll.EVDES(H96,$B$1)="#NODATA","",_xll.EVDES(H96,$B$1)))</f>
        <v>Paper and Plastics</v>
      </c>
      <c r="O96" s="143">
        <v>28</v>
      </c>
      <c r="P96" s="143">
        <v>24</v>
      </c>
      <c r="Q96" s="143"/>
      <c r="R96" s="143"/>
      <c r="S96" s="143"/>
      <c r="T96" s="143"/>
      <c r="U96" s="143"/>
      <c r="V96" s="143"/>
      <c r="W96" s="143"/>
      <c r="X96" s="143"/>
      <c r="Y96" s="143"/>
      <c r="Z96" s="143"/>
      <c r="AA96" s="250">
        <f t="shared" si="35"/>
        <v>52</v>
      </c>
      <c r="AB96" s="144">
        <f t="shared" si="36"/>
        <v>6.5890677229449074E-4</v>
      </c>
      <c r="AC96" s="140"/>
      <c r="AD96" s="143">
        <v>180.68</v>
      </c>
      <c r="AE96" s="144">
        <f t="shared" si="37"/>
        <v>4.7910579101188914E-4</v>
      </c>
      <c r="AF96" s="145">
        <f t="shared" si="38"/>
        <v>-128.68</v>
      </c>
      <c r="AG96" s="143">
        <v>164.48</v>
      </c>
      <c r="AH96" s="144">
        <f t="shared" si="39"/>
        <v>6.9969355226095706E-4</v>
      </c>
      <c r="AI96" s="145">
        <f t="shared" si="40"/>
        <v>-112.47999999999999</v>
      </c>
      <c r="AJ96" s="440">
        <f t="shared" si="41"/>
        <v>5.701754385964912E-2</v>
      </c>
      <c r="AK96" s="441">
        <f t="shared" si="42"/>
        <v>0.04</v>
      </c>
      <c r="AL96" s="442">
        <f t="shared" si="43"/>
        <v>5.9898033503277492E-2</v>
      </c>
      <c r="AM96" s="443" t="str">
        <f t="shared" si="44"/>
        <v>0.02 pts.</v>
      </c>
      <c r="AN96" s="444" t="str">
        <f t="shared" si="45"/>
        <v>0 pts.</v>
      </c>
      <c r="AO96" s="11"/>
    </row>
    <row r="97" spans="1:41" x14ac:dyDescent="0.35">
      <c r="A97" s="65" t="s">
        <v>15</v>
      </c>
      <c r="B97" s="66"/>
      <c r="C97" s="11"/>
      <c r="D97" s="11"/>
      <c r="E97" s="11"/>
      <c r="F97" s="11"/>
      <c r="G97" s="11"/>
      <c r="H97" s="88" t="s">
        <v>831</v>
      </c>
      <c r="I97" s="122" t="str">
        <f>IF(_epmOfflineCondition_,"N",_xll.EVPRO($B$1,$H97,"STYLE"))</f>
        <v>N</v>
      </c>
      <c r="J97" s="122" t="str">
        <f>IF(_epmOfflineCondition_,"N",_xll.EVPRO($B$1,$H97,"CALC"))</f>
        <v>N</v>
      </c>
      <c r="K97" s="179" t="str">
        <f t="shared" si="34"/>
        <v/>
      </c>
      <c r="L97" s="90" t="str">
        <f>IF(_epmOfflineCondition_,"702300",_xll.EVPRO($B$1,H97,"JDEID"))</f>
        <v>702300</v>
      </c>
      <c r="M97" s="90" t="str">
        <f>IF(_epmOfflineCondition_,"590040",IF(AND(I97="N",J97="N"),_xll.EVPRO($B$1,H97,"PSFTID"),""))</f>
        <v>590040</v>
      </c>
      <c r="N97" s="90" t="str">
        <f>IF(_epmOfflineCondition_,"Decorations",IF(_xll.EVDES(H97,$B$1)="#NODATA","",_xll.EVDES(H97,$B$1)))</f>
        <v>Decorations</v>
      </c>
      <c r="O97" s="143">
        <v>30.34</v>
      </c>
      <c r="P97" s="143">
        <v>-30.34</v>
      </c>
      <c r="Q97" s="143"/>
      <c r="R97" s="143"/>
      <c r="S97" s="143"/>
      <c r="T97" s="143"/>
      <c r="U97" s="143"/>
      <c r="V97" s="143"/>
      <c r="W97" s="143"/>
      <c r="X97" s="143"/>
      <c r="Y97" s="143"/>
      <c r="Z97" s="143"/>
      <c r="AA97" s="250">
        <f t="shared" si="35"/>
        <v>0</v>
      </c>
      <c r="AB97" s="144" t="str">
        <f t="shared" si="36"/>
        <v/>
      </c>
      <c r="AC97" s="140"/>
      <c r="AD97" s="143">
        <v>1000</v>
      </c>
      <c r="AE97" s="144">
        <f t="shared" si="37"/>
        <v>2.6516813759790191E-3</v>
      </c>
      <c r="AF97" s="145">
        <f t="shared" si="38"/>
        <v>-1000</v>
      </c>
      <c r="AG97" s="143">
        <v>118.53</v>
      </c>
      <c r="AH97" s="144">
        <f t="shared" si="39"/>
        <v>5.0422347245556451E-4</v>
      </c>
      <c r="AI97" s="145">
        <f t="shared" si="40"/>
        <v>-118.53</v>
      </c>
      <c r="AJ97" s="440">
        <f t="shared" si="41"/>
        <v>0</v>
      </c>
      <c r="AK97" s="441">
        <f t="shared" si="42"/>
        <v>0.22138587558113793</v>
      </c>
      <c r="AL97" s="442">
        <f t="shared" si="43"/>
        <v>4.3164603058994902E-2</v>
      </c>
      <c r="AM97" s="443">
        <f t="shared" si="44"/>
        <v>0</v>
      </c>
      <c r="AN97" s="444">
        <f t="shared" si="45"/>
        <v>0</v>
      </c>
      <c r="AO97" s="11"/>
    </row>
    <row r="98" spans="1:41" x14ac:dyDescent="0.35">
      <c r="A98" s="65" t="s">
        <v>16</v>
      </c>
      <c r="B98" s="66" t="s">
        <v>78</v>
      </c>
      <c r="C98" s="11"/>
      <c r="D98" s="11"/>
      <c r="E98" s="11"/>
      <c r="F98" s="11"/>
      <c r="G98" s="11"/>
      <c r="H98" s="88" t="s">
        <v>835</v>
      </c>
      <c r="I98" s="122" t="str">
        <f>IF(_epmOfflineCondition_,"T4",_xll.EVPRO($B$1,$H98,"STYLE"))</f>
        <v>T4</v>
      </c>
      <c r="J98" s="122" t="str">
        <f>IF(_epmOfflineCondition_,"Y",_xll.EVPRO($B$1,$H98,"CALC"))</f>
        <v>Y</v>
      </c>
      <c r="K98" s="179" t="str">
        <f t="shared" si="34"/>
        <v>&gt;</v>
      </c>
      <c r="L98" s="90" t="str">
        <f>IF(_epmOfflineCondition_,"703000",_xll.EVPRO($B$1,H98,"JDEID"))</f>
        <v>703000</v>
      </c>
      <c r="M98" s="90" t="str">
        <f>IF(_epmOfflineCondition_,"",IF(AND(I98="N",J98="N"),_xll.EVPRO($B$1,H98,"PSFTID"),""))</f>
        <v/>
      </c>
      <c r="N98" s="90" t="str">
        <f>IF(_epmOfflineCondition_,"Complimentary Services &amp; Gifts",IF(_xll.EVDES(H98,$B$1)="#NODATA","",_xll.EVDES(H98,$B$1)))</f>
        <v>Complimentary Services &amp; Gifts</v>
      </c>
      <c r="O98" s="143"/>
      <c r="P98" s="143"/>
      <c r="Q98" s="143"/>
      <c r="R98" s="143"/>
      <c r="S98" s="143"/>
      <c r="T98" s="143"/>
      <c r="U98" s="143"/>
      <c r="V98" s="143"/>
      <c r="W98" s="143"/>
      <c r="X98" s="143"/>
      <c r="Y98" s="143"/>
      <c r="Z98" s="143"/>
      <c r="AA98" s="250">
        <f t="shared" si="35"/>
        <v>0</v>
      </c>
      <c r="AB98" s="144" t="str">
        <f t="shared" si="36"/>
        <v/>
      </c>
      <c r="AC98" s="140"/>
      <c r="AD98" s="143">
        <v>767.89</v>
      </c>
      <c r="AE98" s="144">
        <f t="shared" si="37"/>
        <v>2.0361996118005289E-3</v>
      </c>
      <c r="AF98" s="145">
        <f t="shared" si="38"/>
        <v>-767.89</v>
      </c>
      <c r="AG98" s="143"/>
      <c r="AH98" s="144" t="str">
        <f t="shared" si="39"/>
        <v/>
      </c>
      <c r="AI98" s="145">
        <f t="shared" si="40"/>
        <v>0</v>
      </c>
      <c r="AJ98" s="440">
        <f t="shared" si="41"/>
        <v>0</v>
      </c>
      <c r="AK98" s="441">
        <f t="shared" si="42"/>
        <v>0.16999999999999998</v>
      </c>
      <c r="AL98" s="442">
        <f t="shared" si="43"/>
        <v>0</v>
      </c>
      <c r="AM98" s="443">
        <f t="shared" si="44"/>
        <v>0</v>
      </c>
      <c r="AN98" s="444">
        <f t="shared" si="45"/>
        <v>0</v>
      </c>
      <c r="AO98" s="11"/>
    </row>
    <row r="99" spans="1:41" x14ac:dyDescent="0.35">
      <c r="A99" s="65" t="s">
        <v>17</v>
      </c>
      <c r="B99" s="66"/>
      <c r="C99" s="11"/>
      <c r="D99" s="11"/>
      <c r="E99" s="11"/>
      <c r="F99" s="11"/>
      <c r="G99" s="11"/>
      <c r="H99" s="88" t="s">
        <v>838</v>
      </c>
      <c r="I99" s="122" t="str">
        <f>IF(_epmOfflineCondition_,"N",_xll.EVPRO($B$1,$H99,"STYLE"))</f>
        <v>N</v>
      </c>
      <c r="J99" s="122" t="str">
        <f>IF(_epmOfflineCondition_,"N",_xll.EVPRO($B$1,$H99,"CALC"))</f>
        <v>N</v>
      </c>
      <c r="K99" s="179" t="str">
        <f t="shared" si="34"/>
        <v/>
      </c>
      <c r="L99" s="90" t="str">
        <f>IF(_epmOfflineCondition_,"703300",_xll.EVPRO($B$1,H99,"JDEID"))</f>
        <v>703300</v>
      </c>
      <c r="M99" s="90" t="str">
        <f>IF(_epmOfflineCondition_,"590115",IF(AND(I99="N",J99="N"),_xll.EVPRO($B$1,H99,"PSFTID"),""))</f>
        <v>590115</v>
      </c>
      <c r="N99" s="90" t="str">
        <f>IF(_epmOfflineCondition_,"Uniforms Laundry",IF(_xll.EVDES(H99,$B$1)="#NODATA","",_xll.EVDES(H99,$B$1)))</f>
        <v>Uniforms Laundry</v>
      </c>
      <c r="O99" s="143"/>
      <c r="P99" s="143"/>
      <c r="Q99" s="143"/>
      <c r="R99" s="143"/>
      <c r="S99" s="143"/>
      <c r="T99" s="143"/>
      <c r="U99" s="143"/>
      <c r="V99" s="143"/>
      <c r="W99" s="143"/>
      <c r="X99" s="143"/>
      <c r="Y99" s="143"/>
      <c r="Z99" s="143"/>
      <c r="AA99" s="250">
        <f t="shared" si="35"/>
        <v>0</v>
      </c>
      <c r="AB99" s="144" t="str">
        <f t="shared" si="36"/>
        <v/>
      </c>
      <c r="AC99" s="140"/>
      <c r="AD99" s="143">
        <v>180.68</v>
      </c>
      <c r="AE99" s="144">
        <f t="shared" si="37"/>
        <v>4.7910579101188914E-4</v>
      </c>
      <c r="AF99" s="145">
        <f t="shared" si="38"/>
        <v>-180.68</v>
      </c>
      <c r="AG99" s="143"/>
      <c r="AH99" s="144" t="str">
        <f t="shared" si="39"/>
        <v/>
      </c>
      <c r="AI99" s="145">
        <f t="shared" si="40"/>
        <v>0</v>
      </c>
      <c r="AJ99" s="440">
        <f t="shared" si="41"/>
        <v>0</v>
      </c>
      <c r="AK99" s="441">
        <f t="shared" si="42"/>
        <v>0.04</v>
      </c>
      <c r="AL99" s="442">
        <f t="shared" si="43"/>
        <v>0</v>
      </c>
      <c r="AM99" s="443">
        <f t="shared" si="44"/>
        <v>0</v>
      </c>
      <c r="AN99" s="444">
        <f t="shared" si="45"/>
        <v>0</v>
      </c>
      <c r="AO99" s="11"/>
    </row>
    <row r="100" spans="1:41" x14ac:dyDescent="0.35">
      <c r="A100" s="11"/>
      <c r="B100" s="11"/>
      <c r="C100" s="11"/>
      <c r="D100" s="11"/>
      <c r="E100" s="11"/>
      <c r="F100" s="11"/>
      <c r="G100" s="11"/>
      <c r="H100" s="88" t="s">
        <v>864</v>
      </c>
      <c r="I100" s="122" t="str">
        <f>IF(_epmOfflineCondition_,"N",_xll.EVPRO($B$1,$H100,"STYLE"))</f>
        <v>N</v>
      </c>
      <c r="J100" s="122" t="str">
        <f>IF(_epmOfflineCondition_,"N",_xll.EVPRO($B$1,$H100,"CALC"))</f>
        <v>N</v>
      </c>
      <c r="K100" s="179" t="str">
        <f t="shared" si="34"/>
        <v/>
      </c>
      <c r="L100" s="90" t="str">
        <f>IF(_epmOfflineCondition_,"703400",_xll.EVPRO($B$1,H100,"JDEID"))</f>
        <v>703400</v>
      </c>
      <c r="M100" s="90" t="str">
        <f>IF(_epmOfflineCondition_,"590010",IF(AND(I100="N",J100="N"),_xll.EVPRO($B$1,H100,"PSFTID"),""))</f>
        <v>590010</v>
      </c>
      <c r="N100" s="90" t="str">
        <f>IF(_epmOfflineCondition_,"Linen",IF(_xll.EVDES(H100,$B$1)="#NODATA","",_xll.EVDES(H100,$B$1)))</f>
        <v>Linen</v>
      </c>
      <c r="O100" s="143"/>
      <c r="P100" s="143"/>
      <c r="Q100" s="143"/>
      <c r="R100" s="143"/>
      <c r="S100" s="143"/>
      <c r="T100" s="143"/>
      <c r="U100" s="143"/>
      <c r="V100" s="143"/>
      <c r="W100" s="143"/>
      <c r="X100" s="143"/>
      <c r="Y100" s="143"/>
      <c r="Z100" s="143"/>
      <c r="AA100" s="250">
        <f t="shared" si="35"/>
        <v>0</v>
      </c>
      <c r="AB100" s="144" t="str">
        <f t="shared" si="36"/>
        <v/>
      </c>
      <c r="AC100" s="140"/>
      <c r="AD100" s="143">
        <v>3000</v>
      </c>
      <c r="AE100" s="144">
        <f t="shared" si="37"/>
        <v>7.9550441279370564E-3</v>
      </c>
      <c r="AF100" s="145">
        <f t="shared" si="38"/>
        <v>-3000</v>
      </c>
      <c r="AG100" s="143">
        <v>918.94</v>
      </c>
      <c r="AH100" s="144">
        <f t="shared" si="39"/>
        <v>3.9091463577011426E-3</v>
      </c>
      <c r="AI100" s="145">
        <f t="shared" si="40"/>
        <v>-918.94</v>
      </c>
      <c r="AJ100" s="440">
        <f t="shared" si="41"/>
        <v>0</v>
      </c>
      <c r="AK100" s="441">
        <f t="shared" si="42"/>
        <v>0.66415762674341372</v>
      </c>
      <c r="AL100" s="442">
        <f t="shared" si="43"/>
        <v>0.33464675892206847</v>
      </c>
      <c r="AM100" s="443">
        <f t="shared" si="44"/>
        <v>0</v>
      </c>
      <c r="AN100" s="444">
        <f t="shared" si="45"/>
        <v>0</v>
      </c>
      <c r="AO100" s="11"/>
    </row>
    <row r="101" spans="1:41" x14ac:dyDescent="0.35">
      <c r="A101" s="97" t="s">
        <v>92</v>
      </c>
      <c r="B101" s="98" t="s">
        <v>93</v>
      </c>
      <c r="C101" s="98" t="s">
        <v>94</v>
      </c>
      <c r="D101" s="98" t="s">
        <v>95</v>
      </c>
      <c r="E101" s="98" t="s">
        <v>96</v>
      </c>
      <c r="F101" s="99" t="s">
        <v>97</v>
      </c>
      <c r="G101" s="11"/>
      <c r="H101" s="88" t="s">
        <v>865</v>
      </c>
      <c r="I101" s="122" t="str">
        <f>IF(_epmOfflineCondition_,"N",_xll.EVPRO($B$1,$H101,"STYLE"))</f>
        <v>N</v>
      </c>
      <c r="J101" s="122" t="str">
        <f>IF(_epmOfflineCondition_,"N",_xll.EVPRO($B$1,$H101,"CALC"))</f>
        <v>N</v>
      </c>
      <c r="K101" s="179" t="str">
        <f t="shared" si="34"/>
        <v/>
      </c>
      <c r="L101" s="90" t="str">
        <f>IF(_epmOfflineCondition_,"703500",_xll.EVPRO($B$1,H101,"JDEID"))</f>
        <v>703500</v>
      </c>
      <c r="M101" s="90" t="str">
        <f>IF(_epmOfflineCondition_,"590004",IF(AND(I101="N",J101="N"),_xll.EVPRO($B$1,H101,"PSFTID"),""))</f>
        <v>590004</v>
      </c>
      <c r="N101" s="90" t="str">
        <f>IF(_epmOfflineCondition_,"China",IF(_xll.EVDES(H101,$B$1)="#NODATA","",_xll.EVDES(H101,$B$1)))</f>
        <v>China</v>
      </c>
      <c r="O101" s="143"/>
      <c r="P101" s="143"/>
      <c r="Q101" s="143"/>
      <c r="R101" s="143"/>
      <c r="S101" s="143"/>
      <c r="T101" s="143"/>
      <c r="U101" s="143"/>
      <c r="V101" s="143"/>
      <c r="W101" s="143"/>
      <c r="X101" s="143"/>
      <c r="Y101" s="143"/>
      <c r="Z101" s="143"/>
      <c r="AA101" s="250">
        <f t="shared" si="35"/>
        <v>0</v>
      </c>
      <c r="AB101" s="144" t="str">
        <f t="shared" si="36"/>
        <v/>
      </c>
      <c r="AC101" s="140"/>
      <c r="AD101" s="143">
        <v>2500</v>
      </c>
      <c r="AE101" s="144">
        <f t="shared" si="37"/>
        <v>6.6292034399475473E-3</v>
      </c>
      <c r="AF101" s="145">
        <f t="shared" si="38"/>
        <v>-2500</v>
      </c>
      <c r="AG101" s="143"/>
      <c r="AH101" s="144" t="str">
        <f t="shared" si="39"/>
        <v/>
      </c>
      <c r="AI101" s="145">
        <f t="shared" si="40"/>
        <v>0</v>
      </c>
      <c r="AJ101" s="440">
        <f t="shared" si="41"/>
        <v>0</v>
      </c>
      <c r="AK101" s="441">
        <f t="shared" si="42"/>
        <v>0.55346468895284484</v>
      </c>
      <c r="AL101" s="442">
        <f t="shared" si="43"/>
        <v>0</v>
      </c>
      <c r="AM101" s="443">
        <f t="shared" si="44"/>
        <v>0</v>
      </c>
      <c r="AN101" s="444">
        <f t="shared" si="45"/>
        <v>0</v>
      </c>
      <c r="AO101" s="11"/>
    </row>
    <row r="102" spans="1:41" x14ac:dyDescent="0.35">
      <c r="A102" s="11"/>
      <c r="B102" s="11"/>
      <c r="C102" s="11"/>
      <c r="D102" s="11"/>
      <c r="E102" s="11"/>
      <c r="F102" s="11"/>
      <c r="G102" s="11"/>
      <c r="H102" s="88" t="s">
        <v>866</v>
      </c>
      <c r="I102" s="122" t="str">
        <f>IF(_epmOfflineCondition_,"N",_xll.EVPRO($B$1,$H102,"STYLE"))</f>
        <v>N</v>
      </c>
      <c r="J102" s="122" t="str">
        <f>IF(_epmOfflineCondition_,"N",_xll.EVPRO($B$1,$H102,"CALC"))</f>
        <v>N</v>
      </c>
      <c r="K102" s="179" t="str">
        <f t="shared" si="34"/>
        <v/>
      </c>
      <c r="L102" s="90" t="str">
        <f>IF(_epmOfflineCondition_,"703510",_xll.EVPRO($B$1,H102,"JDEID"))</f>
        <v>703510</v>
      </c>
      <c r="M102" s="90" t="str">
        <f>IF(_epmOfflineCondition_,"590003",IF(AND(I102="N",J102="N"),_xll.EVPRO($B$1,H102,"PSFTID"),""))</f>
        <v>590003</v>
      </c>
      <c r="N102" s="90" t="str">
        <f>IF(_epmOfflineCondition_,"Glassware",IF(_xll.EVDES(H102,$B$1)="#NODATA","",_xll.EVDES(H102,$B$1)))</f>
        <v>Glassware</v>
      </c>
      <c r="O102" s="143"/>
      <c r="P102" s="143"/>
      <c r="Q102" s="143"/>
      <c r="R102" s="143"/>
      <c r="S102" s="143"/>
      <c r="T102" s="143"/>
      <c r="U102" s="143"/>
      <c r="V102" s="143"/>
      <c r="W102" s="143"/>
      <c r="X102" s="143"/>
      <c r="Y102" s="143"/>
      <c r="Z102" s="143"/>
      <c r="AA102" s="250">
        <f t="shared" si="35"/>
        <v>0</v>
      </c>
      <c r="AB102" s="144" t="str">
        <f t="shared" si="36"/>
        <v/>
      </c>
      <c r="AC102" s="140"/>
      <c r="AD102" s="143">
        <v>1150</v>
      </c>
      <c r="AE102" s="144">
        <f t="shared" si="37"/>
        <v>3.0494335823758718E-3</v>
      </c>
      <c r="AF102" s="145">
        <f t="shared" si="38"/>
        <v>-1150</v>
      </c>
      <c r="AG102" s="143"/>
      <c r="AH102" s="144" t="str">
        <f t="shared" si="39"/>
        <v/>
      </c>
      <c r="AI102" s="145">
        <f t="shared" si="40"/>
        <v>0</v>
      </c>
      <c r="AJ102" s="440">
        <f t="shared" si="41"/>
        <v>0</v>
      </c>
      <c r="AK102" s="441">
        <f t="shared" si="42"/>
        <v>0.2545937569183086</v>
      </c>
      <c r="AL102" s="442">
        <f t="shared" si="43"/>
        <v>0</v>
      </c>
      <c r="AM102" s="443">
        <f t="shared" si="44"/>
        <v>0</v>
      </c>
      <c r="AN102" s="444">
        <f t="shared" si="45"/>
        <v>0</v>
      </c>
      <c r="AO102" s="11"/>
    </row>
    <row r="103" spans="1:41" x14ac:dyDescent="0.35">
      <c r="A103" s="11" t="s">
        <v>108</v>
      </c>
      <c r="B103" s="11"/>
      <c r="C103" s="104" t="s">
        <v>101</v>
      </c>
      <c r="D103" s="11" t="s">
        <v>106</v>
      </c>
      <c r="E103" s="11"/>
      <c r="F103" s="11" t="s">
        <v>98</v>
      </c>
      <c r="G103" s="11"/>
      <c r="H103" s="88" t="s">
        <v>867</v>
      </c>
      <c r="I103" s="122" t="str">
        <f>IF(_epmOfflineCondition_,"N",_xll.EVPRO($B$1,$H103,"STYLE"))</f>
        <v>N</v>
      </c>
      <c r="J103" s="122" t="str">
        <f>IF(_epmOfflineCondition_,"N",_xll.EVPRO($B$1,$H103,"CALC"))</f>
        <v>N</v>
      </c>
      <c r="K103" s="179" t="str">
        <f t="shared" si="34"/>
        <v/>
      </c>
      <c r="L103" s="90" t="str">
        <f>IF(_epmOfflineCondition_,"703520",_xll.EVPRO($B$1,H103,"JDEID"))</f>
        <v>703520</v>
      </c>
      <c r="M103" s="90" t="str">
        <f>IF(_epmOfflineCondition_,"590008",IF(AND(I103="N",J103="N"),_xll.EVPRO($B$1,H103,"PSFTID"),""))</f>
        <v>590008</v>
      </c>
      <c r="N103" s="90" t="str">
        <f>IF(_epmOfflineCondition_,"Flatware",IF(_xll.EVDES(H103,$B$1)="#NODATA","",_xll.EVDES(H103,$B$1)))</f>
        <v>Flatware</v>
      </c>
      <c r="O103" s="143"/>
      <c r="P103" s="143"/>
      <c r="Q103" s="143"/>
      <c r="R103" s="143"/>
      <c r="S103" s="143"/>
      <c r="T103" s="143"/>
      <c r="U103" s="143"/>
      <c r="V103" s="143"/>
      <c r="W103" s="143"/>
      <c r="X103" s="143"/>
      <c r="Y103" s="143"/>
      <c r="Z103" s="143"/>
      <c r="AA103" s="250">
        <f t="shared" si="35"/>
        <v>0</v>
      </c>
      <c r="AB103" s="144" t="str">
        <f t="shared" si="36"/>
        <v/>
      </c>
      <c r="AC103" s="140"/>
      <c r="AD103" s="143">
        <v>800</v>
      </c>
      <c r="AE103" s="144">
        <f t="shared" si="37"/>
        <v>2.1213451007832153E-3</v>
      </c>
      <c r="AF103" s="145">
        <f t="shared" si="38"/>
        <v>-800</v>
      </c>
      <c r="AG103" s="143"/>
      <c r="AH103" s="144" t="str">
        <f t="shared" si="39"/>
        <v/>
      </c>
      <c r="AI103" s="145">
        <f t="shared" si="40"/>
        <v>0</v>
      </c>
      <c r="AJ103" s="440">
        <f t="shared" si="41"/>
        <v>0</v>
      </c>
      <c r="AK103" s="441">
        <f t="shared" si="42"/>
        <v>0.17710870046491034</v>
      </c>
      <c r="AL103" s="442">
        <f t="shared" si="43"/>
        <v>0</v>
      </c>
      <c r="AM103" s="443">
        <f t="shared" si="44"/>
        <v>0</v>
      </c>
      <c r="AN103" s="444">
        <f t="shared" si="45"/>
        <v>0</v>
      </c>
      <c r="AO103" s="11"/>
    </row>
    <row r="104" spans="1:41" x14ac:dyDescent="0.35">
      <c r="A104" s="11" t="s">
        <v>100</v>
      </c>
      <c r="B104" s="11"/>
      <c r="C104" s="53" t="s">
        <v>101</v>
      </c>
      <c r="D104" s="11" t="s">
        <v>106</v>
      </c>
      <c r="E104" s="11"/>
      <c r="F104" s="11" t="s">
        <v>98</v>
      </c>
      <c r="G104" s="11"/>
      <c r="H104" s="88" t="s">
        <v>868</v>
      </c>
      <c r="I104" s="122" t="str">
        <f>IF(_epmOfflineCondition_,"N",_xll.EVPRO($B$1,$H104,"STYLE"))</f>
        <v>N</v>
      </c>
      <c r="J104" s="122" t="str">
        <f>IF(_epmOfflineCondition_,"N",_xll.EVPRO($B$1,$H104,"CALC"))</f>
        <v>N</v>
      </c>
      <c r="K104" s="179" t="str">
        <f t="shared" si="34"/>
        <v/>
      </c>
      <c r="L104" s="90" t="str">
        <f>IF(_epmOfflineCondition_,"703800",_xll.EVPRO($B$1,H104,"JDEID"))</f>
        <v>703800</v>
      </c>
      <c r="M104" s="90" t="str">
        <f>IF(_epmOfflineCondition_,"690065",IF(AND(I104="N",J104="N"),_xll.EVPRO($B$1,H104,"PSFTID"),""))</f>
        <v>690065</v>
      </c>
      <c r="N104" s="90" t="str">
        <f>IF(_epmOfflineCondition_,"Equipment Rental",IF(_xll.EVDES(H104,$B$1)="#NODATA","",_xll.EVDES(H104,$B$1)))</f>
        <v>Equipment Rental</v>
      </c>
      <c r="O104" s="143">
        <v>2520.75</v>
      </c>
      <c r="P104" s="143">
        <v>1643.75</v>
      </c>
      <c r="Q104" s="143"/>
      <c r="R104" s="143"/>
      <c r="S104" s="143"/>
      <c r="T104" s="143"/>
      <c r="U104" s="143"/>
      <c r="V104" s="143"/>
      <c r="W104" s="143"/>
      <c r="X104" s="143"/>
      <c r="Y104" s="143"/>
      <c r="Z104" s="143"/>
      <c r="AA104" s="250">
        <f t="shared" si="35"/>
        <v>4164.5</v>
      </c>
      <c r="AB104" s="144">
        <f t="shared" si="36"/>
        <v>5.2769562561930897E-2</v>
      </c>
      <c r="AC104" s="140"/>
      <c r="AD104" s="143">
        <v>4000</v>
      </c>
      <c r="AE104" s="144">
        <f t="shared" si="37"/>
        <v>1.0606725503916076E-2</v>
      </c>
      <c r="AF104" s="145">
        <f t="shared" si="38"/>
        <v>164.5</v>
      </c>
      <c r="AG104" s="143">
        <v>3606.04</v>
      </c>
      <c r="AH104" s="144">
        <f t="shared" si="39"/>
        <v>1.5339998402207573E-2</v>
      </c>
      <c r="AI104" s="145">
        <f t="shared" si="40"/>
        <v>558.46</v>
      </c>
      <c r="AJ104" s="440">
        <f t="shared" si="41"/>
        <v>4.5663377192982457</v>
      </c>
      <c r="AK104" s="441">
        <f t="shared" si="42"/>
        <v>0.8855435023245517</v>
      </c>
      <c r="AL104" s="442">
        <f t="shared" si="43"/>
        <v>1.31319737800437</v>
      </c>
      <c r="AM104" s="443" t="str">
        <f t="shared" si="44"/>
        <v>4.22 pts.</v>
      </c>
      <c r="AN104" s="444" t="str">
        <f t="shared" si="45"/>
        <v>3.74 pts.</v>
      </c>
      <c r="AO104" s="11"/>
    </row>
    <row r="105" spans="1:41" x14ac:dyDescent="0.35">
      <c r="A105" s="11" t="s">
        <v>109</v>
      </c>
      <c r="B105" s="11"/>
      <c r="C105" s="106" t="s">
        <v>101</v>
      </c>
      <c r="D105" s="11" t="s">
        <v>106</v>
      </c>
      <c r="E105" s="11"/>
      <c r="F105" s="11" t="s">
        <v>98</v>
      </c>
      <c r="G105" s="76"/>
      <c r="H105" s="88" t="s">
        <v>869</v>
      </c>
      <c r="I105" s="122" t="str">
        <f>IF(_epmOfflineCondition_,"N",_xll.EVPRO($B$1,$H105,"STYLE"))</f>
        <v>N</v>
      </c>
      <c r="J105" s="122" t="str">
        <f>IF(_epmOfflineCondition_,"N",_xll.EVPRO($B$1,$H105,"CALC"))</f>
        <v>N</v>
      </c>
      <c r="K105" s="179" t="str">
        <f t="shared" si="34"/>
        <v/>
      </c>
      <c r="L105" s="90" t="str">
        <f>IF(_epmOfflineCondition_,"706110",_xll.EVPRO($B$1,H105,"JDEID"))</f>
        <v>706110</v>
      </c>
      <c r="M105" s="90" t="str">
        <f>IF(_epmOfflineCondition_,"590056",IF(AND(I105="N",J105="N"),_xll.EVPRO($B$1,H105,"PSFTID"),""))</f>
        <v>590056</v>
      </c>
      <c r="N105" s="90" t="str">
        <f>IF(_epmOfflineCondition_,"Kitchen Fuel",IF(_xll.EVDES(H105,$B$1)="#NODATA","",_xll.EVDES(H105,$B$1)))</f>
        <v>Kitchen Fuel</v>
      </c>
      <c r="O105" s="143"/>
      <c r="P105" s="143"/>
      <c r="Q105" s="143"/>
      <c r="R105" s="143"/>
      <c r="S105" s="143"/>
      <c r="T105" s="143"/>
      <c r="U105" s="143"/>
      <c r="V105" s="143"/>
      <c r="W105" s="143"/>
      <c r="X105" s="143"/>
      <c r="Y105" s="143"/>
      <c r="Z105" s="143"/>
      <c r="AA105" s="250">
        <f t="shared" si="35"/>
        <v>0</v>
      </c>
      <c r="AB105" s="144" t="str">
        <f t="shared" si="36"/>
        <v/>
      </c>
      <c r="AC105" s="140"/>
      <c r="AD105" s="143"/>
      <c r="AE105" s="144" t="str">
        <f t="shared" si="37"/>
        <v/>
      </c>
      <c r="AF105" s="145">
        <f t="shared" si="38"/>
        <v>0</v>
      </c>
      <c r="AG105" s="143">
        <v>148.94999999999999</v>
      </c>
      <c r="AH105" s="144">
        <f t="shared" si="39"/>
        <v>6.3362934465752401E-4</v>
      </c>
      <c r="AI105" s="145">
        <f t="shared" si="40"/>
        <v>-148.94999999999999</v>
      </c>
      <c r="AJ105" s="440">
        <f t="shared" si="41"/>
        <v>0</v>
      </c>
      <c r="AK105" s="441">
        <f t="shared" si="42"/>
        <v>0</v>
      </c>
      <c r="AL105" s="442">
        <f t="shared" si="43"/>
        <v>5.4242534595775667E-2</v>
      </c>
      <c r="AM105" s="443">
        <f t="shared" si="44"/>
        <v>0</v>
      </c>
      <c r="AN105" s="444">
        <f t="shared" si="45"/>
        <v>0</v>
      </c>
      <c r="AO105" s="11"/>
    </row>
    <row r="106" spans="1:41" x14ac:dyDescent="0.35">
      <c r="A106" s="11" t="s">
        <v>109</v>
      </c>
      <c r="B106" s="11"/>
      <c r="C106" s="196" t="s">
        <v>101</v>
      </c>
      <c r="D106" s="11" t="s">
        <v>107</v>
      </c>
      <c r="E106" s="11"/>
      <c r="F106" s="11" t="s">
        <v>99</v>
      </c>
      <c r="G106" s="11"/>
      <c r="H106" s="88" t="s">
        <v>79</v>
      </c>
      <c r="I106" s="136" t="str">
        <f>IF(_epmOfflineCondition_,"T3",_xll.EVPRO($B$1,$H106,"STYLE"))</f>
        <v>T3</v>
      </c>
      <c r="J106" s="136" t="str">
        <f>IF(_epmOfflineCondition_,"Y",_xll.EVPRO($B$1,$H106,"CALC"))</f>
        <v>Y</v>
      </c>
      <c r="K106" s="104"/>
      <c r="L106" s="104"/>
      <c r="M106" s="104"/>
      <c r="N106" s="106" t="str">
        <f>IF(_epmOfflineCondition_,"Total Operations Expense",IF(_xll.EVDES(H106,$B$1)="#NODATA","",_xll.EVDES(H106,$B$1)))</f>
        <v>Total Operations Expense</v>
      </c>
      <c r="O106" s="154">
        <v>3042.09</v>
      </c>
      <c r="P106" s="154">
        <v>2427.4299999999998</v>
      </c>
      <c r="Q106" s="154">
        <v>246.97</v>
      </c>
      <c r="R106" s="154"/>
      <c r="S106" s="154"/>
      <c r="T106" s="154"/>
      <c r="U106" s="154"/>
      <c r="V106" s="154"/>
      <c r="W106" s="154"/>
      <c r="X106" s="154"/>
      <c r="Y106" s="154"/>
      <c r="Z106" s="154"/>
      <c r="AA106" s="154">
        <f t="shared" si="35"/>
        <v>5716.4900000000007</v>
      </c>
      <c r="AB106" s="155">
        <f t="shared" si="36"/>
        <v>7.2435268745264111E-2</v>
      </c>
      <c r="AC106" s="140"/>
      <c r="AD106" s="154">
        <v>18211.682700000001</v>
      </c>
      <c r="AE106" s="155">
        <f t="shared" si="37"/>
        <v>4.8291579840829296E-2</v>
      </c>
      <c r="AF106" s="156">
        <f t="shared" si="38"/>
        <v>-12495.1927</v>
      </c>
      <c r="AG106" s="154">
        <v>8956.24</v>
      </c>
      <c r="AH106" s="155">
        <f t="shared" si="39"/>
        <v>3.8099607128536446E-2</v>
      </c>
      <c r="AI106" s="156">
        <f t="shared" si="40"/>
        <v>-3239.7499999999991</v>
      </c>
      <c r="AJ106" s="466">
        <f t="shared" si="41"/>
        <v>6.268081140350878</v>
      </c>
      <c r="AK106" s="467">
        <f t="shared" si="42"/>
        <v>4.0318093203453627</v>
      </c>
      <c r="AL106" s="468">
        <f t="shared" si="43"/>
        <v>3.2615586307356152</v>
      </c>
      <c r="AM106" s="469" t="str">
        <f t="shared" si="44"/>
        <v>2.41 pts.</v>
      </c>
      <c r="AN106" s="555" t="str">
        <f t="shared" si="45"/>
        <v>3.43 pts.</v>
      </c>
      <c r="AO106" s="11"/>
    </row>
    <row r="107" spans="1:41" x14ac:dyDescent="0.35">
      <c r="A107" s="11" t="s">
        <v>110</v>
      </c>
      <c r="B107" s="11"/>
      <c r="C107" s="106" t="s">
        <v>101</v>
      </c>
      <c r="D107" s="11" t="s">
        <v>106</v>
      </c>
      <c r="E107" s="11"/>
      <c r="F107" s="11" t="s">
        <v>98</v>
      </c>
      <c r="G107" s="11"/>
      <c r="H107" s="11"/>
      <c r="I107" s="59"/>
      <c r="J107" s="59"/>
      <c r="K107" s="11"/>
      <c r="L107" s="11"/>
      <c r="M107" s="11"/>
      <c r="N107" s="11"/>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1"/>
    </row>
    <row r="108" spans="1:41" x14ac:dyDescent="0.35">
      <c r="A108" s="11" t="s">
        <v>110</v>
      </c>
      <c r="B108" s="11"/>
      <c r="C108" s="109" t="s">
        <v>101</v>
      </c>
      <c r="D108" s="11" t="s">
        <v>107</v>
      </c>
      <c r="E108" s="11"/>
      <c r="F108" s="11" t="s">
        <v>99</v>
      </c>
      <c r="G108" s="11"/>
      <c r="H108" s="88" t="s">
        <v>80</v>
      </c>
      <c r="I108" s="136" t="str">
        <f>IF(_epmOfflineCondition_,"T3",_xll.EVPRO($B$1,$H108,"STYLE"))</f>
        <v>T3</v>
      </c>
      <c r="J108" s="136" t="str">
        <f>IF(_epmOfflineCondition_,"Y",_xll.EVPRO($B$1,$H108,"CALC"))</f>
        <v>Y</v>
      </c>
      <c r="K108" s="106"/>
      <c r="L108" s="106"/>
      <c r="M108" s="106"/>
      <c r="N108" s="106" t="str">
        <f>IF(_epmOfflineCondition_,"Total Expenses",IF(_xll.EVDES(H108,$B$1)="#NODATA","",_xll.EVDES(H108,$B$1)))</f>
        <v>Total Expenses</v>
      </c>
      <c r="O108" s="238">
        <v>11203.63</v>
      </c>
      <c r="P108" s="238">
        <v>16040.63</v>
      </c>
      <c r="Q108" s="238">
        <v>3944.96</v>
      </c>
      <c r="R108" s="238">
        <v>91.71</v>
      </c>
      <c r="S108" s="238">
        <v>-1910.6</v>
      </c>
      <c r="T108" s="238">
        <v>94.43</v>
      </c>
      <c r="U108" s="238">
        <v>45.83</v>
      </c>
      <c r="V108" s="238">
        <v>70.13</v>
      </c>
      <c r="W108" s="238">
        <v>61.5</v>
      </c>
      <c r="X108" s="238">
        <v>-27.53</v>
      </c>
      <c r="Y108" s="238">
        <v>663.78</v>
      </c>
      <c r="Z108" s="238"/>
      <c r="AA108" s="238">
        <f>IF($I108="B1","",SUM(O108:Z108))</f>
        <v>30278.47</v>
      </c>
      <c r="AB108" s="239">
        <f>IF(AA108=0,"",IFERROR(AA108/AA$19,""))</f>
        <v>0.38366709495606865</v>
      </c>
      <c r="AC108" s="140"/>
      <c r="AD108" s="238">
        <v>123606.201336618</v>
      </c>
      <c r="AE108" s="239">
        <f>IF(AD108=0,"",IFERROR(AD108/AD$19,""))</f>
        <v>0.3277642620398229</v>
      </c>
      <c r="AF108" s="254">
        <f>IF(AND($AA108="",AD108=""),"",$AA108-AD108)</f>
        <v>-93327.731336618002</v>
      </c>
      <c r="AG108" s="255">
        <v>64311.69</v>
      </c>
      <c r="AH108" s="256">
        <f>IF(AG108=0,"",IFERROR(AG108/AG$19,""))</f>
        <v>0.2735802214737687</v>
      </c>
      <c r="AI108" s="254">
        <f>IF(AND($AA108="",AG108=""),"",$AA108-AG108)</f>
        <v>-34033.22</v>
      </c>
      <c r="AJ108" s="472">
        <f>IFERROR(AA108/AA$20,0)</f>
        <v>33.200076754385968</v>
      </c>
      <c r="AK108" s="473">
        <f>IFERROR(AD108/AD$20,0)</f>
        <v>27.364667110165598</v>
      </c>
      <c r="AL108" s="474">
        <f>IFERROR(AG108/AG$20,0)</f>
        <v>23.420134741442098</v>
      </c>
      <c r="AM108" s="475" t="str">
        <f>+IFERROR(ROUND(($AB108-AE108)*100,2)&amp;" pts.",0)</f>
        <v>5.59 pts.</v>
      </c>
      <c r="AN108" s="556" t="str">
        <f>+IFERROR(ROUND(($AB108-AH108)*100,2)&amp;" pts.",0)</f>
        <v>11.01 pts.</v>
      </c>
      <c r="AO108" s="11"/>
    </row>
    <row r="109" spans="1:41" ht="15" thickBot="1" x14ac:dyDescent="0.4">
      <c r="A109" s="11"/>
      <c r="B109" s="11"/>
      <c r="C109" s="208"/>
      <c r="D109" s="11"/>
      <c r="E109" s="11"/>
      <c r="F109" s="11"/>
      <c r="G109" s="11"/>
      <c r="H109" s="88" t="s">
        <v>81</v>
      </c>
      <c r="I109" s="136" t="str">
        <f>IF(_epmOfflineCondition_,"T3",_xll.EVPRO($B$1,$H109,"STYLE"))</f>
        <v>T3</v>
      </c>
      <c r="J109" s="136" t="str">
        <f>IF(_epmOfflineCondition_,"Y",_xll.EVPRO($B$1,$H109,"CALC"))</f>
        <v>Y</v>
      </c>
      <c r="K109" s="106"/>
      <c r="L109" s="106"/>
      <c r="M109" s="106"/>
      <c r="N109" s="106" t="str">
        <f>IF(_epmOfflineCondition_,"Department Profit (Loss)",IF(_xll.EVDES(H109,$B$1)="#NODATA","",_xll.EVDES(H109,$B$1)))</f>
        <v>Department Profit (Loss)</v>
      </c>
      <c r="O109" s="169">
        <v>32430.35</v>
      </c>
      <c r="P109" s="169">
        <v>23320.66</v>
      </c>
      <c r="Q109" s="169">
        <v>-4507.4799999999996</v>
      </c>
      <c r="R109" s="169">
        <v>-91.71</v>
      </c>
      <c r="S109" s="169">
        <v>-12973.89</v>
      </c>
      <c r="T109" s="169">
        <v>-94.43</v>
      </c>
      <c r="U109" s="169">
        <v>-45.83</v>
      </c>
      <c r="V109" s="169">
        <v>-70.13</v>
      </c>
      <c r="W109" s="169">
        <v>553.38</v>
      </c>
      <c r="X109" s="169">
        <v>332.53</v>
      </c>
      <c r="Y109" s="169">
        <v>-13.78</v>
      </c>
      <c r="Z109" s="169">
        <v>-471</v>
      </c>
      <c r="AA109" s="169">
        <f>IF($I109="B1","",SUM(O109:Z109))</f>
        <v>38368.67</v>
      </c>
      <c r="AB109" s="170">
        <f>IF(AA109=0,"",IFERROR(AA109/AA$19,""))</f>
        <v>0.48618031744100876</v>
      </c>
      <c r="AC109" s="140"/>
      <c r="AD109" s="169">
        <v>204118.66406338199</v>
      </c>
      <c r="AE109" s="170">
        <f>IF(AD109=0,"",IFERROR(AD109/AD$19,""))</f>
        <v>0.54125765998658792</v>
      </c>
      <c r="AF109" s="171">
        <f>IF(AND($AA109="",AD109=""),"",$AA109-AD109)</f>
        <v>-165749.99406338198</v>
      </c>
      <c r="AG109" s="169">
        <v>143923.35</v>
      </c>
      <c r="AH109" s="170">
        <f>IF(AG109=0,"",IFERROR(AG109/AG$19,""))</f>
        <v>0.61224610903937882</v>
      </c>
      <c r="AI109" s="171">
        <f>IF(AND($AA109="",AG109=""),"",$AA109-AG109)</f>
        <v>-105554.68000000001</v>
      </c>
      <c r="AJ109" s="477">
        <f>IFERROR(AA109/AA$20,0)</f>
        <v>42.070910087719298</v>
      </c>
      <c r="AK109" s="478">
        <f>IFERROR(AD109/AD$20,0)</f>
        <v>45.188989166123974</v>
      </c>
      <c r="AL109" s="479">
        <f>IFERROR(AG109/AG$20,0)</f>
        <v>52.411999271667881</v>
      </c>
      <c r="AM109" s="480" t="str">
        <f>+IFERROR(ROUND(($AB109-AE109)*100,2)&amp;" pts.",0)</f>
        <v>-5.51 pts.</v>
      </c>
      <c r="AN109" s="557" t="str">
        <f>+IFERROR(ROUND(($AB109-AH109)*100,2)&amp;" pts.",0)</f>
        <v>-12.61 pts.</v>
      </c>
      <c r="AO109" s="11"/>
    </row>
    <row r="110" spans="1:41" ht="15" thickTop="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t="str">
        <f>IF(_epmOfflineCondition_,"Evdre:Ok",_xll.EVDRE($B$1,A114:B121))</f>
        <v>Evdre:Ok</v>
      </c>
      <c r="B111" s="11" t="s">
        <v>736</v>
      </c>
      <c r="C111" s="11"/>
      <c r="D111" s="11"/>
      <c r="E111" s="11"/>
      <c r="F111" s="11"/>
      <c r="G111" s="11"/>
      <c r="H111" s="11"/>
      <c r="I111" s="59"/>
      <c r="J111" s="59"/>
      <c r="K111" s="11"/>
      <c r="L111" s="11"/>
      <c r="M111" s="11"/>
      <c r="N111" s="104" t="str">
        <f>N108&amp;" - Check"</f>
        <v>Total Expenses - Check</v>
      </c>
      <c r="O111" s="209">
        <f t="shared" ref="O111:AA111" si="46">SUMIF($H$35:$H$109,"600000",O$35:O$109)+SUMIF($H$35:$H$109,"700000",O$35:O$109)-SUMIF($H$35:$H$109,"TOTDEPTEXP",O$35:O$109)</f>
        <v>0</v>
      </c>
      <c r="P111" s="209">
        <f t="shared" si="46"/>
        <v>0</v>
      </c>
      <c r="Q111" s="209">
        <f t="shared" si="46"/>
        <v>0</v>
      </c>
      <c r="R111" s="209">
        <f t="shared" si="46"/>
        <v>0</v>
      </c>
      <c r="S111" s="209">
        <f t="shared" si="46"/>
        <v>0</v>
      </c>
      <c r="T111" s="209">
        <f t="shared" si="46"/>
        <v>0</v>
      </c>
      <c r="U111" s="209">
        <f t="shared" si="46"/>
        <v>0</v>
      </c>
      <c r="V111" s="209">
        <f t="shared" si="46"/>
        <v>0</v>
      </c>
      <c r="W111" s="209">
        <f t="shared" si="46"/>
        <v>0</v>
      </c>
      <c r="X111" s="209">
        <f t="shared" si="46"/>
        <v>0</v>
      </c>
      <c r="Y111" s="209">
        <f t="shared" si="46"/>
        <v>0</v>
      </c>
      <c r="Z111" s="209">
        <f t="shared" si="46"/>
        <v>0</v>
      </c>
      <c r="AA111" s="209">
        <f t="shared" si="46"/>
        <v>0</v>
      </c>
      <c r="AB111" s="100"/>
      <c r="AC111" s="11"/>
      <c r="AD111" s="209">
        <f>SUMIF($H$35:$H$109,"600000",AD$35:AD$109)+SUMIF($H$35:$H$109,"700000",AD$35:AD$109)-SUMIF($H$35:$H$109,"TOTDEPTEXP",AD$35:AD$109)</f>
        <v>0</v>
      </c>
      <c r="AE111" s="100"/>
      <c r="AF111" s="91"/>
      <c r="AG111" s="209">
        <f>SUMIF($H$35:$H$109,"600000",AG$35:AG$109)+SUMIF($H$35:$H$109,"700000",AG$35:AG$109)-SUMIF($H$35:$H$109,"TOTDEPTEXP",AG$35:AG$109)</f>
        <v>0</v>
      </c>
      <c r="AH111" s="100"/>
      <c r="AI111" s="9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04" t="str">
        <f>N109&amp;" - Check"</f>
        <v>Department Profit (Loss) - Check</v>
      </c>
      <c r="O112" s="209">
        <f t="shared" ref="O112:AA112" si="47">SUMIF($H$35:$H$109,"KPI_GP",O$35:O$109)-SUMIF($H$35:$H$109,"TOTDEPTEXP",O$35:O$109)-SUMIF($H$35:$H$109,"TOTDEPTPL",O$35:O$109)</f>
        <v>0</v>
      </c>
      <c r="P112" s="209">
        <f t="shared" si="47"/>
        <v>0</v>
      </c>
      <c r="Q112" s="209">
        <f t="shared" si="47"/>
        <v>0</v>
      </c>
      <c r="R112" s="209">
        <f t="shared" si="47"/>
        <v>0</v>
      </c>
      <c r="S112" s="209">
        <f t="shared" si="47"/>
        <v>0</v>
      </c>
      <c r="T112" s="209">
        <f t="shared" si="47"/>
        <v>0</v>
      </c>
      <c r="U112" s="209">
        <f t="shared" si="47"/>
        <v>0</v>
      </c>
      <c r="V112" s="209">
        <f t="shared" si="47"/>
        <v>0</v>
      </c>
      <c r="W112" s="209">
        <f t="shared" si="47"/>
        <v>0</v>
      </c>
      <c r="X112" s="209">
        <f t="shared" si="47"/>
        <v>0</v>
      </c>
      <c r="Y112" s="209">
        <f t="shared" si="47"/>
        <v>2.6645352591003757E-14</v>
      </c>
      <c r="Z112" s="209">
        <f t="shared" si="47"/>
        <v>0</v>
      </c>
      <c r="AA112" s="209">
        <f t="shared" si="47"/>
        <v>0</v>
      </c>
      <c r="AB112" s="100"/>
      <c r="AC112" s="11"/>
      <c r="AD112" s="209">
        <f>SUMIF($H$35:$H$109,"KPI_GP",AD$35:AD$109)-SUMIF($H$35:$H$109,"TOTDEPTEXP",AD$35:AD$109)-SUMIF($H$35:$H$109,"TOTDEPTPL",AD$35:AD$109)</f>
        <v>0</v>
      </c>
      <c r="AE112" s="100"/>
      <c r="AF112" s="91"/>
      <c r="AG112" s="209">
        <f>SUMIF($H$35:$H$109,"KPI_GP",AG$35:AG$109)-SUMIF($H$35:$H$109,"TOTDEPTEXP",AG$35:AG$109)-SUMIF($H$35:$H$109,"TOTDEPTPL",AG$35:AG$109)</f>
        <v>0</v>
      </c>
      <c r="AH112" s="100"/>
      <c r="AI112" s="91"/>
      <c r="AJ112" s="11"/>
      <c r="AK112" s="11"/>
      <c r="AL112" s="11"/>
      <c r="AM112" s="11"/>
      <c r="AN112" s="11"/>
      <c r="AO112" s="11"/>
    </row>
    <row r="113" spans="1:41" x14ac:dyDescent="0.3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IF(_epmOfflineCondition_,"'BCC_CONS'!$B$2:$B$10",_xll.EVRNG($B$2:$B$10))</f>
        <v>'BCC_CONS'!$B$2:$B$10</v>
      </c>
      <c r="C114" s="11"/>
      <c r="D114" s="11"/>
      <c r="E114" s="11"/>
      <c r="F114" s="11"/>
      <c r="G114" s="11"/>
      <c r="H114" s="11"/>
      <c r="I114" s="59"/>
      <c r="J114" s="59"/>
      <c r="K114" s="11"/>
      <c r="L114" s="11"/>
      <c r="M114" s="11"/>
      <c r="N114" s="11"/>
      <c r="O114" s="137"/>
      <c r="P114" s="137"/>
      <c r="Q114" s="137"/>
      <c r="R114" s="137"/>
      <c r="S114" s="137"/>
      <c r="T114" s="137"/>
      <c r="U114" s="137"/>
      <c r="V114" s="137"/>
      <c r="W114" s="137"/>
      <c r="X114" s="137"/>
      <c r="Y114" s="137"/>
      <c r="Z114" s="137"/>
      <c r="AA114" s="137"/>
      <c r="AB114" s="11"/>
      <c r="AC114" s="11"/>
      <c r="AD114" s="137"/>
      <c r="AE114" s="11"/>
      <c r="AF114" s="11"/>
      <c r="AG114" s="137"/>
      <c r="AH114" s="11"/>
      <c r="AI114" s="11"/>
      <c r="AJ114" s="11"/>
      <c r="AK114" s="11"/>
      <c r="AL114" s="11"/>
      <c r="AM114" s="11"/>
      <c r="AN114" s="11"/>
      <c r="AO114" s="11"/>
    </row>
    <row r="115" spans="1:41" ht="15.5" x14ac:dyDescent="0.35">
      <c r="A115" s="65" t="s">
        <v>3</v>
      </c>
      <c r="B115" s="66" t="str">
        <f>IF(_epmOfflineCondition_,"'BCC_CONS'!$O$16:$AN$18",_xll.EVRNG($O$16:$AN$18))</f>
        <v>'BCC_CONS'!$O$16:$AN$18</v>
      </c>
      <c r="C115" s="11"/>
      <c r="D115" s="11"/>
      <c r="E115" s="11"/>
      <c r="F115" s="11"/>
      <c r="G115" s="11"/>
      <c r="H115" s="11"/>
      <c r="I115" s="59"/>
      <c r="J115" s="59"/>
      <c r="K115" s="11"/>
      <c r="L115" s="11"/>
      <c r="M115" s="11"/>
      <c r="N115" s="489" t="s">
        <v>802</v>
      </c>
      <c r="O115" s="137"/>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IF(_epmOfflineCondition_,"'BCC_CONS'!$H$106:$H$109",_xll.EVRNG(H106:H109))</f>
        <v>'BCC_CONS'!$H$106:$H$109</v>
      </c>
      <c r="C116" s="11"/>
      <c r="D116" s="11"/>
      <c r="E116" s="11"/>
      <c r="F116" s="11"/>
      <c r="G116" s="11"/>
      <c r="H116" s="59" t="s">
        <v>273</v>
      </c>
      <c r="I116" s="122" t="str">
        <f>IF(_epmOfflineCondition_,"T4",_xll.EVPRO($B$1,$H116,"STYLE"))</f>
        <v>T4</v>
      </c>
      <c r="J116" s="122" t="str">
        <f>IF(_epmOfflineCondition_,"Y",_xll.EVPRO($B$1,$H116,"CALC"))</f>
        <v>Y</v>
      </c>
      <c r="K116" s="11"/>
      <c r="L116" s="11"/>
      <c r="M116" s="11"/>
      <c r="N116" s="570" t="str">
        <f>IF(_epmOfflineCondition_,"Total Food &amp; Beverage Revenue",IF(_xll.EVDES(H116,$B$1)="#NODATA","",_xll.EVDES(H116,$B$1)))</f>
        <v>Total Food &amp; Beverage Revenue</v>
      </c>
      <c r="O116" s="571">
        <f>IF(_epmOfflineCondition_,23862.89,_xll.EVGET($B$1,$H116,$B$3,O$17,$B$5,$B$6,$B$7,O$18,$B$9,O$16))</f>
        <v>23862.89</v>
      </c>
      <c r="P116" s="571">
        <f>IF(_epmOfflineCondition_,26790.99,_xll.EVGET($B$1,$H116,$B$3,P$17,$B$5,$B$6,$B$7,P$18,$B$9,P$16))</f>
        <v>26790.99</v>
      </c>
      <c r="Q116" s="571">
        <f>IF(_epmOfflineCondition_,-375,_xll.EVGET($B$1,$H116,$B$3,Q$17,$B$5,$B$6,$B$7,Q$18,$B$9,Q$16))</f>
        <v>-375</v>
      </c>
      <c r="R116" s="571">
        <f>IF(_epmOfflineCondition_,0,_xll.EVGET($B$1,$H116,$B$3,R$17,$B$5,$B$6,$B$7,R$18,$B$9,R$16))</f>
        <v>0</v>
      </c>
      <c r="S116" s="571">
        <f>IF(_epmOfflineCondition_,-11139.03,_xll.EVGET($B$1,$H116,$B$3,S$17,$B$5,$B$6,$B$7,S$18,$B$9,S$16))</f>
        <v>-11139.03</v>
      </c>
      <c r="T116" s="571">
        <f>IF(_epmOfflineCondition_,0,_xll.EVGET($B$1,$H116,$B$3,T$17,$B$5,$B$6,$B$7,T$18,$B$9,T$16))</f>
        <v>0</v>
      </c>
      <c r="U116" s="571">
        <f>IF(_epmOfflineCondition_,0,_xll.EVGET($B$1,$H116,$B$3,U$17,$B$5,$B$6,$B$7,U$18,$B$9,U$16))</f>
        <v>0</v>
      </c>
      <c r="V116" s="571">
        <f>IF(_epmOfflineCondition_,0,_xll.EVGET($B$1,$H116,$B$3,V$17,$B$5,$B$6,$B$7,V$18,$B$9,V$16))</f>
        <v>0</v>
      </c>
      <c r="W116" s="571">
        <f>IF(_epmOfflineCondition_,504,_xll.EVGET($B$1,$H116,$B$3,W$17,$B$5,$B$6,$B$7,W$18,$B$9,W$16))</f>
        <v>504</v>
      </c>
      <c r="X116" s="571">
        <f>IF(_epmOfflineCondition_,250,_xll.EVGET($B$1,$H116,$B$3,X$17,$B$5,$B$6,$B$7,X$18,$B$9,X$16))</f>
        <v>250</v>
      </c>
      <c r="Y116" s="571">
        <f>IF(_epmOfflineCondition_,0,_xll.EVGET($B$1,$H116,$B$3,Y$17,$B$5,$B$6,$B$7,Y$18,$B$9,Y$16))</f>
        <v>0</v>
      </c>
      <c r="Z116" s="571">
        <f>IF(_epmOfflineCondition_,0,_xll.EVGET($B$1,$H116,$B$3,Z$17,$B$5,$B$6,$B$7,Z$18,$B$9,Z$16))</f>
        <v>0</v>
      </c>
      <c r="AA116" s="571">
        <f>IF(_epmOfflineCondition_,39893.85,_xll.EVGET($B$1,$H116,$B$3,AA$17,$B$5,$B$6,$B$7,AA$18,$B$9,AA$16))</f>
        <v>39893.85</v>
      </c>
      <c r="AB116" s="571"/>
      <c r="AC116" s="571"/>
      <c r="AD116" s="571">
        <f>IF(_epmOfflineCondition_,237948.57,_xll.EVGET($B$1,$H116,$B$3,AD$17,$B$5,$B$6,$B$7,AD$18,$B$9,AD$16))</f>
        <v>237948.57</v>
      </c>
      <c r="AE116" s="571"/>
      <c r="AF116" s="571"/>
      <c r="AG116" s="571">
        <f>IF(_epmOfflineCondition_,129829.71,_xll.EVGET($B$1,$H116,$B$3,AG$17,$B$5,$B$6,$B$7,AG$18,$B$9,AG$16))</f>
        <v>129829.71</v>
      </c>
      <c r="AH116" s="571"/>
      <c r="AI116" s="571"/>
      <c r="AJ116" s="11"/>
      <c r="AK116" s="11"/>
      <c r="AL116" s="11"/>
      <c r="AM116" s="11"/>
      <c r="AN116" s="11"/>
      <c r="AO116" s="11"/>
    </row>
    <row r="117" spans="1:41" x14ac:dyDescent="0.35">
      <c r="A117" s="65" t="s">
        <v>5</v>
      </c>
      <c r="B117" s="66"/>
      <c r="C117" s="11"/>
      <c r="D117" s="11"/>
      <c r="E117" s="11"/>
      <c r="F117" s="11"/>
      <c r="G117" s="11"/>
      <c r="H117" s="59" t="s">
        <v>273</v>
      </c>
      <c r="I117" s="122" t="str">
        <f>IF(_epmOfflineCondition_,"T4",_xll.EVPRO($B$1,$H117,"STYLE"))</f>
        <v>T4</v>
      </c>
      <c r="J117" s="122" t="str">
        <f>IF(_epmOfflineCondition_,"Y",_xll.EVPRO($B$1,$H117,"CALC"))</f>
        <v>Y</v>
      </c>
      <c r="K117" s="572"/>
      <c r="L117" s="572"/>
      <c r="M117" s="572"/>
      <c r="N117" s="573" t="s">
        <v>803</v>
      </c>
      <c r="O117" s="101">
        <f>IF(_epmOfflineCondition_,0.884716394367991,IFERROR(_xll.EVGET($B$1,$H117,$B$3,O$17,$B$5,$G126,$B$7,O$18,$B$9,O$16)/O116,0))</f>
        <v>0.88471639436799099</v>
      </c>
      <c r="P117" s="101">
        <f>IF(_epmOfflineCondition_,1,IFERROR(_xll.EVGET($B$1,$H117,$B$3,P$17,$B$5,$G126,$B$7,P$18,$B$9,P$16)/P116,0))</f>
        <v>1</v>
      </c>
      <c r="Q117" s="101">
        <f>IF(_epmOfflineCondition_,1,IFERROR(_xll.EVGET($B$1,$H117,$B$3,Q$17,$B$5,$G126,$B$7,Q$18,$B$9,Q$16)/Q116,0))</f>
        <v>1</v>
      </c>
      <c r="R117" s="101">
        <f>IF(_epmOfflineCondition_,0,IFERROR(_xll.EVGET($B$1,$H117,$B$3,R$17,$B$5,$G126,$B$7,R$18,$B$9,R$16)/R116,0))</f>
        <v>0</v>
      </c>
      <c r="S117" s="101">
        <f>IF(_epmOfflineCondition_,1,IFERROR(_xll.EVGET($B$1,$H117,$B$3,S$17,$B$5,$G126,$B$7,S$18,$B$9,S$16)/S116,0))</f>
        <v>1</v>
      </c>
      <c r="T117" s="101">
        <f>IF(_epmOfflineCondition_,0,IFERROR(_xll.EVGET($B$1,$H117,$B$3,T$17,$B$5,$G126,$B$7,T$18,$B$9,T$16)/T116,0))</f>
        <v>0</v>
      </c>
      <c r="U117" s="101">
        <f>IF(_epmOfflineCondition_,0,IFERROR(_xll.EVGET($B$1,$H117,$B$3,U$17,$B$5,$G126,$B$7,U$18,$B$9,U$16)/U116,0))</f>
        <v>0</v>
      </c>
      <c r="V117" s="101">
        <f>IF(_epmOfflineCondition_,0,IFERROR(_xll.EVGET($B$1,$H117,$B$3,V$17,$B$5,$G126,$B$7,V$18,$B$9,V$16)/V116,0))</f>
        <v>0</v>
      </c>
      <c r="W117" s="101">
        <f>IF(_epmOfflineCondition_,1,IFERROR(_xll.EVGET($B$1,$H117,$B$3,W$17,$B$5,$G126,$B$7,W$18,$B$9,W$16)/W116,0))</f>
        <v>1</v>
      </c>
      <c r="X117" s="101">
        <f>IF(_epmOfflineCondition_,1,IFERROR(_xll.EVGET($B$1,$H117,$B$3,X$17,$B$5,$G126,$B$7,X$18,$B$9,X$16)/X116,0))</f>
        <v>1</v>
      </c>
      <c r="Y117" s="101">
        <f>IF(_epmOfflineCondition_,0,IFERROR(_xll.EVGET($B$1,$H117,$B$3,Y$17,$B$5,$G126,$B$7,Y$18,$B$9,Y$16)/Y116,0))</f>
        <v>0</v>
      </c>
      <c r="Z117" s="101">
        <f>IF(_epmOfflineCondition_,0,IFERROR(_xll.EVGET($B$1,$H117,$B$3,Z$17,$B$5,$G126,$B$7,Z$18,$B$9,Z$16)/Z116,0))</f>
        <v>0</v>
      </c>
      <c r="AA117" s="101">
        <f>IF(_epmOfflineCondition_,0.931042002714704,IFERROR(_xll.EVGET($B$1,$H117,$B$3,AA$17,$B$5,$G126,$B$7,AA$18,$B$9,AA$16)/AA116,0))</f>
        <v>0.93104200271470405</v>
      </c>
      <c r="AB117" s="101"/>
      <c r="AC117" s="101"/>
      <c r="AD117" s="101">
        <f>IF(_epmOfflineCondition_,0,IFERROR(_xll.EVGET($B$1,$H117,$B$3,AD$17,$B$5,$G126,$B$7,AD$18,$B$9,AD$16)/AD116,0))</f>
        <v>0</v>
      </c>
      <c r="AE117" s="101"/>
      <c r="AF117" s="101"/>
      <c r="AG117" s="101">
        <f>IF(_epmOfflineCondition_,0.0201109591941629,IFERROR(_xll.EVGET($B$1,$H117,$B$3,AG$17,$B$5,$G126,$B$7,AG$18,$B$9,AG$16)/AG116,0))</f>
        <v>2.0110959194162899E-2</v>
      </c>
      <c r="AH117" s="101"/>
      <c r="AI117" s="101"/>
      <c r="AJ117" s="11"/>
      <c r="AK117" s="11"/>
      <c r="AL117" s="11"/>
      <c r="AM117" s="11"/>
      <c r="AN117" s="11"/>
      <c r="AO117" s="11"/>
    </row>
    <row r="118" spans="1:41" x14ac:dyDescent="0.35">
      <c r="A118" s="65" t="s">
        <v>6</v>
      </c>
      <c r="B118" s="66"/>
      <c r="C118" s="11"/>
      <c r="D118" s="11"/>
      <c r="E118" s="11"/>
      <c r="F118" s="11"/>
      <c r="G118" s="11"/>
      <c r="H118" s="59" t="s">
        <v>273</v>
      </c>
      <c r="I118" s="122" t="str">
        <f>IF(_epmOfflineCondition_,"T4",_xll.EVPRO($B$1,$H118,"STYLE"))</f>
        <v>T4</v>
      </c>
      <c r="J118" s="122" t="str">
        <f>IF(_epmOfflineCondition_,"Y",_xll.EVPRO($B$1,$H118,"CALC"))</f>
        <v>Y</v>
      </c>
      <c r="K118" s="572"/>
      <c r="L118" s="572"/>
      <c r="M118" s="572"/>
      <c r="N118" s="573" t="s">
        <v>804</v>
      </c>
      <c r="O118" s="101">
        <f>IF(_epmOfflineCondition_,0.115283605632009,IFERROR(_xll.EVGET($B$1,$H118,$B$3,O$17,$B$5,$G127,$B$7,O$18,$B$9,O$16)/O116,0))</f>
        <v>0.115283605632009</v>
      </c>
      <c r="P118" s="101">
        <f>IF(_epmOfflineCondition_,0,IFERROR(_xll.EVGET($B$1,$H118,$B$3,P$17,$B$5,$G127,$B$7,P$18,$B$9,P$16)/P116,0))</f>
        <v>0</v>
      </c>
      <c r="Q118" s="101">
        <f>IF(_epmOfflineCondition_,0,IFERROR(_xll.EVGET($B$1,$H118,$B$3,Q$17,$B$5,$G127,$B$7,Q$18,$B$9,Q$16)/Q116,0))</f>
        <v>0</v>
      </c>
      <c r="R118" s="101">
        <f>IF(_epmOfflineCondition_,0,IFERROR(_xll.EVGET($B$1,$H118,$B$3,R$17,$B$5,$G127,$B$7,R$18,$B$9,R$16)/R116,0))</f>
        <v>0</v>
      </c>
      <c r="S118" s="101">
        <f>IF(_epmOfflineCondition_,0,IFERROR(_xll.EVGET($B$1,$H118,$B$3,S$17,$B$5,$G127,$B$7,S$18,$B$9,S$16)/S116,0))</f>
        <v>0</v>
      </c>
      <c r="T118" s="101">
        <f>IF(_epmOfflineCondition_,0,IFERROR(_xll.EVGET($B$1,$H118,$B$3,T$17,$B$5,$G127,$B$7,T$18,$B$9,T$16)/T116,0))</f>
        <v>0</v>
      </c>
      <c r="U118" s="101">
        <f>IF(_epmOfflineCondition_,0,IFERROR(_xll.EVGET($B$1,$H118,$B$3,U$17,$B$5,$G127,$B$7,U$18,$B$9,U$16)/U116,0))</f>
        <v>0</v>
      </c>
      <c r="V118" s="101">
        <f>IF(_epmOfflineCondition_,0,IFERROR(_xll.EVGET($B$1,$H118,$B$3,V$17,$B$5,$G127,$B$7,V$18,$B$9,V$16)/V116,0))</f>
        <v>0</v>
      </c>
      <c r="W118" s="101">
        <f>IF(_epmOfflineCondition_,0,IFERROR(_xll.EVGET($B$1,$H118,$B$3,W$17,$B$5,$G127,$B$7,W$18,$B$9,W$16)/W116,0))</f>
        <v>0</v>
      </c>
      <c r="X118" s="101">
        <f>IF(_epmOfflineCondition_,0,IFERROR(_xll.EVGET($B$1,$H118,$B$3,X$17,$B$5,$G127,$B$7,X$18,$B$9,X$16)/X116,0))</f>
        <v>0</v>
      </c>
      <c r="Y118" s="101">
        <f>IF(_epmOfflineCondition_,0,IFERROR(_xll.EVGET($B$1,$H118,$B$3,Y$17,$B$5,$G127,$B$7,Y$18,$B$9,Y$16)/Y116,0))</f>
        <v>0</v>
      </c>
      <c r="Z118" s="101">
        <f>IF(_epmOfflineCondition_,0,IFERROR(_xll.EVGET($B$1,$H118,$B$3,Z$17,$B$5,$G127,$B$7,Z$18,$B$9,Z$16)/Z116,0))</f>
        <v>0</v>
      </c>
      <c r="AA118" s="101">
        <f>IF(_epmOfflineCondition_,0.0689579972852958,IFERROR(_xll.EVGET($B$1,$H118,$B$3,AA$17,$B$5,$G127,$B$7,AA$18,$B$9,AA$16)/AA116,0))</f>
        <v>6.8957997285295794E-2</v>
      </c>
      <c r="AB118" s="101"/>
      <c r="AC118" s="101"/>
      <c r="AD118" s="101">
        <f>IF(_epmOfflineCondition_,0,IFERROR(_xll.EVGET($B$1,$H118,$B$3,AD$17,$B$5,$G127,$B$7,AD$18,$B$9,AD$16)/AD116,0))</f>
        <v>0</v>
      </c>
      <c r="AE118" s="101"/>
      <c r="AF118" s="101"/>
      <c r="AG118" s="101">
        <f>IF(_epmOfflineCondition_,0.072772249125412,IFERROR(_xll.EVGET($B$1,$H118,$B$3,AG$17,$B$5,$G127,$B$7,AG$18,$B$9,AG$16)/AG116,0))</f>
        <v>7.2772249125411997E-2</v>
      </c>
      <c r="AH118" s="101"/>
      <c r="AI118" s="101"/>
      <c r="AJ118" s="11"/>
      <c r="AK118" s="11"/>
      <c r="AL118" s="11"/>
      <c r="AM118" s="11"/>
      <c r="AN118" s="11"/>
      <c r="AO118" s="11"/>
    </row>
    <row r="119" spans="1:41" x14ac:dyDescent="0.35">
      <c r="A119" s="65" t="s">
        <v>7</v>
      </c>
      <c r="B119" s="66"/>
      <c r="C119" s="11"/>
      <c r="D119" s="11"/>
      <c r="E119" s="11"/>
      <c r="F119" s="11"/>
      <c r="G119" s="11"/>
      <c r="H119" s="59" t="s">
        <v>265</v>
      </c>
      <c r="I119" s="122" t="str">
        <f>IF(_epmOfflineCondition_,"T4",_xll.EVPRO($B$1,$H119,"STYLE"))</f>
        <v>T4</v>
      </c>
      <c r="J119" s="122" t="str">
        <f>IF(_epmOfflineCondition_,"Y",_xll.EVPRO($B$1,$H119,"CALC"))</f>
        <v>Y</v>
      </c>
      <c r="K119" s="11"/>
      <c r="L119" s="11"/>
      <c r="M119" s="11"/>
      <c r="N119" s="570" t="str">
        <f>IF(_epmOfflineCondition_,"Total Food Revenue",IF(_xll.EVDES(H119,$B$1)="#NODATA","",_xll.EVDES(H119,$B$1)))</f>
        <v>Total Food Revenue</v>
      </c>
      <c r="O119" s="571">
        <f>IF(_epmOfflineCondition_,22842.89,_xll.EVGET($B$1,$H119,$B$3,O$17,$B$5,$B$6,$B$7,O$18,$B$9,O$16))</f>
        <v>22842.89</v>
      </c>
      <c r="P119" s="571">
        <f>IF(_epmOfflineCondition_,23228,_xll.EVGET($B$1,$H119,$B$3,P$17,$B$5,$B$6,$B$7,P$18,$B$9,P$16))</f>
        <v>23228</v>
      </c>
      <c r="Q119" s="571">
        <f>IF(_epmOfflineCondition_,-375,_xll.EVGET($B$1,$H119,$B$3,Q$17,$B$5,$B$6,$B$7,Q$18,$B$9,Q$16))</f>
        <v>-375</v>
      </c>
      <c r="R119" s="571">
        <f>IF(_epmOfflineCondition_,0,_xll.EVGET($B$1,$H119,$B$3,R$17,$B$5,$B$6,$B$7,R$18,$B$9,R$16))</f>
        <v>0</v>
      </c>
      <c r="S119" s="571">
        <f>IF(_epmOfflineCondition_,-11139.03,_xll.EVGET($B$1,$H119,$B$3,S$17,$B$5,$B$6,$B$7,S$18,$B$9,S$16))</f>
        <v>-11139.03</v>
      </c>
      <c r="T119" s="571">
        <f>IF(_epmOfflineCondition_,0,_xll.EVGET($B$1,$H119,$B$3,T$17,$B$5,$B$6,$B$7,T$18,$B$9,T$16))</f>
        <v>0</v>
      </c>
      <c r="U119" s="571">
        <f>IF(_epmOfflineCondition_,0,_xll.EVGET($B$1,$H119,$B$3,U$17,$B$5,$B$6,$B$7,U$18,$B$9,U$16))</f>
        <v>0</v>
      </c>
      <c r="V119" s="571">
        <f>IF(_epmOfflineCondition_,0,_xll.EVGET($B$1,$H119,$B$3,V$17,$B$5,$B$6,$B$7,V$18,$B$9,V$16))</f>
        <v>0</v>
      </c>
      <c r="W119" s="571">
        <f>IF(_epmOfflineCondition_,0,_xll.EVGET($B$1,$H119,$B$3,W$17,$B$5,$B$6,$B$7,W$18,$B$9,W$16))</f>
        <v>0</v>
      </c>
      <c r="X119" s="571">
        <f>IF(_epmOfflineCondition_,250,_xll.EVGET($B$1,$H119,$B$3,X$17,$B$5,$B$6,$B$7,X$18,$B$9,X$16))</f>
        <v>250</v>
      </c>
      <c r="Y119" s="571">
        <f>IF(_epmOfflineCondition_,0,_xll.EVGET($B$1,$H119,$B$3,Y$17,$B$5,$B$6,$B$7,Y$18,$B$9,Y$16))</f>
        <v>0</v>
      </c>
      <c r="Z119" s="571">
        <f>IF(_epmOfflineCondition_,0,_xll.EVGET($B$1,$H119,$B$3,Z$17,$B$5,$B$6,$B$7,Z$18,$B$9,Z$16))</f>
        <v>0</v>
      </c>
      <c r="AA119" s="571">
        <f>IF(_epmOfflineCondition_,34806.86,_xll.EVGET($B$1,$H119,$B$3,AA$17,$B$5,$B$6,$B$7,AA$18,$B$9,AA$16))</f>
        <v>34806.86</v>
      </c>
      <c r="AB119" s="571"/>
      <c r="AC119" s="571"/>
      <c r="AD119" s="571">
        <f>IF(_epmOfflineCondition_,205130.134656,_xll.EVGET($B$1,$H119,$B$3,AD$17,$B$5,$B$6,$B$7,AD$18,$B$9,AD$16))</f>
        <v>205130.13465600001</v>
      </c>
      <c r="AE119" s="571"/>
      <c r="AF119" s="571"/>
      <c r="AG119" s="571">
        <f>IF(_epmOfflineCondition_,117866.04,_xll.EVGET($B$1,$H119,$B$3,AG$17,$B$5,$B$6,$B$7,AG$18,$B$9,AG$16))</f>
        <v>117866.04</v>
      </c>
      <c r="AH119" s="571"/>
      <c r="AI119" s="571"/>
      <c r="AJ119" s="11"/>
      <c r="AK119" s="11"/>
      <c r="AL119" s="11"/>
      <c r="AM119" s="11"/>
      <c r="AN119" s="11"/>
      <c r="AO119" s="11"/>
    </row>
    <row r="120" spans="1:41" x14ac:dyDescent="0.35">
      <c r="A120" s="65" t="s">
        <v>47</v>
      </c>
      <c r="B120" s="66" t="str">
        <f>IF(_epmOfflineCondition_,"'BCC_CONS'!$A$125:$B$130",_xll.EVRNG($A$125:$B$130))</f>
        <v>'BCC_CONS'!$A$125:$B$130</v>
      </c>
      <c r="C120" s="11"/>
      <c r="D120" s="11"/>
      <c r="E120" s="11"/>
      <c r="F120" s="11"/>
      <c r="G120" s="11"/>
      <c r="H120" s="59" t="s">
        <v>265</v>
      </c>
      <c r="I120" s="136" t="str">
        <f>IF(_epmOfflineCondition_,"T4",_xll.EVPRO($B$1,$H120,"STYLE"))</f>
        <v>T4</v>
      </c>
      <c r="J120" s="136" t="str">
        <f>IF(_epmOfflineCondition_,"Y",_xll.EVPRO($B$1,$H120,"CALC"))</f>
        <v>Y</v>
      </c>
      <c r="K120" s="11"/>
      <c r="L120" s="11"/>
      <c r="M120" s="11"/>
      <c r="N120" s="573" t="s">
        <v>803</v>
      </c>
      <c r="O120" s="101">
        <f>IF(_epmOfflineCondition_,0.879568653528516,IFERROR(_xll.EVGET($B$1,$H120,$B$3,O$17,$B$5,$G129,$B$7,O$18,$B$9,O$16)/O119,0))</f>
        <v>0.87956865352851599</v>
      </c>
      <c r="P120" s="101">
        <f>IF(_epmOfflineCondition_,1,IFERROR(_xll.EVGET($B$1,$H120,$B$3,P$17,$B$5,$G129,$B$7,P$18,$B$9,P$16)/P119,0))</f>
        <v>1</v>
      </c>
      <c r="Q120" s="101">
        <f>IF(_epmOfflineCondition_,1,IFERROR(_xll.EVGET($B$1,$H120,$B$3,Q$17,$B$5,$G129,$B$7,Q$18,$B$9,Q$16)/Q119,0))</f>
        <v>1</v>
      </c>
      <c r="R120" s="101">
        <f>IF(_epmOfflineCondition_,0,IFERROR(_xll.EVGET($B$1,$H120,$B$3,R$17,$B$5,$G129,$B$7,R$18,$B$9,R$16)/R119,0))</f>
        <v>0</v>
      </c>
      <c r="S120" s="101">
        <f>IF(_epmOfflineCondition_,1,IFERROR(_xll.EVGET($B$1,$H120,$B$3,S$17,$B$5,$G129,$B$7,S$18,$B$9,S$16)/S119,0))</f>
        <v>1</v>
      </c>
      <c r="T120" s="101">
        <f>IF(_epmOfflineCondition_,0,IFERROR(_xll.EVGET($B$1,$H120,$B$3,T$17,$B$5,$G129,$B$7,T$18,$B$9,T$16)/T119,0))</f>
        <v>0</v>
      </c>
      <c r="U120" s="101">
        <f>IF(_epmOfflineCondition_,0,IFERROR(_xll.EVGET($B$1,$H120,$B$3,U$17,$B$5,$G129,$B$7,U$18,$B$9,U$16)/U119,0))</f>
        <v>0</v>
      </c>
      <c r="V120" s="101">
        <f>IF(_epmOfflineCondition_,0,IFERROR(_xll.EVGET($B$1,$H120,$B$3,V$17,$B$5,$G129,$B$7,V$18,$B$9,V$16)/V119,0))</f>
        <v>0</v>
      </c>
      <c r="W120" s="101">
        <f>IF(_epmOfflineCondition_,0,IFERROR(_xll.EVGET($B$1,$H120,$B$3,W$17,$B$5,$G129,$B$7,W$18,$B$9,W$16)/W119,0))</f>
        <v>0</v>
      </c>
      <c r="X120" s="101">
        <f>IF(_epmOfflineCondition_,1,IFERROR(_xll.EVGET($B$1,$H120,$B$3,X$17,$B$5,$G129,$B$7,X$18,$B$9,X$16)/X119,0))</f>
        <v>1</v>
      </c>
      <c r="Y120" s="101">
        <f>IF(_epmOfflineCondition_,0,IFERROR(_xll.EVGET($B$1,$H120,$B$3,Y$17,$B$5,$G129,$B$7,Y$18,$B$9,Y$16)/Y119,0))</f>
        <v>0</v>
      </c>
      <c r="Z120" s="101">
        <f>IF(_epmOfflineCondition_,0,IFERROR(_xll.EVGET($B$1,$H120,$B$3,Z$17,$B$5,$G129,$B$7,Z$18,$B$9,Z$16)/Z119,0))</f>
        <v>0</v>
      </c>
      <c r="AA120" s="101">
        <f>IF(_epmOfflineCondition_,0.920963855975517,IFERROR(_xll.EVGET($B$1,$H120,$B$3,AA$17,$B$5,$G129,$B$7,AA$18,$B$9,AA$16)/AA119,0))</f>
        <v>0.920963855975517</v>
      </c>
      <c r="AB120" s="101"/>
      <c r="AC120" s="101"/>
      <c r="AD120" s="101">
        <f>IF(_epmOfflineCondition_,0,IFERROR(_xll.EVGET($B$1,$H120,$B$3,AD$17,$B$5,$G129,$B$7,AD$18,$B$9,AD$16)/AD119,0))</f>
        <v>0</v>
      </c>
      <c r="AE120" s="101"/>
      <c r="AF120" s="101"/>
      <c r="AG120" s="101">
        <f>IF(_epmOfflineCondition_,0.0221522670991577,IFERROR(_xll.EVGET($B$1,$H120,$B$3,AG$17,$B$5,$G129,$B$7,AG$18,$B$9,AG$16)/AG119,0))</f>
        <v>2.2152267099157699E-2</v>
      </c>
      <c r="AH120" s="101"/>
      <c r="AI120" s="101"/>
      <c r="AJ120" s="11"/>
      <c r="AK120" s="11"/>
      <c r="AL120" s="11"/>
      <c r="AM120" s="11"/>
      <c r="AN120" s="11"/>
      <c r="AO120" s="11"/>
    </row>
    <row r="121" spans="1:41" x14ac:dyDescent="0.35">
      <c r="A121" s="65" t="s">
        <v>8</v>
      </c>
      <c r="B121" s="66"/>
      <c r="C121" s="11"/>
      <c r="D121" s="11"/>
      <c r="E121" s="11"/>
      <c r="F121" s="11"/>
      <c r="G121" s="11"/>
      <c r="H121" s="59" t="s">
        <v>265</v>
      </c>
      <c r="I121" s="136" t="str">
        <f>IF(_epmOfflineCondition_,"T4",_xll.EVPRO($B$1,$H121,"STYLE"))</f>
        <v>T4</v>
      </c>
      <c r="J121" s="136" t="str">
        <f>IF(_epmOfflineCondition_,"Y",_xll.EVPRO($B$1,$H121,"CALC"))</f>
        <v>Y</v>
      </c>
      <c r="K121" s="11"/>
      <c r="L121" s="11"/>
      <c r="M121" s="11"/>
      <c r="N121" s="573" t="s">
        <v>804</v>
      </c>
      <c r="O121" s="101">
        <f>IF(_epmOfflineCondition_,0.120431346471484,IFERROR(_xll.EVGET($B$1,$H121,$B$3,O$17,$B$5,$G130,$B$7,O$18,$B$9,O$16)/O119,0))</f>
        <v>0.120431346471484</v>
      </c>
      <c r="P121" s="101">
        <f>IF(_epmOfflineCondition_,0,IFERROR(_xll.EVGET($B$1,$H121,$B$3,P$17,$B$5,$G130,$B$7,P$18,$B$9,P$16)/P119,0))</f>
        <v>0</v>
      </c>
      <c r="Q121" s="101">
        <f>IF(_epmOfflineCondition_,0,IFERROR(_xll.EVGET($B$1,$H121,$B$3,Q$17,$B$5,$G130,$B$7,Q$18,$B$9,Q$16)/Q119,0))</f>
        <v>0</v>
      </c>
      <c r="R121" s="101">
        <f>IF(_epmOfflineCondition_,0,IFERROR(_xll.EVGET($B$1,$H121,$B$3,R$17,$B$5,$G130,$B$7,R$18,$B$9,R$16)/R119,0))</f>
        <v>0</v>
      </c>
      <c r="S121" s="101">
        <f>IF(_epmOfflineCondition_,0,IFERROR(_xll.EVGET($B$1,$H121,$B$3,S$17,$B$5,$G130,$B$7,S$18,$B$9,S$16)/S119,0))</f>
        <v>0</v>
      </c>
      <c r="T121" s="101">
        <f>IF(_epmOfflineCondition_,0,IFERROR(_xll.EVGET($B$1,$H121,$B$3,T$17,$B$5,$G130,$B$7,T$18,$B$9,T$16)/T119,0))</f>
        <v>0</v>
      </c>
      <c r="U121" s="101">
        <f>IF(_epmOfflineCondition_,0,IFERROR(_xll.EVGET($B$1,$H121,$B$3,U$17,$B$5,$G130,$B$7,U$18,$B$9,U$16)/U119,0))</f>
        <v>0</v>
      </c>
      <c r="V121" s="101">
        <f>IF(_epmOfflineCondition_,0,IFERROR(_xll.EVGET($B$1,$H121,$B$3,V$17,$B$5,$G130,$B$7,V$18,$B$9,V$16)/V119,0))</f>
        <v>0</v>
      </c>
      <c r="W121" s="101">
        <f>IF(_epmOfflineCondition_,0,IFERROR(_xll.EVGET($B$1,$H121,$B$3,W$17,$B$5,$G130,$B$7,W$18,$B$9,W$16)/W119,0))</f>
        <v>0</v>
      </c>
      <c r="X121" s="101">
        <f>IF(_epmOfflineCondition_,0,IFERROR(_xll.EVGET($B$1,$H121,$B$3,X$17,$B$5,$G130,$B$7,X$18,$B$9,X$16)/X119,0))</f>
        <v>0</v>
      </c>
      <c r="Y121" s="101">
        <f>IF(_epmOfflineCondition_,0,IFERROR(_xll.EVGET($B$1,$H121,$B$3,Y$17,$B$5,$G130,$B$7,Y$18,$B$9,Y$16)/Y119,0))</f>
        <v>0</v>
      </c>
      <c r="Z121" s="101">
        <f>IF(_epmOfflineCondition_,0,IFERROR(_xll.EVGET($B$1,$H121,$B$3,Z$17,$B$5,$G130,$B$7,Z$18,$B$9,Z$16)/Z119,0))</f>
        <v>0</v>
      </c>
      <c r="AA121" s="101">
        <f>IF(_epmOfflineCondition_,0.0790361440244825,IFERROR(_xll.EVGET($B$1,$H121,$B$3,AA$17,$B$5,$G130,$B$7,AA$18,$B$9,AA$16)/AA119,0))</f>
        <v>7.9036144024482502E-2</v>
      </c>
      <c r="AB121" s="101"/>
      <c r="AC121" s="101"/>
      <c r="AD121" s="101">
        <f>IF(_epmOfflineCondition_,0,IFERROR(_xll.EVGET($B$1,$H121,$B$3,AD$17,$B$5,$G130,$B$7,AD$18,$B$9,AD$16)/AD119,0))</f>
        <v>0</v>
      </c>
      <c r="AE121" s="101"/>
      <c r="AF121" s="101"/>
      <c r="AG121" s="101">
        <f>IF(_epmOfflineCondition_,0.0714370313959814,IFERROR(_xll.EVGET($B$1,$H121,$B$3,AG$17,$B$5,$G130,$B$7,AG$18,$B$9,AG$16)/AG119,0))</f>
        <v>7.1437031395981399E-2</v>
      </c>
      <c r="AH121" s="101"/>
      <c r="AI121" s="101"/>
      <c r="AJ121" s="11"/>
      <c r="AK121" s="11"/>
      <c r="AL121" s="11"/>
      <c r="AM121" s="11"/>
      <c r="AN121" s="11"/>
      <c r="AO121" s="11"/>
    </row>
    <row r="122" spans="1:41" x14ac:dyDescent="0.35">
      <c r="A122" s="11"/>
      <c r="B122" s="11"/>
      <c r="C122" s="11"/>
      <c r="D122" s="11"/>
      <c r="E122" s="11"/>
      <c r="F122" s="11"/>
      <c r="G122" s="11"/>
      <c r="H122" s="59" t="s">
        <v>272</v>
      </c>
      <c r="I122" s="136" t="str">
        <f>IF(_epmOfflineCondition_,"T4",_xll.EVPRO($B$1,$H122,"STYLE"))</f>
        <v>T4</v>
      </c>
      <c r="J122" s="136" t="str">
        <f>IF(_epmOfflineCondition_,"Y",_xll.EVPRO($B$1,$H122,"CALC"))</f>
        <v>Y</v>
      </c>
      <c r="K122" s="11"/>
      <c r="L122" s="11"/>
      <c r="M122" s="11"/>
      <c r="N122" s="570" t="str">
        <f>IF(_epmOfflineCondition_,"Total Beverage Revenue",IF(_xll.EVDES(H122,$B$1)="#NODATA","",_xll.EVDES(H122,$B$1)))</f>
        <v>Total Beverage Revenue</v>
      </c>
      <c r="O122" s="571">
        <f>IF(_epmOfflineCondition_,1020,_xll.EVGET($B$1,$H122,$B$3,O$17,$B$5,$B$6,$B$7,O$18,$B$9,O$16))</f>
        <v>1020</v>
      </c>
      <c r="P122" s="571">
        <f>IF(_epmOfflineCondition_,3562.99,_xll.EVGET($B$1,$H122,$B$3,P$17,$B$5,$B$6,$B$7,P$18,$B$9,P$16))</f>
        <v>3562.99</v>
      </c>
      <c r="Q122" s="571">
        <f>IF(_epmOfflineCondition_,0,_xll.EVGET($B$1,$H122,$B$3,Q$17,$B$5,$B$6,$B$7,Q$18,$B$9,Q$16))</f>
        <v>0</v>
      </c>
      <c r="R122" s="571">
        <f>IF(_epmOfflineCondition_,0,_xll.EVGET($B$1,$H122,$B$3,R$17,$B$5,$B$6,$B$7,R$18,$B$9,R$16))</f>
        <v>0</v>
      </c>
      <c r="S122" s="571">
        <f>IF(_epmOfflineCondition_,0,_xll.EVGET($B$1,$H122,$B$3,S$17,$B$5,$B$6,$B$7,S$18,$B$9,S$16))</f>
        <v>0</v>
      </c>
      <c r="T122" s="571">
        <f>IF(_epmOfflineCondition_,0,_xll.EVGET($B$1,$H122,$B$3,T$17,$B$5,$B$6,$B$7,T$18,$B$9,T$16))</f>
        <v>0</v>
      </c>
      <c r="U122" s="571">
        <f>IF(_epmOfflineCondition_,0,_xll.EVGET($B$1,$H122,$B$3,U$17,$B$5,$B$6,$B$7,U$18,$B$9,U$16))</f>
        <v>0</v>
      </c>
      <c r="V122" s="571">
        <f>IF(_epmOfflineCondition_,0,_xll.EVGET($B$1,$H122,$B$3,V$17,$B$5,$B$6,$B$7,V$18,$B$9,V$16))</f>
        <v>0</v>
      </c>
      <c r="W122" s="571">
        <f>IF(_epmOfflineCondition_,504,_xll.EVGET($B$1,$H122,$B$3,W$17,$B$5,$B$6,$B$7,W$18,$B$9,W$16))</f>
        <v>504</v>
      </c>
      <c r="X122" s="571">
        <f>IF(_epmOfflineCondition_,0,_xll.EVGET($B$1,$H122,$B$3,X$17,$B$5,$B$6,$B$7,X$18,$B$9,X$16))</f>
        <v>0</v>
      </c>
      <c r="Y122" s="571">
        <f>IF(_epmOfflineCondition_,0,_xll.EVGET($B$1,$H122,$B$3,Y$17,$B$5,$B$6,$B$7,Y$18,$B$9,Y$16))</f>
        <v>0</v>
      </c>
      <c r="Z122" s="571">
        <f>IF(_epmOfflineCondition_,0,_xll.EVGET($B$1,$H122,$B$3,Z$17,$B$5,$B$6,$B$7,Z$18,$B$9,Z$16))</f>
        <v>0</v>
      </c>
      <c r="AA122" s="571">
        <f>IF(_epmOfflineCondition_,5086.99,_xll.EVGET($B$1,$H122,$B$3,AA$17,$B$5,$B$6,$B$7,AA$18,$B$9,AA$16))</f>
        <v>5086.99</v>
      </c>
      <c r="AB122" s="571"/>
      <c r="AC122" s="571"/>
      <c r="AD122" s="571">
        <f>IF(_epmOfflineCondition_,32818.435344,_xll.EVGET($B$1,$H122,$B$3,AD$17,$B$5,$B$6,$B$7,AD$18,$B$9,AD$16))</f>
        <v>32818.435343999998</v>
      </c>
      <c r="AE122" s="571"/>
      <c r="AF122" s="571"/>
      <c r="AG122" s="571">
        <f>IF(_epmOfflineCondition_,11963.67,_xll.EVGET($B$1,$H122,$B$3,AG$17,$B$5,$B$6,$B$7,AG$18,$B$9,AG$16))</f>
        <v>11963.67</v>
      </c>
      <c r="AH122" s="571"/>
      <c r="AI122" s="571"/>
      <c r="AJ122" s="11"/>
      <c r="AK122" s="11"/>
      <c r="AL122" s="11"/>
      <c r="AM122" s="11"/>
      <c r="AN122" s="11"/>
      <c r="AO122" s="11"/>
    </row>
    <row r="123" spans="1:41" x14ac:dyDescent="0.35">
      <c r="A123" s="11"/>
      <c r="B123" s="11"/>
      <c r="C123" s="11"/>
      <c r="D123" s="11"/>
      <c r="E123" s="11"/>
      <c r="F123" s="11"/>
      <c r="G123" s="11"/>
      <c r="H123" s="59" t="s">
        <v>272</v>
      </c>
      <c r="I123" s="136" t="str">
        <f>IF(_epmOfflineCondition_,"T4",_xll.EVPRO($B$1,$H123,"STYLE"))</f>
        <v>T4</v>
      </c>
      <c r="J123" s="136" t="str">
        <f>IF(_epmOfflineCondition_,"Y",_xll.EVPRO($B$1,$H123,"CALC"))</f>
        <v>Y</v>
      </c>
      <c r="K123" s="11"/>
      <c r="L123" s="11"/>
      <c r="M123" s="11"/>
      <c r="N123" s="573" t="s">
        <v>803</v>
      </c>
      <c r="O123" s="101">
        <f>IF(_epmOfflineCondition_,1,IFERROR(_xll.EVGET($B$1,$H123,$B$3,O$17,$B$5,$G132,$B$7,O$18,$B$9,O$16)/O122,0))</f>
        <v>1</v>
      </c>
      <c r="P123" s="101">
        <f>IF(_epmOfflineCondition_,1,IFERROR(_xll.EVGET($B$1,$H123,$B$3,P$17,$B$5,$G132,$B$7,P$18,$B$9,P$16)/P122,0))</f>
        <v>1</v>
      </c>
      <c r="Q123" s="101">
        <f>IF(_epmOfflineCondition_,0,IFERROR(_xll.EVGET($B$1,$H123,$B$3,Q$17,$B$5,$G132,$B$7,Q$18,$B$9,Q$16)/Q122,0))</f>
        <v>0</v>
      </c>
      <c r="R123" s="101">
        <f>IF(_epmOfflineCondition_,0,IFERROR(_xll.EVGET($B$1,$H123,$B$3,R$17,$B$5,$G132,$B$7,R$18,$B$9,R$16)/R122,0))</f>
        <v>0</v>
      </c>
      <c r="S123" s="101">
        <f>IF(_epmOfflineCondition_,0,IFERROR(_xll.EVGET($B$1,$H123,$B$3,S$17,$B$5,$G132,$B$7,S$18,$B$9,S$16)/S122,0))</f>
        <v>0</v>
      </c>
      <c r="T123" s="101">
        <f>IF(_epmOfflineCondition_,0,IFERROR(_xll.EVGET($B$1,$H123,$B$3,T$17,$B$5,$G132,$B$7,T$18,$B$9,T$16)/T122,0))</f>
        <v>0</v>
      </c>
      <c r="U123" s="101">
        <f>IF(_epmOfflineCondition_,0,IFERROR(_xll.EVGET($B$1,$H123,$B$3,U$17,$B$5,$G132,$B$7,U$18,$B$9,U$16)/U122,0))</f>
        <v>0</v>
      </c>
      <c r="V123" s="101">
        <f>IF(_epmOfflineCondition_,0,IFERROR(_xll.EVGET($B$1,$H123,$B$3,V$17,$B$5,$G132,$B$7,V$18,$B$9,V$16)/V122,0))</f>
        <v>0</v>
      </c>
      <c r="W123" s="101">
        <f>IF(_epmOfflineCondition_,1,IFERROR(_xll.EVGET($B$1,$H123,$B$3,W$17,$B$5,$G132,$B$7,W$18,$B$9,W$16)/W122,0))</f>
        <v>1</v>
      </c>
      <c r="X123" s="101">
        <f>IF(_epmOfflineCondition_,0,IFERROR(_xll.EVGET($B$1,$H123,$B$3,X$17,$B$5,$G132,$B$7,X$18,$B$9,X$16)/X122,0))</f>
        <v>0</v>
      </c>
      <c r="Y123" s="101">
        <f>IF(_epmOfflineCondition_,0,IFERROR(_xll.EVGET($B$1,$H123,$B$3,Y$17,$B$5,$G132,$B$7,Y$18,$B$9,Y$16)/Y122,0))</f>
        <v>0</v>
      </c>
      <c r="Z123" s="101">
        <f>IF(_epmOfflineCondition_,0,IFERROR(_xll.EVGET($B$1,$H123,$B$3,Z$17,$B$5,$G132,$B$7,Z$18,$B$9,Z$16)/Z122,0))</f>
        <v>0</v>
      </c>
      <c r="AA123" s="101">
        <f>IF(_epmOfflineCondition_,1,IFERROR(_xll.EVGET($B$1,$H123,$B$3,AA$17,$B$5,$G132,$B$7,AA$18,$B$9,AA$16)/AA122,0))</f>
        <v>1</v>
      </c>
      <c r="AB123" s="101"/>
      <c r="AC123" s="101"/>
      <c r="AD123" s="101">
        <f>IF(_epmOfflineCondition_,0,IFERROR(_xll.EVGET($B$1,$H123,$B$3,AD$17,$B$5,$G132,$B$7,AD$18,$B$9,AD$16)/AD122,0))</f>
        <v>0</v>
      </c>
      <c r="AE123" s="101"/>
      <c r="AF123" s="101"/>
      <c r="AG123" s="101">
        <f>IF(_epmOfflineCondition_,0,IFERROR(_xll.EVGET($B$1,$H123,$B$3,AG$17,$B$5,$G132,$B$7,AG$18,$B$9,AG$16)/AG122,0))</f>
        <v>0</v>
      </c>
      <c r="AH123" s="101"/>
      <c r="AI123" s="101"/>
      <c r="AJ123" s="11"/>
      <c r="AK123" s="11"/>
      <c r="AL123" s="11"/>
      <c r="AM123" s="11"/>
      <c r="AN123" s="11"/>
      <c r="AO123" s="11"/>
    </row>
    <row r="124" spans="1:41" x14ac:dyDescent="0.35">
      <c r="A124" s="62" t="s">
        <v>23</v>
      </c>
      <c r="B124" s="63" t="s">
        <v>24</v>
      </c>
      <c r="C124" s="11"/>
      <c r="D124" s="11"/>
      <c r="E124" s="11"/>
      <c r="F124" s="11"/>
      <c r="G124" s="11"/>
      <c r="H124" s="59" t="s">
        <v>272</v>
      </c>
      <c r="I124" s="136" t="str">
        <f>IF(_epmOfflineCondition_,"T4",_xll.EVPRO($B$1,$H124,"STYLE"))</f>
        <v>T4</v>
      </c>
      <c r="J124" s="136" t="str">
        <f>IF(_epmOfflineCondition_,"Y",_xll.EVPRO($B$1,$H124,"CALC"))</f>
        <v>Y</v>
      </c>
      <c r="K124" s="11"/>
      <c r="L124" s="11"/>
      <c r="M124" s="11"/>
      <c r="N124" s="573" t="s">
        <v>804</v>
      </c>
      <c r="O124" s="101">
        <f>IF(_epmOfflineCondition_,0,IFERROR(_xll.EVGET($B$1,$H124,$B$3,O$17,$B$5,$G133,$B$7,O$18,$B$9,O$16)/O122,0))</f>
        <v>0</v>
      </c>
      <c r="P124" s="101">
        <f>IF(_epmOfflineCondition_,0,IFERROR(_xll.EVGET($B$1,$H124,$B$3,P$17,$B$5,$G133,$B$7,P$18,$B$9,P$16)/P122,0))</f>
        <v>0</v>
      </c>
      <c r="Q124" s="101">
        <f>IF(_epmOfflineCondition_,0,IFERROR(_xll.EVGET($B$1,$H124,$B$3,Q$17,$B$5,$G133,$B$7,Q$18,$B$9,Q$16)/Q122,0))</f>
        <v>0</v>
      </c>
      <c r="R124" s="101">
        <f>IF(_epmOfflineCondition_,0,IFERROR(_xll.EVGET($B$1,$H124,$B$3,R$17,$B$5,$G133,$B$7,R$18,$B$9,R$16)/R122,0))</f>
        <v>0</v>
      </c>
      <c r="S124" s="101">
        <f>IF(_epmOfflineCondition_,0,IFERROR(_xll.EVGET($B$1,$H124,$B$3,S$17,$B$5,$G133,$B$7,S$18,$B$9,S$16)/S122,0))</f>
        <v>0</v>
      </c>
      <c r="T124" s="101">
        <f>IF(_epmOfflineCondition_,0,IFERROR(_xll.EVGET($B$1,$H124,$B$3,T$17,$B$5,$G133,$B$7,T$18,$B$9,T$16)/T122,0))</f>
        <v>0</v>
      </c>
      <c r="U124" s="101">
        <f>IF(_epmOfflineCondition_,0,IFERROR(_xll.EVGET($B$1,$H124,$B$3,U$17,$B$5,$G133,$B$7,U$18,$B$9,U$16)/U122,0))</f>
        <v>0</v>
      </c>
      <c r="V124" s="101">
        <f>IF(_epmOfflineCondition_,0,IFERROR(_xll.EVGET($B$1,$H124,$B$3,V$17,$B$5,$G133,$B$7,V$18,$B$9,V$16)/V122,0))</f>
        <v>0</v>
      </c>
      <c r="W124" s="101">
        <f>IF(_epmOfflineCondition_,0,IFERROR(_xll.EVGET($B$1,$H124,$B$3,W$17,$B$5,$G133,$B$7,W$18,$B$9,W$16)/W122,0))</f>
        <v>0</v>
      </c>
      <c r="X124" s="101">
        <f>IF(_epmOfflineCondition_,0,IFERROR(_xll.EVGET($B$1,$H124,$B$3,X$17,$B$5,$G133,$B$7,X$18,$B$9,X$16)/X122,0))</f>
        <v>0</v>
      </c>
      <c r="Y124" s="101">
        <f>IF(_epmOfflineCondition_,0,IFERROR(_xll.EVGET($B$1,$H124,$B$3,Y$17,$B$5,$G133,$B$7,Y$18,$B$9,Y$16)/Y122,0))</f>
        <v>0</v>
      </c>
      <c r="Z124" s="101">
        <f>IF(_epmOfflineCondition_,0,IFERROR(_xll.EVGET($B$1,$H124,$B$3,Z$17,$B$5,$G133,$B$7,Z$18,$B$9,Z$16)/Z122,0))</f>
        <v>0</v>
      </c>
      <c r="AA124" s="101">
        <f>IF(_epmOfflineCondition_,0,IFERROR(_xll.EVGET($B$1,$H124,$B$3,AA$17,$B$5,$G133,$B$7,AA$18,$B$9,AA$16)/AA122,0))</f>
        <v>0</v>
      </c>
      <c r="AB124" s="101"/>
      <c r="AC124" s="101"/>
      <c r="AD124" s="101">
        <f>IF(_epmOfflineCondition_,0,IFERROR(_xll.EVGET($B$1,$H124,$B$3,AD$17,$B$5,$G133,$B$7,AD$18,$B$9,AD$16)/AD122,0))</f>
        <v>0</v>
      </c>
      <c r="AE124" s="101"/>
      <c r="AF124" s="101"/>
      <c r="AG124" s="101">
        <f>IF(_epmOfflineCondition_,0.0859268100841966,IFERROR(_xll.EVGET($B$1,$H124,$B$3,AG$17,$B$5,$G133,$B$7,AG$18,$B$9,AG$16)/AG122,0))</f>
        <v>8.59268100841966E-2</v>
      </c>
      <c r="AH124" s="101"/>
      <c r="AI124" s="101"/>
      <c r="AJ124" s="11"/>
      <c r="AK124" s="11"/>
      <c r="AL124" s="11"/>
      <c r="AM124" s="11"/>
      <c r="AN124" s="11"/>
      <c r="AO124" s="11"/>
    </row>
    <row r="125" spans="1:41" x14ac:dyDescent="0.35">
      <c r="A125" s="65" t="s">
        <v>28</v>
      </c>
      <c r="B125" s="66"/>
      <c r="C125" s="11"/>
      <c r="D125" s="11"/>
      <c r="E125" s="11"/>
      <c r="F125" s="11"/>
      <c r="G125" s="59"/>
      <c r="H125" s="11"/>
      <c r="I125" s="267"/>
      <c r="J125" s="11"/>
      <c r="K125" s="267"/>
      <c r="L125" s="267"/>
      <c r="M125" s="267"/>
      <c r="N125" s="11"/>
      <c r="O125" s="267"/>
      <c r="P125" s="267"/>
      <c r="Q125" s="267"/>
      <c r="R125" s="267"/>
      <c r="S125" s="267"/>
      <c r="T125" s="267"/>
      <c r="U125" s="267"/>
      <c r="V125" s="267"/>
      <c r="W125" s="267"/>
      <c r="X125" s="267"/>
      <c r="Y125" s="267"/>
      <c r="Z125" s="267"/>
      <c r="AA125" s="267"/>
      <c r="AB125" s="11"/>
      <c r="AC125" s="11"/>
      <c r="AD125" s="267"/>
      <c r="AE125" s="11"/>
      <c r="AF125" s="267"/>
      <c r="AG125" s="11"/>
      <c r="AH125" s="267"/>
      <c r="AI125" s="11"/>
      <c r="AJ125" s="11"/>
      <c r="AK125" s="11"/>
      <c r="AL125" s="11"/>
      <c r="AM125" s="11"/>
      <c r="AN125" s="11"/>
      <c r="AO125" s="11"/>
    </row>
    <row r="126" spans="1:41" x14ac:dyDescent="0.35">
      <c r="A126" s="65" t="s">
        <v>29</v>
      </c>
      <c r="B126" s="66"/>
      <c r="C126" s="11"/>
      <c r="D126" s="11"/>
      <c r="E126" s="11"/>
      <c r="F126" s="11"/>
      <c r="G126" s="59" t="s">
        <v>805</v>
      </c>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30</v>
      </c>
      <c r="B127" s="66" t="s">
        <v>78</v>
      </c>
      <c r="C127" s="11"/>
      <c r="D127" s="11"/>
      <c r="E127" s="11"/>
      <c r="F127" s="11"/>
      <c r="G127" s="59" t="s">
        <v>806</v>
      </c>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31</v>
      </c>
      <c r="B128" s="66" t="s">
        <v>78</v>
      </c>
      <c r="C128" s="11"/>
      <c r="D128" s="11"/>
      <c r="E128" s="11"/>
      <c r="F128" s="11"/>
      <c r="G128" s="59"/>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32</v>
      </c>
      <c r="B129" s="66"/>
      <c r="C129" s="11"/>
      <c r="D129" s="11"/>
      <c r="E129" s="11"/>
      <c r="F129" s="11"/>
      <c r="G129" s="59" t="s">
        <v>805</v>
      </c>
      <c r="H129" s="11"/>
      <c r="I129" s="267"/>
      <c r="J129" s="11"/>
      <c r="K129" s="267"/>
      <c r="L129" s="267"/>
      <c r="M129" s="267"/>
      <c r="N129" s="11"/>
      <c r="O129" s="267"/>
      <c r="P129" s="267"/>
      <c r="Q129" s="267"/>
      <c r="R129" s="267"/>
      <c r="S129" s="267"/>
      <c r="T129" s="267"/>
      <c r="U129" s="267"/>
      <c r="V129" s="267"/>
      <c r="W129" s="267"/>
      <c r="X129" s="267"/>
      <c r="Y129" s="267"/>
      <c r="Z129" s="267"/>
      <c r="AA129" s="267"/>
      <c r="AB129" s="11"/>
      <c r="AC129" s="11"/>
      <c r="AD129" s="267"/>
      <c r="AE129" s="11"/>
      <c r="AF129" s="267"/>
      <c r="AG129" s="11"/>
      <c r="AH129" s="267"/>
      <c r="AI129" s="11"/>
      <c r="AJ129" s="11"/>
      <c r="AK129" s="11"/>
      <c r="AL129" s="11"/>
      <c r="AM129" s="11"/>
      <c r="AN129" s="11"/>
      <c r="AO129" s="11"/>
    </row>
    <row r="130" spans="1:41" hidden="1" outlineLevel="1" x14ac:dyDescent="0.35">
      <c r="A130" s="65" t="s">
        <v>33</v>
      </c>
      <c r="B130" s="66"/>
      <c r="C130" s="11"/>
      <c r="D130" s="11"/>
      <c r="E130" s="11"/>
      <c r="F130" s="11"/>
      <c r="G130" s="59" t="s">
        <v>806</v>
      </c>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hidden="1" outlineLevel="1" x14ac:dyDescent="0.35">
      <c r="A131" s="11"/>
      <c r="B131" s="11"/>
      <c r="C131" s="11"/>
      <c r="D131" s="11"/>
      <c r="E131" s="11"/>
      <c r="F131" s="11"/>
      <c r="G131" s="59"/>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collapsed="1" x14ac:dyDescent="0.35">
      <c r="A132" s="11"/>
      <c r="B132" s="11"/>
      <c r="C132" s="11"/>
      <c r="D132" s="11"/>
      <c r="E132" s="11"/>
      <c r="F132" s="11"/>
      <c r="G132" s="59" t="s">
        <v>805</v>
      </c>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11"/>
      <c r="B133" s="11"/>
      <c r="C133" s="11"/>
      <c r="D133" s="11"/>
      <c r="E133" s="11"/>
      <c r="F133" s="11"/>
      <c r="G133" s="59" t="s">
        <v>806</v>
      </c>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sheetData>
  <sheetProtection algorithmName="SHA-512" hashValue="+hjzFxtvv6J9GtZGEN1skNx9wgitMZzXiOHzPueB6CwR01qdoyO5saNq8BGdjlWayWxJ+t/oN8nKKxjuRaU3+g==" saltValue="aTp2N1nfT+mwGK8nP2zN3w==" spinCount="100000" sheet="1" scenarios="1"/>
  <mergeCells count="2">
    <mergeCell ref="AD31:AE31"/>
    <mergeCell ref="AG31:AH31"/>
  </mergeCells>
  <dataValidations count="2">
    <dataValidation type="list" allowBlank="1" sqref="B94 B28 B61" xr:uid="{00000000-0002-0000-1700-000000000000}">
      <formula1>"ACCOUNT,BUSINESSUNIT,CATEGORY,DATASRC,DEPARTMENT,INTCO,MEASURES,RPTCURRENCY,TIME"</formula1>
    </dataValidation>
    <dataValidation type="list" allowBlank="1" sqref="B95 B29 B62" xr:uid="{00000000-0002-0000-1700-000001000000}">
      <formula1>"SELF,ALL,BAS,DEP,BASMEMBERS,MEMBERS,NOEXPAND,GDEP"</formula1>
    </dataValidation>
  </dataValidations>
  <pageMargins left="0.25" right="0.25" top="0.5" bottom="0.5" header="0.3" footer="0.3"/>
  <pageSetup scale="49"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4133" r:id="rId7" name="FPMExcelClientSheetOptionstb1">
          <controlPr defaultSize="0" autoLine="0" autoPict="0" r:id="rId8">
            <anchor moveWithCells="1" sizeWithCells="1">
              <from>
                <xdr:col>0</xdr:col>
                <xdr:colOff>0</xdr:colOff>
                <xdr:row>0</xdr:row>
                <xdr:rowOff>0</xdr:rowOff>
              </from>
              <to>
                <xdr:col>1</xdr:col>
                <xdr:colOff>19050</xdr:colOff>
                <xdr:row>0</xdr:row>
                <xdr:rowOff>12700</xdr:rowOff>
              </to>
            </anchor>
          </controlPr>
        </control>
      </mc:Choice>
      <mc:Fallback>
        <control shapeId="304133" r:id="rId7" name="FPMExcelClientSheetOptionstb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1">
    <tabColor theme="6" tint="0.39997558519241921"/>
    <pageSetUpPr fitToPage="1"/>
  </sheetPr>
  <dimension ref="A1:AI20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347</v>
      </c>
      <c r="C6" s="11" t="str">
        <f>IF(_epmOfflineCondition_,"Banquet-Catering &amp; CS",_xll.EVDES(B6,$B$1))</f>
        <v>Banquet-Catering &amp; CS</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IF(_epmOfflineCondition_,"'BCC_CONS_KPI'!$B$2:$B$10",_xll.EVRNG($B$2:$B$10))</f>
        <v>'BCC_CONS_KPI'!$B$2:$B$10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IF(_epmOfflineCondition_,"'BCC_CONS_KPI'!$O$16:$AI$18",_xll.EVRNG(O16:AI18))</f>
        <v>'BCC_CONS_KPI'!$O$16:$AI$18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IF(_epmOfflineCondition_,"'BCC_CONS_KPI'!$H$35:$H$142",_xll.EVRNG(H35:H142))</f>
        <v>'BCC_CONS_KPI'!$H$35:$H$142</v>
      </c>
      <c r="C19" s="11"/>
      <c r="D19" s="11"/>
      <c r="E19" s="11"/>
      <c r="F19" s="11"/>
      <c r="G19" s="67" t="str">
        <f>$B$6</f>
        <v>D_BCC_CON</v>
      </c>
      <c r="H19" s="67" t="s">
        <v>273</v>
      </c>
      <c r="I19" s="68"/>
      <c r="J19" s="68"/>
      <c r="K19" s="67"/>
      <c r="L19" s="67"/>
      <c r="M19" s="67"/>
      <c r="N19" s="67" t="str">
        <f>IF(_epmOfflineCondition_,"Total Food &amp; Beverage Revenue",_xll.EVDES(H19))</f>
        <v>Total Food &amp; Beverage Revenue</v>
      </c>
      <c r="O19" s="69">
        <f>IF(_epmOfflineCondition_,23862.89,_xll.EVGTS($B$1,1,$B$3,$B$5,$B$7,$B$9,O$16,O$17,O$18,$G$19,$H$19))</f>
        <v>23862.89</v>
      </c>
      <c r="P19" s="69">
        <f>IF(_epmOfflineCondition_,26790.99,_xll.EVGTS($B$1,1,$B$3,$B$5,$B$7,$B$9,P$16,P$17,P$18,$G$19,$H$19))</f>
        <v>26790.99</v>
      </c>
      <c r="Q19" s="69">
        <f>IF(_epmOfflineCondition_,-375,_xll.EVGTS($B$1,1,$B$3,$B$5,$B$7,$B$9,Q$16,Q$17,Q$18,$G$19,$H$19))</f>
        <v>-375</v>
      </c>
      <c r="R19" s="69">
        <f>IF(_epmOfflineCondition_,0,_xll.EVGTS($B$1,1,$B$3,$B$5,$B$7,$B$9,R$16,R$17,R$18,$G$19,$H$19))</f>
        <v>0</v>
      </c>
      <c r="S19" s="69">
        <f>IF(_epmOfflineCondition_,-11139.03,_xll.EVGTS($B$1,1,$B$3,$B$5,$B$7,$B$9,S$16,S$17,S$18,$G$19,$H$19))</f>
        <v>-11139.03</v>
      </c>
      <c r="T19" s="69">
        <f>IF(_epmOfflineCondition_,0,_xll.EVGTS($B$1,1,$B$3,$B$5,$B$7,$B$9,T$16,T$17,T$18,$G$19,$H$19))</f>
        <v>0</v>
      </c>
      <c r="U19" s="69">
        <f>IF(_epmOfflineCondition_,0,_xll.EVGTS($B$1,1,$B$3,$B$5,$B$7,$B$9,U$16,U$17,U$18,$G$19,$H$19))</f>
        <v>0</v>
      </c>
      <c r="V19" s="69">
        <f>IF(_epmOfflineCondition_,0,_xll.EVGTS($B$1,1,$B$3,$B$5,$B$7,$B$9,V$16,V$17,V$18,$G$19,$H$19))</f>
        <v>0</v>
      </c>
      <c r="W19" s="69">
        <f>IF(_epmOfflineCondition_,504,_xll.EVGTS($B$1,1,$B$3,$B$5,$B$7,$B$9,W$16,W$17,W$18,$G$19,$H$19))</f>
        <v>504</v>
      </c>
      <c r="X19" s="69">
        <f>IF(_epmOfflineCondition_,250,_xll.EVGTS($B$1,1,$B$3,$B$5,$B$7,$B$9,X$16,X$17,X$18,$G$19,$H$19))</f>
        <v>250</v>
      </c>
      <c r="Y19" s="69">
        <f>IF(_epmOfflineCondition_,0,_xll.EVGTS($B$1,1,$B$3,$B$5,$B$7,$B$9,Y$16,Y$17,Y$18,$G$19,$H$19))</f>
        <v>0</v>
      </c>
      <c r="Z19" s="69">
        <f>IF(_epmOfflineCondition_,0,_xll.EVGTS($B$1,1,$B$3,$B$5,$B$7,$B$9,Z$16,Z$17,Z$18,$G$19,$H$19))</f>
        <v>0</v>
      </c>
      <c r="AA19" s="69">
        <f>SUM(O19:Z19)</f>
        <v>39893.850000000006</v>
      </c>
      <c r="AB19" s="67"/>
      <c r="AC19" s="67"/>
      <c r="AD19" s="69">
        <f>IF(_epmOfflineCondition_,237948.57,_xll.EVGTS($B$1,1,$B$3,$B$5,$B$7,$B$9,AD$16,AD$17,AD$18,$G$19,$H$19))</f>
        <v>237948.57</v>
      </c>
      <c r="AE19" s="67"/>
      <c r="AF19" s="67"/>
      <c r="AG19" s="69">
        <f>IF(_epmOfflineCondition_,129829.71,_xll.EVGTS($B$1,1,$B$3,$B$5,$B$7,$B$9,AG$16,AG$17,AG$18,$G$19,$H$19))</f>
        <v>129829.71</v>
      </c>
      <c r="AH19" s="67"/>
      <c r="AI19" s="67"/>
    </row>
    <row r="20" spans="1:35" hidden="1" outlineLevel="1" x14ac:dyDescent="0.35">
      <c r="A20" s="65" t="s">
        <v>5</v>
      </c>
      <c r="B20" s="66"/>
      <c r="C20" s="11"/>
      <c r="D20" s="11"/>
      <c r="E20" s="11"/>
      <c r="F20" s="11"/>
      <c r="G20" s="67" t="str">
        <f>$B$6</f>
        <v>D_BCC_CON</v>
      </c>
      <c r="H20" s="67">
        <v>946000</v>
      </c>
      <c r="I20" s="68"/>
      <c r="J20" s="68"/>
      <c r="K20" s="67"/>
      <c r="L20" s="67"/>
      <c r="M20" s="67"/>
      <c r="N20" s="67" t="str">
        <f>IF(_epmOfflineCondition_,"Total Customers",_xll.EVDES(H20))</f>
        <v>Total Customers</v>
      </c>
      <c r="O20" s="69">
        <f>IF(_epmOfflineCondition_,479,_xll.EVGTS($B$1,1,$B$3,$B$5,$B$7,$B$9,O$16,O$17,O$18,$G$20,$H$20))</f>
        <v>479</v>
      </c>
      <c r="P20" s="69">
        <f>IF(_epmOfflineCondition_,693,_xll.EVGTS($B$1,1,$B$3,$B$5,$B$7,$B$9,P$16,P$17,P$18,$G$20,$H$20))</f>
        <v>693</v>
      </c>
      <c r="Q20" s="69">
        <f>IF(_epmOfflineCondition_,10,_xll.EVGTS($B$1,1,$B$3,$B$5,$B$7,$B$9,Q$16,Q$17,Q$18,$G$20,$H$20))</f>
        <v>10</v>
      </c>
      <c r="R20" s="69">
        <f>IF(_epmOfflineCondition_,0,_xll.EVGTS($B$1,1,$B$3,$B$5,$B$7,$B$9,R$16,R$17,R$18,$G$20,$H$20))</f>
        <v>0</v>
      </c>
      <c r="S20" s="69">
        <f>IF(_epmOfflineCondition_,-280,_xll.EVGTS($B$1,1,$B$3,$B$5,$B$7,$B$9,S$16,S$17,S$18,$G$20,$H$20))</f>
        <v>-280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IF(_epmOfflineCondition_,10,_xll.EVGTS($B$1,1,$B$3,$B$5,$B$7,$B$9,X$16,X$17,X$18,$G$20,$H$20))</f>
        <v>10</v>
      </c>
      <c r="Y20" s="69">
        <f>IF(_epmOfflineCondition_,0,_xll.EVGTS($B$1,1,$B$3,$B$5,$B$7,$B$9,Y$16,Y$17,Y$18,$G$20,$H$20))</f>
        <v>0</v>
      </c>
      <c r="Z20" s="69">
        <f>IF(_epmOfflineCondition_,0,_xll.EVGTS($B$1,1,$B$3,$B$5,$B$7,$B$9,Z$16,Z$17,Z$18,$G$20,$H$20))</f>
        <v>0</v>
      </c>
      <c r="AA20" s="69">
        <f>SUM(O20:Z20)</f>
        <v>912</v>
      </c>
      <c r="AB20" s="67"/>
      <c r="AC20" s="67"/>
      <c r="AD20" s="69">
        <f>IF(_epmOfflineCondition_,4517,_xll.EVGTS($B$1,1,$B$3,$B$5,$B$7,$B$9,AD$16,AD$17,AD$18,$G$20,$H$20))</f>
        <v>4517</v>
      </c>
      <c r="AE20" s="67"/>
      <c r="AF20" s="67"/>
      <c r="AG20" s="69">
        <f>IF(_epmOfflineCondition_,2746,_xll.EVGTS($B$1,1,$B$3,$B$5,$B$7,$B$9,AG$16,AG$17,AG$18,$G$20,$H$20))</f>
        <v>2746</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IF(_epmOfflineCondition_,"'BCC_CONS_KPI'!$A$37:$B$58",_xll.EVRNG($A$37:$B$58))</f>
        <v>'BCC_CONS_KPI'!$A$37:$B$58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IF(_epmOfflineCondition_,"Banquet-Catering &amp; CS Department",IF($N$1="",IF(_xll.EVDES(B6,$B$1)="#NODATA","",_xll.EVDES(B6,$B$1)&amp;" Department"),$N$1))</f>
        <v>Banquet-Catering &amp; CS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v>8064.89</v>
      </c>
      <c r="P35" s="143">
        <v>6815</v>
      </c>
      <c r="Q35" s="143"/>
      <c r="R35" s="143"/>
      <c r="S35" s="143">
        <v>-4502</v>
      </c>
      <c r="T35" s="143"/>
      <c r="U35" s="143"/>
      <c r="V35" s="143"/>
      <c r="W35" s="143"/>
      <c r="X35" s="143"/>
      <c r="Y35" s="143"/>
      <c r="Z35" s="143"/>
      <c r="AA35" s="143">
        <f t="shared" ref="AA35:AA41" si="0">SUM(O35:Z35)</f>
        <v>10377.89</v>
      </c>
      <c r="AB35" s="144">
        <f>IF(AA35=0,"",IFERROR(AA35/AA$19,""))</f>
        <v>0.26013759012980692</v>
      </c>
      <c r="AC35" s="140"/>
      <c r="AD35" s="143">
        <v>72858.789999999994</v>
      </c>
      <c r="AE35" s="144">
        <f>IF(AD35=0,"",IFERROR(AD35/AD$19,""))</f>
        <v>0.30619553628752627</v>
      </c>
      <c r="AF35" s="145">
        <f t="shared" ref="AF35:AF42" si="1">IF(AND($AA35="",AD35=""),"",$AA35-AD35)</f>
        <v>-62480.899999999994</v>
      </c>
      <c r="AG35" s="143">
        <v>37270.629999999997</v>
      </c>
      <c r="AH35" s="144">
        <f>IF(AG35=0,"",IFERROR(AG35/AG$19,""))</f>
        <v>0.28707319765252498</v>
      </c>
      <c r="AI35" s="145">
        <f t="shared" ref="AI35:AI42" si="2">IF(AND($AA35="",AG35=""),"",$AA35-AG35)</f>
        <v>-26892.739999999998</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v>258.99</v>
      </c>
      <c r="Q36" s="143"/>
      <c r="R36" s="143"/>
      <c r="S36" s="143"/>
      <c r="T36" s="143"/>
      <c r="U36" s="143"/>
      <c r="V36" s="143"/>
      <c r="W36" s="143"/>
      <c r="X36" s="143"/>
      <c r="Y36" s="143"/>
      <c r="Z36" s="143"/>
      <c r="AA36" s="143">
        <f t="shared" si="0"/>
        <v>258.99</v>
      </c>
      <c r="AB36" s="144">
        <f>IF(AA36=0,"",IFERROR(AA36/AA$19,""))</f>
        <v>6.4919780868479722E-3</v>
      </c>
      <c r="AC36" s="140"/>
      <c r="AD36" s="143"/>
      <c r="AE36" s="144" t="str">
        <f>IF(AD36=0,"",IFERROR(AD36/AD$19,""))</f>
        <v/>
      </c>
      <c r="AF36" s="145">
        <f t="shared" si="1"/>
        <v>258.99</v>
      </c>
      <c r="AG36" s="143"/>
      <c r="AH36" s="144" t="str">
        <f>IF(AG36=0,"",IFERROR(AG36/AG$19,""))</f>
        <v/>
      </c>
      <c r="AI36" s="145">
        <f t="shared" si="2"/>
        <v>258.99</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v>8</v>
      </c>
      <c r="AH37" s="144">
        <f>IF(AG37=0,"",IFERROR(AG37/AG$19,""))</f>
        <v>6.1619177921602074E-5</v>
      </c>
      <c r="AI37" s="145">
        <f t="shared" si="2"/>
        <v>-8</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v>1020</v>
      </c>
      <c r="AH38" s="219">
        <f>IF(AG38=0,"",IFERROR(AG38/AG$19,""))</f>
        <v>7.8564451850042637E-3</v>
      </c>
      <c r="AI38" s="220">
        <f t="shared" si="2"/>
        <v>-1020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v>8064.89</v>
      </c>
      <c r="P39" s="166">
        <v>7073.99</v>
      </c>
      <c r="Q39" s="166"/>
      <c r="R39" s="166"/>
      <c r="S39" s="166">
        <v>-4502</v>
      </c>
      <c r="T39" s="166"/>
      <c r="U39" s="166"/>
      <c r="V39" s="166"/>
      <c r="W39" s="166"/>
      <c r="X39" s="166"/>
      <c r="Y39" s="166"/>
      <c r="Z39" s="166"/>
      <c r="AA39" s="166">
        <f t="shared" si="0"/>
        <v>10636.880000000001</v>
      </c>
      <c r="AB39" s="167">
        <f>IF(AA39=0,"",IFERROR(AA39/AA$19,""))</f>
        <v>0.26662956821665496</v>
      </c>
      <c r="AC39" s="140"/>
      <c r="AD39" s="166">
        <v>72858.789999999994</v>
      </c>
      <c r="AE39" s="167">
        <f>IF(AD39=0,"",IFERROR(AD39/AD$19,""))</f>
        <v>0.30619553628752627</v>
      </c>
      <c r="AF39" s="168">
        <f t="shared" si="1"/>
        <v>-62221.909999999989</v>
      </c>
      <c r="AG39" s="166">
        <v>38298.629999999997</v>
      </c>
      <c r="AH39" s="167">
        <f>IF(AG39=0,"",IFERROR(AG39/AG$19,""))</f>
        <v>0.29499126201545084</v>
      </c>
      <c r="AI39" s="168">
        <f t="shared" si="2"/>
        <v>-27661.749999999996</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v>31</v>
      </c>
      <c r="P40" s="210">
        <v>3</v>
      </c>
      <c r="Q40" s="210"/>
      <c r="R40" s="210"/>
      <c r="S40" s="210"/>
      <c r="T40" s="210"/>
      <c r="U40" s="210"/>
      <c r="V40" s="210"/>
      <c r="W40" s="210"/>
      <c r="X40" s="210"/>
      <c r="Y40" s="210"/>
      <c r="Z40" s="210"/>
      <c r="AA40" s="210">
        <f t="shared" si="0"/>
        <v>34</v>
      </c>
      <c r="AB40" s="211"/>
      <c r="AC40" s="140"/>
      <c r="AD40" s="210">
        <v>366</v>
      </c>
      <c r="AE40" s="211"/>
      <c r="AF40" s="253">
        <f t="shared" si="1"/>
        <v>-332</v>
      </c>
      <c r="AG40" s="210">
        <v>297</v>
      </c>
      <c r="AH40" s="211"/>
      <c r="AI40" s="253">
        <f t="shared" si="2"/>
        <v>-263</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v>190</v>
      </c>
      <c r="P41" s="210">
        <v>248</v>
      </c>
      <c r="Q41" s="210"/>
      <c r="R41" s="210"/>
      <c r="S41" s="210">
        <v>-124</v>
      </c>
      <c r="T41" s="210"/>
      <c r="U41" s="210"/>
      <c r="V41" s="210"/>
      <c r="W41" s="210"/>
      <c r="X41" s="210"/>
      <c r="Y41" s="210"/>
      <c r="Z41" s="210"/>
      <c r="AA41" s="210">
        <f t="shared" si="0"/>
        <v>314</v>
      </c>
      <c r="AB41" s="211">
        <f>IF(AA41=0,"",IFERROR(AA41/AA$84,""))</f>
        <v>0.3442982456140351</v>
      </c>
      <c r="AC41" s="140"/>
      <c r="AD41" s="210">
        <v>2079</v>
      </c>
      <c r="AE41" s="211">
        <f>IF(AD41=0,"",IFERROR(AD41/AD$84,""))</f>
        <v>0.46026123533318575</v>
      </c>
      <c r="AF41" s="253">
        <f t="shared" si="1"/>
        <v>-1765</v>
      </c>
      <c r="AG41" s="210">
        <v>1078</v>
      </c>
      <c r="AH41" s="211">
        <f>IF(AG41=0,"",IFERROR(AG41/AG$84,""))</f>
        <v>0.39257101238164605</v>
      </c>
      <c r="AI41" s="253">
        <f t="shared" si="2"/>
        <v>-764</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42.446789473684198</v>
      </c>
      <c r="P42" s="495">
        <v>28.524153225806501</v>
      </c>
      <c r="Q42" s="495"/>
      <c r="R42" s="495"/>
      <c r="S42" s="495">
        <v>36.306451612903203</v>
      </c>
      <c r="T42" s="495"/>
      <c r="U42" s="495"/>
      <c r="V42" s="495"/>
      <c r="W42" s="495"/>
      <c r="X42" s="495"/>
      <c r="Y42" s="495"/>
      <c r="Z42" s="495"/>
      <c r="AA42" s="495">
        <f>IFERROR(AA39/AA41,"")</f>
        <v>33.875414012738858</v>
      </c>
      <c r="AB42" s="495"/>
      <c r="AC42" s="140"/>
      <c r="AD42" s="495">
        <v>35.045113035112998</v>
      </c>
      <c r="AE42" s="495"/>
      <c r="AF42" s="496">
        <f t="shared" si="1"/>
        <v>-1.1696990223741395</v>
      </c>
      <c r="AG42" s="495">
        <v>35.527486085343199</v>
      </c>
      <c r="AH42" s="495"/>
      <c r="AI42" s="496">
        <f t="shared" si="2"/>
        <v>-1.6520720726043407</v>
      </c>
    </row>
    <row r="43" spans="1:35" x14ac:dyDescent="0.35">
      <c r="A43" s="65" t="s">
        <v>31</v>
      </c>
      <c r="B43" s="66" t="s">
        <v>78</v>
      </c>
      <c r="C43" s="11"/>
      <c r="D43" s="11"/>
      <c r="E43" s="11"/>
      <c r="F43" s="11"/>
      <c r="G43" s="11"/>
      <c r="H43" s="88"/>
      <c r="I43" s="122"/>
      <c r="J43" s="122"/>
      <c r="K43" s="90"/>
      <c r="L43" s="90"/>
      <c r="M43" s="90"/>
      <c r="N43" s="491" t="s">
        <v>345</v>
      </c>
      <c r="O43" s="497">
        <f t="shared" ref="O43:AA43" si="3">ROUND(IFERROR(O39/O41,0),2)</f>
        <v>42.45</v>
      </c>
      <c r="P43" s="498">
        <f t="shared" si="3"/>
        <v>28.52</v>
      </c>
      <c r="Q43" s="498">
        <f t="shared" si="3"/>
        <v>0</v>
      </c>
      <c r="R43" s="498">
        <f t="shared" si="3"/>
        <v>0</v>
      </c>
      <c r="S43" s="498">
        <f t="shared" si="3"/>
        <v>36.31</v>
      </c>
      <c r="T43" s="498">
        <f t="shared" si="3"/>
        <v>0</v>
      </c>
      <c r="U43" s="498">
        <f t="shared" si="3"/>
        <v>0</v>
      </c>
      <c r="V43" s="498">
        <f t="shared" si="3"/>
        <v>0</v>
      </c>
      <c r="W43" s="498">
        <f t="shared" si="3"/>
        <v>0</v>
      </c>
      <c r="X43" s="498">
        <f t="shared" si="3"/>
        <v>0</v>
      </c>
      <c r="Y43" s="498">
        <f t="shared" si="3"/>
        <v>0</v>
      </c>
      <c r="Z43" s="498">
        <f t="shared" si="3"/>
        <v>0</v>
      </c>
      <c r="AA43" s="498">
        <f t="shared" si="3"/>
        <v>33.880000000000003</v>
      </c>
      <c r="AB43" s="499"/>
      <c r="AC43" s="140"/>
      <c r="AD43" s="497">
        <f>ROUND(IFERROR(AD39/AD41,0),2)</f>
        <v>35.049999999999997</v>
      </c>
      <c r="AE43" s="498"/>
      <c r="AF43" s="159"/>
      <c r="AG43" s="497">
        <f>ROUND(IFERROR(AG39/AG41,0),2)</f>
        <v>35.53</v>
      </c>
      <c r="AH43" s="498"/>
      <c r="AI43" s="159"/>
    </row>
    <row r="44" spans="1:35" x14ac:dyDescent="0.3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v>8662</v>
      </c>
      <c r="P45" s="143">
        <v>10367</v>
      </c>
      <c r="Q45" s="143">
        <v>-375</v>
      </c>
      <c r="R45" s="143"/>
      <c r="S45" s="143">
        <v>-3472</v>
      </c>
      <c r="T45" s="143"/>
      <c r="U45" s="143"/>
      <c r="V45" s="143"/>
      <c r="W45" s="143"/>
      <c r="X45" s="143">
        <v>250</v>
      </c>
      <c r="Y45" s="143"/>
      <c r="Z45" s="143"/>
      <c r="AA45" s="143">
        <f t="shared" ref="AA45:AA51" si="5">SUM(O45:Z45)</f>
        <v>15432</v>
      </c>
      <c r="AB45" s="144">
        <f>IF(AA45=0,"",IFERROR(AA45/AA$19,""))</f>
        <v>0.3868265409330009</v>
      </c>
      <c r="AC45" s="140"/>
      <c r="AD45" s="143">
        <v>85278.41</v>
      </c>
      <c r="AE45" s="144">
        <f>IF(AD45=0,"",IFERROR(AD45/AD$19,""))</f>
        <v>0.35839009244728809</v>
      </c>
      <c r="AF45" s="145">
        <f t="shared" ref="AF45:AF52" si="6">IF(AND($AA45="",AD45=""),"",$AA45-AD45)</f>
        <v>-69846.41</v>
      </c>
      <c r="AG45" s="143">
        <v>45126.2</v>
      </c>
      <c r="AH45" s="144">
        <f>IF(AG45=0,"",IFERROR(AG45/AG$19,""))</f>
        <v>0.34757991834072488</v>
      </c>
      <c r="AI45" s="145">
        <f t="shared" ref="AI45:AI52" si="7">IF(AND($AA45="",AG45=""),"",$AA45-AG45)</f>
        <v>-29694.199999999997</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v>7</v>
      </c>
      <c r="Q46" s="143"/>
      <c r="R46" s="143"/>
      <c r="S46" s="143"/>
      <c r="T46" s="143"/>
      <c r="U46" s="143"/>
      <c r="V46" s="143"/>
      <c r="W46" s="143"/>
      <c r="X46" s="143"/>
      <c r="Y46" s="143"/>
      <c r="Z46" s="143"/>
      <c r="AA46" s="143">
        <f t="shared" si="5"/>
        <v>7</v>
      </c>
      <c r="AB46" s="144">
        <f>IF(AA46=0,"",IFERROR(AA46/AA$19,""))</f>
        <v>1.7546564194731768E-4</v>
      </c>
      <c r="AC46" s="140"/>
      <c r="AD46" s="143"/>
      <c r="AE46" s="144" t="str">
        <f>IF(AD46=0,"",IFERROR(AD46/AD$19,""))</f>
        <v/>
      </c>
      <c r="AF46" s="145">
        <f t="shared" si="6"/>
        <v>7</v>
      </c>
      <c r="AG46" s="143">
        <v>6</v>
      </c>
      <c r="AH46" s="144">
        <f>IF(AG46=0,"",IFERROR(AG46/AG$19,""))</f>
        <v>4.6214383441201555E-5</v>
      </c>
      <c r="AI46" s="145">
        <f t="shared" si="7"/>
        <v>1</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v>102</v>
      </c>
      <c r="P47" s="143"/>
      <c r="Q47" s="143"/>
      <c r="R47" s="143"/>
      <c r="S47" s="143"/>
      <c r="T47" s="143"/>
      <c r="U47" s="143"/>
      <c r="V47" s="143"/>
      <c r="W47" s="143"/>
      <c r="X47" s="143"/>
      <c r="Y47" s="143"/>
      <c r="Z47" s="143"/>
      <c r="AA47" s="143">
        <f t="shared" si="5"/>
        <v>102</v>
      </c>
      <c r="AB47" s="144">
        <f>IF(AA47=0,"",IFERROR(AA47/AA$19,""))</f>
        <v>2.5567850683752003E-3</v>
      </c>
      <c r="AC47" s="140"/>
      <c r="AD47" s="143"/>
      <c r="AE47" s="144" t="str">
        <f>IF(AD47=0,"",IFERROR(AD47/AD$19,""))</f>
        <v/>
      </c>
      <c r="AF47" s="145">
        <f t="shared" si="6"/>
        <v>102</v>
      </c>
      <c r="AG47" s="143">
        <v>1307</v>
      </c>
      <c r="AH47" s="144">
        <f>IF(AG47=0,"",IFERROR(AG47/AG$19,""))</f>
        <v>1.0067033192941739E-2</v>
      </c>
      <c r="AI47" s="145">
        <f t="shared" si="7"/>
        <v>-1205</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v>8764</v>
      </c>
      <c r="P49" s="166">
        <v>10374</v>
      </c>
      <c r="Q49" s="166">
        <v>-375</v>
      </c>
      <c r="R49" s="166"/>
      <c r="S49" s="166">
        <v>-3472</v>
      </c>
      <c r="T49" s="166"/>
      <c r="U49" s="166"/>
      <c r="V49" s="166"/>
      <c r="W49" s="166"/>
      <c r="X49" s="166">
        <v>250</v>
      </c>
      <c r="Y49" s="166"/>
      <c r="Z49" s="166"/>
      <c r="AA49" s="166">
        <f t="shared" si="5"/>
        <v>15541</v>
      </c>
      <c r="AB49" s="167">
        <f>IF(AA49=0,"",IFERROR(AA49/AA$19,""))</f>
        <v>0.38955879164332341</v>
      </c>
      <c r="AC49" s="140"/>
      <c r="AD49" s="166">
        <v>85278.41</v>
      </c>
      <c r="AE49" s="167">
        <f>IF(AD49=0,"",IFERROR(AD49/AD$19,""))</f>
        <v>0.35839009244728809</v>
      </c>
      <c r="AF49" s="168">
        <f t="shared" si="6"/>
        <v>-69737.41</v>
      </c>
      <c r="AG49" s="166">
        <v>46439.199999999997</v>
      </c>
      <c r="AH49" s="167">
        <f>IF(AG49=0,"",IFERROR(AG49/AG$19,""))</f>
        <v>0.35769316591710781</v>
      </c>
      <c r="AI49" s="168">
        <f t="shared" si="7"/>
        <v>-30898.199999999997</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v>31</v>
      </c>
      <c r="P50" s="210">
        <v>4</v>
      </c>
      <c r="Q50" s="210">
        <v>1</v>
      </c>
      <c r="R50" s="210"/>
      <c r="S50" s="210"/>
      <c r="T50" s="210"/>
      <c r="U50" s="210"/>
      <c r="V50" s="210"/>
      <c r="W50" s="210"/>
      <c r="X50" s="210"/>
      <c r="Y50" s="210"/>
      <c r="Z50" s="210"/>
      <c r="AA50" s="210">
        <f t="shared" si="5"/>
        <v>36</v>
      </c>
      <c r="AB50" s="211"/>
      <c r="AC50" s="140"/>
      <c r="AD50" s="210">
        <v>366</v>
      </c>
      <c r="AE50" s="211"/>
      <c r="AF50" s="253">
        <f t="shared" si="6"/>
        <v>-330</v>
      </c>
      <c r="AG50" s="210">
        <v>226</v>
      </c>
      <c r="AH50" s="211"/>
      <c r="AI50" s="253">
        <f t="shared" si="7"/>
        <v>-190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v>114</v>
      </c>
      <c r="P51" s="210">
        <v>207</v>
      </c>
      <c r="Q51" s="210">
        <v>10</v>
      </c>
      <c r="R51" s="210"/>
      <c r="S51" s="210">
        <v>-98</v>
      </c>
      <c r="T51" s="210"/>
      <c r="U51" s="210"/>
      <c r="V51" s="210"/>
      <c r="W51" s="210"/>
      <c r="X51" s="210">
        <v>10</v>
      </c>
      <c r="Y51" s="210"/>
      <c r="Z51" s="210"/>
      <c r="AA51" s="210">
        <f t="shared" si="5"/>
        <v>243</v>
      </c>
      <c r="AB51" s="211">
        <f>IF(AA51=0,"",IFERROR(AA51/AA$84,""))</f>
        <v>0.26644736842105265</v>
      </c>
      <c r="AC51" s="140"/>
      <c r="AD51" s="210">
        <v>1499</v>
      </c>
      <c r="AE51" s="211">
        <f>IF(AD51=0,"",IFERROR(AD51/AD$84,""))</f>
        <v>0.33185742749612573</v>
      </c>
      <c r="AF51" s="253">
        <f t="shared" si="6"/>
        <v>-1256</v>
      </c>
      <c r="AG51" s="210">
        <v>813</v>
      </c>
      <c r="AH51" s="211">
        <f>IF(AG51=0,"",IFERROR(AG51/AG$84,""))</f>
        <v>0.29606700655498908</v>
      </c>
      <c r="AI51" s="253">
        <f t="shared" si="7"/>
        <v>-570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76.877192982456094</v>
      </c>
      <c r="P52" s="495">
        <v>50.115942028985501</v>
      </c>
      <c r="Q52" s="495">
        <v>-37.5</v>
      </c>
      <c r="R52" s="495"/>
      <c r="S52" s="495">
        <v>35.428571428571402</v>
      </c>
      <c r="T52" s="495"/>
      <c r="U52" s="495"/>
      <c r="V52" s="495"/>
      <c r="W52" s="495"/>
      <c r="X52" s="495">
        <v>25</v>
      </c>
      <c r="Y52" s="495"/>
      <c r="Z52" s="495"/>
      <c r="AA52" s="495">
        <f>IFERROR(AA49/AA51,"")</f>
        <v>63.954732510288068</v>
      </c>
      <c r="AB52" s="495"/>
      <c r="AC52" s="140"/>
      <c r="AD52" s="495">
        <v>56.890200133422297</v>
      </c>
      <c r="AE52" s="495"/>
      <c r="AF52" s="496">
        <f t="shared" si="6"/>
        <v>7.0645323768657704</v>
      </c>
      <c r="AG52" s="495">
        <v>57.120787207872098</v>
      </c>
      <c r="AH52" s="495"/>
      <c r="AI52" s="496">
        <f t="shared" si="7"/>
        <v>6.8339453024159695</v>
      </c>
    </row>
    <row r="53" spans="1:35" x14ac:dyDescent="0.35">
      <c r="A53" s="65" t="s">
        <v>41</v>
      </c>
      <c r="B53" s="66"/>
      <c r="C53" s="11"/>
      <c r="D53" s="11"/>
      <c r="E53" s="11"/>
      <c r="F53" s="11"/>
      <c r="G53" s="11"/>
      <c r="H53" s="88"/>
      <c r="I53" s="122"/>
      <c r="J53" s="122"/>
      <c r="K53" s="90"/>
      <c r="L53" s="90"/>
      <c r="M53" s="90"/>
      <c r="N53" s="491" t="s">
        <v>345</v>
      </c>
      <c r="O53" s="497">
        <f t="shared" ref="O53:AA53" si="8">ROUND(IFERROR(O49/O51,0),2)</f>
        <v>76.88</v>
      </c>
      <c r="P53" s="498">
        <f t="shared" si="8"/>
        <v>50.12</v>
      </c>
      <c r="Q53" s="498">
        <f t="shared" si="8"/>
        <v>-37.5</v>
      </c>
      <c r="R53" s="498">
        <f t="shared" si="8"/>
        <v>0</v>
      </c>
      <c r="S53" s="498">
        <f t="shared" si="8"/>
        <v>35.43</v>
      </c>
      <c r="T53" s="498">
        <f t="shared" si="8"/>
        <v>0</v>
      </c>
      <c r="U53" s="498">
        <f t="shared" si="8"/>
        <v>0</v>
      </c>
      <c r="V53" s="498">
        <f t="shared" si="8"/>
        <v>0</v>
      </c>
      <c r="W53" s="498">
        <f t="shared" si="8"/>
        <v>0</v>
      </c>
      <c r="X53" s="498">
        <f t="shared" si="8"/>
        <v>25</v>
      </c>
      <c r="Y53" s="498">
        <f t="shared" si="8"/>
        <v>0</v>
      </c>
      <c r="Z53" s="498">
        <f t="shared" si="8"/>
        <v>0</v>
      </c>
      <c r="AA53" s="498">
        <f t="shared" si="8"/>
        <v>63.95</v>
      </c>
      <c r="AB53" s="499"/>
      <c r="AC53" s="140"/>
      <c r="AD53" s="497">
        <f>ROUND(IFERROR(AD49/AD51,0),2)</f>
        <v>56.89</v>
      </c>
      <c r="AE53" s="498"/>
      <c r="AF53" s="159"/>
      <c r="AG53" s="497">
        <f>ROUND(IFERROR(AG49/AG51,0),2)</f>
        <v>57.12</v>
      </c>
      <c r="AH53" s="498"/>
      <c r="AI53" s="159"/>
    </row>
    <row r="54" spans="1:35" x14ac:dyDescent="0.3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v>3944</v>
      </c>
      <c r="Q55" s="143"/>
      <c r="R55" s="143"/>
      <c r="S55" s="143">
        <v>-3165.03</v>
      </c>
      <c r="T55" s="143"/>
      <c r="U55" s="143"/>
      <c r="V55" s="143"/>
      <c r="W55" s="143"/>
      <c r="X55" s="143"/>
      <c r="Y55" s="143"/>
      <c r="Z55" s="143"/>
      <c r="AA55" s="143">
        <f t="shared" ref="AA55:AA61" si="10">SUM(O55:Z55)</f>
        <v>778.9699999999998</v>
      </c>
      <c r="AB55" s="144">
        <f>IF(AA55=0,"",IFERROR(AA55/AA$19,""))</f>
        <v>1.9526067301100288E-2</v>
      </c>
      <c r="AC55" s="140"/>
      <c r="AD55" s="143">
        <v>46992.934655999998</v>
      </c>
      <c r="AE55" s="144">
        <f>IF(AD55=0,"",IFERROR(AD55/AD$19,""))</f>
        <v>0.19749198180094127</v>
      </c>
      <c r="AF55" s="145">
        <f t="shared" ref="AF55:AF62" si="11">IF(AND($AA55="",AD55=""),"",$AA55-AD55)</f>
        <v>-46213.964655999996</v>
      </c>
      <c r="AG55" s="143">
        <v>27196.21</v>
      </c>
      <c r="AH55" s="144">
        <f>IF(AG55=0,"",IFERROR(AG55/AG$19,""))</f>
        <v>0.20947601284790668</v>
      </c>
      <c r="AI55" s="145">
        <f t="shared" ref="AI55:AI62" si="12">IF(AND($AA55="",AG55=""),"",$AA55-AG55)</f>
        <v>-26417.239999999998</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v>962</v>
      </c>
      <c r="Q56" s="143"/>
      <c r="R56" s="143"/>
      <c r="S56" s="143"/>
      <c r="T56" s="143"/>
      <c r="U56" s="143"/>
      <c r="V56" s="143"/>
      <c r="W56" s="143"/>
      <c r="X56" s="143"/>
      <c r="Y56" s="143"/>
      <c r="Z56" s="143"/>
      <c r="AA56" s="143">
        <f t="shared" si="10"/>
        <v>962</v>
      </c>
      <c r="AB56" s="144">
        <f>IF(AA56=0,"",IFERROR(AA56/AA$19,""))</f>
        <v>2.4113992507617085E-2</v>
      </c>
      <c r="AC56" s="140"/>
      <c r="AD56" s="143">
        <v>18803.558772</v>
      </c>
      <c r="AE56" s="144">
        <f>IF(AD56=0,"",IFERROR(AD56/AD$19,""))</f>
        <v>7.9023625870077718E-2</v>
      </c>
      <c r="AF56" s="145">
        <f t="shared" si="11"/>
        <v>-17841.558772</v>
      </c>
      <c r="AG56" s="143">
        <v>4153.08</v>
      </c>
      <c r="AH56" s="144">
        <f>IF(AG56=0,"",IFERROR(AG56/AG$19,""))</f>
        <v>3.1988671930330892E-2</v>
      </c>
      <c r="AI56" s="145">
        <f t="shared" si="12"/>
        <v>-3191.08</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v>165</v>
      </c>
      <c r="Q57" s="143"/>
      <c r="R57" s="143"/>
      <c r="S57" s="143"/>
      <c r="T57" s="143"/>
      <c r="U57" s="143"/>
      <c r="V57" s="143"/>
      <c r="W57" s="143"/>
      <c r="X57" s="143"/>
      <c r="Y57" s="143"/>
      <c r="Z57" s="143"/>
      <c r="AA57" s="143">
        <f t="shared" si="10"/>
        <v>165</v>
      </c>
      <c r="AB57" s="144">
        <f>IF(AA57=0,"",IFERROR(AA57/AA$19,""))</f>
        <v>4.1359758459010593E-3</v>
      </c>
      <c r="AC57" s="140"/>
      <c r="AD57" s="143">
        <v>5251.5881460000001</v>
      </c>
      <c r="AE57" s="144">
        <f>IF(AD57=0,"",IFERROR(AD57/AD$19,""))</f>
        <v>2.207026562924921E-2</v>
      </c>
      <c r="AF57" s="145">
        <f t="shared" si="11"/>
        <v>-5086.5881460000001</v>
      </c>
      <c r="AG57" s="143">
        <v>1448</v>
      </c>
      <c r="AH57" s="144">
        <f>IF(AG57=0,"",IFERROR(AG57/AG$19,""))</f>
        <v>1.1153071203809975E-2</v>
      </c>
      <c r="AI57" s="145">
        <f t="shared" si="12"/>
        <v>-1283</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v>670</v>
      </c>
      <c r="Q58" s="217"/>
      <c r="R58" s="217"/>
      <c r="S58" s="217"/>
      <c r="T58" s="217"/>
      <c r="U58" s="217"/>
      <c r="V58" s="217"/>
      <c r="W58" s="217"/>
      <c r="X58" s="217"/>
      <c r="Y58" s="217"/>
      <c r="Z58" s="217"/>
      <c r="AA58" s="217">
        <f t="shared" si="10"/>
        <v>670</v>
      </c>
      <c r="AB58" s="219">
        <f>IF(AA58=0,"",IFERROR(AA58/AA$19,""))</f>
        <v>1.679456858638612E-2</v>
      </c>
      <c r="AC58" s="140"/>
      <c r="AD58" s="217">
        <v>8763.2884259999992</v>
      </c>
      <c r="AE58" s="219">
        <f>IF(AD58=0,"",IFERROR(AD58/AD$19,""))</f>
        <v>3.682849796491737E-2</v>
      </c>
      <c r="AF58" s="220">
        <f t="shared" si="11"/>
        <v>-8093.2884259999992</v>
      </c>
      <c r="AG58" s="217">
        <v>4021.59</v>
      </c>
      <c r="AH58" s="219">
        <f>IF(AG58=0,"",IFERROR(AG58/AG$19,""))</f>
        <v>3.0975883717216959E-2</v>
      </c>
      <c r="AI58" s="220">
        <f t="shared" si="12"/>
        <v>-3351.59</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v>5741</v>
      </c>
      <c r="Q59" s="166"/>
      <c r="R59" s="166"/>
      <c r="S59" s="166">
        <v>-3165.03</v>
      </c>
      <c r="T59" s="166"/>
      <c r="U59" s="166"/>
      <c r="V59" s="166"/>
      <c r="W59" s="166"/>
      <c r="X59" s="166"/>
      <c r="Y59" s="166"/>
      <c r="Z59" s="166"/>
      <c r="AA59" s="166">
        <f t="shared" si="10"/>
        <v>2575.9699999999998</v>
      </c>
      <c r="AB59" s="167">
        <f>IF(AA59=0,"",IFERROR(AA59/AA$19,""))</f>
        <v>6.4570604241004553E-2</v>
      </c>
      <c r="AC59" s="140"/>
      <c r="AD59" s="166">
        <v>79811.37</v>
      </c>
      <c r="AE59" s="167">
        <f>IF(AD59=0,"",IFERROR(AD59/AD$19,""))</f>
        <v>0.33541437126518553</v>
      </c>
      <c r="AF59" s="168">
        <f t="shared" si="11"/>
        <v>-77235.399999999994</v>
      </c>
      <c r="AG59" s="166">
        <v>36818.879999999997</v>
      </c>
      <c r="AH59" s="167">
        <f>IF(AG59=0,"",IFERROR(AG59/AG$19,""))</f>
        <v>0.28359363969926449</v>
      </c>
      <c r="AI59" s="168">
        <f t="shared" si="12"/>
        <v>-34242.909999999996</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v>31</v>
      </c>
      <c r="P60" s="210">
        <v>2</v>
      </c>
      <c r="Q60" s="210"/>
      <c r="R60" s="210"/>
      <c r="S60" s="210"/>
      <c r="T60" s="210"/>
      <c r="U60" s="210"/>
      <c r="V60" s="210"/>
      <c r="W60" s="210">
        <v>1</v>
      </c>
      <c r="X60" s="210"/>
      <c r="Y60" s="210"/>
      <c r="Z60" s="210"/>
      <c r="AA60" s="210">
        <f t="shared" si="10"/>
        <v>34</v>
      </c>
      <c r="AB60" s="211"/>
      <c r="AC60" s="140"/>
      <c r="AD60" s="210">
        <v>366</v>
      </c>
      <c r="AE60" s="211"/>
      <c r="AF60" s="253">
        <f t="shared" si="11"/>
        <v>-332</v>
      </c>
      <c r="AG60" s="210">
        <v>164</v>
      </c>
      <c r="AH60" s="211"/>
      <c r="AI60" s="253">
        <f t="shared" si="12"/>
        <v>-130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v>116</v>
      </c>
      <c r="Q61" s="210"/>
      <c r="R61" s="210"/>
      <c r="S61" s="210">
        <v>-58</v>
      </c>
      <c r="T61" s="210"/>
      <c r="U61" s="210"/>
      <c r="V61" s="210"/>
      <c r="W61" s="210"/>
      <c r="X61" s="210"/>
      <c r="Y61" s="210"/>
      <c r="Z61" s="210"/>
      <c r="AA61" s="210">
        <f t="shared" si="10"/>
        <v>58</v>
      </c>
      <c r="AB61" s="211">
        <f>IF(AA61=0,"",IFERROR(AA61/AA$84,""))</f>
        <v>6.3596491228070179E-2</v>
      </c>
      <c r="AC61" s="140"/>
      <c r="AD61" s="210">
        <v>939</v>
      </c>
      <c r="AE61" s="211">
        <f>IF(AD61=0,"",IFERROR(AD61/AD$84,""))</f>
        <v>0.20788133717068852</v>
      </c>
      <c r="AF61" s="253">
        <f t="shared" si="11"/>
        <v>-881</v>
      </c>
      <c r="AG61" s="210">
        <v>709</v>
      </c>
      <c r="AH61" s="211">
        <f>IF(AG61=0,"",IFERROR(AG61/AG$84,""))</f>
        <v>0.25819373634377274</v>
      </c>
      <c r="AI61" s="253">
        <f t="shared" si="12"/>
        <v>-651</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v>49.491379310344797</v>
      </c>
      <c r="Q62" s="495"/>
      <c r="R62" s="495"/>
      <c r="S62" s="495">
        <v>54.569482758620701</v>
      </c>
      <c r="T62" s="495"/>
      <c r="U62" s="495"/>
      <c r="V62" s="495"/>
      <c r="W62" s="495"/>
      <c r="X62" s="495"/>
      <c r="Y62" s="495"/>
      <c r="Z62" s="495"/>
      <c r="AA62" s="495">
        <f>IFERROR(AA59/AA61,"")</f>
        <v>44.413275862068964</v>
      </c>
      <c r="AB62" s="495"/>
      <c r="AC62" s="140"/>
      <c r="AD62" s="495">
        <v>84.996134185303504</v>
      </c>
      <c r="AE62" s="495"/>
      <c r="AF62" s="496">
        <f t="shared" si="11"/>
        <v>-40.582858323234539</v>
      </c>
      <c r="AG62" s="495">
        <v>51.9307193229901</v>
      </c>
      <c r="AH62" s="495"/>
      <c r="AI62" s="496">
        <f t="shared" si="12"/>
        <v>-7.517443460921136</v>
      </c>
    </row>
    <row r="63" spans="1:35" x14ac:dyDescent="0.35">
      <c r="A63" s="11"/>
      <c r="B63" s="11"/>
      <c r="C63" s="11"/>
      <c r="D63" s="11"/>
      <c r="E63" s="11"/>
      <c r="F63" s="11"/>
      <c r="G63" s="11"/>
      <c r="H63" s="88"/>
      <c r="I63" s="122"/>
      <c r="J63" s="122"/>
      <c r="K63" s="90"/>
      <c r="L63" s="90"/>
      <c r="M63" s="90"/>
      <c r="N63" s="491" t="s">
        <v>345</v>
      </c>
      <c r="O63" s="497">
        <f t="shared" ref="O63:AA63" si="13">ROUND(IFERROR(O59/O61,0),2)</f>
        <v>0</v>
      </c>
      <c r="P63" s="498">
        <f t="shared" si="13"/>
        <v>49.49</v>
      </c>
      <c r="Q63" s="498">
        <f t="shared" si="13"/>
        <v>0</v>
      </c>
      <c r="R63" s="498">
        <f t="shared" si="13"/>
        <v>0</v>
      </c>
      <c r="S63" s="498">
        <f t="shared" si="13"/>
        <v>54.57</v>
      </c>
      <c r="T63" s="498">
        <f t="shared" si="13"/>
        <v>0</v>
      </c>
      <c r="U63" s="498">
        <f t="shared" si="13"/>
        <v>0</v>
      </c>
      <c r="V63" s="498">
        <f t="shared" si="13"/>
        <v>0</v>
      </c>
      <c r="W63" s="498">
        <f t="shared" si="13"/>
        <v>0</v>
      </c>
      <c r="X63" s="498">
        <f t="shared" si="13"/>
        <v>0</v>
      </c>
      <c r="Y63" s="498">
        <f t="shared" si="13"/>
        <v>0</v>
      </c>
      <c r="Z63" s="498">
        <f t="shared" si="13"/>
        <v>0</v>
      </c>
      <c r="AA63" s="498">
        <f t="shared" si="13"/>
        <v>44.41</v>
      </c>
      <c r="AB63" s="499"/>
      <c r="AC63" s="140"/>
      <c r="AD63" s="497">
        <f>ROUND(IFERROR(AD59/AD61,0),2)</f>
        <v>85</v>
      </c>
      <c r="AE63" s="498"/>
      <c r="AF63" s="159"/>
      <c r="AG63" s="497">
        <f>ROUND(IFERROR(AG59/AG61,0),2)</f>
        <v>51.93</v>
      </c>
      <c r="AH63" s="498"/>
      <c r="AI63" s="159"/>
    </row>
    <row r="64" spans="1:35" x14ac:dyDescent="0.3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43">
        <v>2790</v>
      </c>
      <c r="P65" s="143">
        <v>975</v>
      </c>
      <c r="Q65" s="143"/>
      <c r="R65" s="143"/>
      <c r="S65" s="143"/>
      <c r="T65" s="143"/>
      <c r="U65" s="143"/>
      <c r="V65" s="143"/>
      <c r="W65" s="143"/>
      <c r="X65" s="143"/>
      <c r="Y65" s="143"/>
      <c r="Z65" s="143"/>
      <c r="AA65" s="143">
        <f t="shared" ref="AA65:AA70" si="15">SUM(O65:Z65)</f>
        <v>3765</v>
      </c>
      <c r="AB65" s="144">
        <f>IF(AA65=0,"",IFERROR(AA65/AA$19,""))</f>
        <v>9.4375448847378723E-2</v>
      </c>
      <c r="AC65" s="140"/>
      <c r="AD65" s="143"/>
      <c r="AE65" s="144" t="str">
        <f>IF(AD65=0,"",IFERROR(AD65/AD$19,""))</f>
        <v/>
      </c>
      <c r="AF65" s="145">
        <f t="shared" ref="AF65:AF71" si="16">IF(AND($AA65="",AD65=""),"",$AA65-AD65)</f>
        <v>3765</v>
      </c>
      <c r="AG65" s="143">
        <v>7700</v>
      </c>
      <c r="AH65" s="144">
        <f>IF(AG65=0,"",IFERROR(AG65/AG$19,""))</f>
        <v>5.9308458749541992E-2</v>
      </c>
      <c r="AI65" s="145">
        <f t="shared" ref="AI65:AI71" si="17">IF(AND($AA65="",AG65=""),"",$AA65-AG65)</f>
        <v>-3935</v>
      </c>
    </row>
    <row r="66" spans="1:35" x14ac:dyDescent="0.3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43">
        <v>689</v>
      </c>
      <c r="P66" s="143"/>
      <c r="Q66" s="143"/>
      <c r="R66" s="143"/>
      <c r="S66" s="143"/>
      <c r="T66" s="143"/>
      <c r="U66" s="143"/>
      <c r="V66" s="143"/>
      <c r="W66" s="143"/>
      <c r="X66" s="143"/>
      <c r="Y66" s="143"/>
      <c r="Z66" s="143"/>
      <c r="AA66" s="143">
        <f t="shared" si="15"/>
        <v>689</v>
      </c>
      <c r="AB66" s="144">
        <f>IF(AA66=0,"",IFERROR(AA66/AA$19,""))</f>
        <v>1.7270832471671695E-2</v>
      </c>
      <c r="AC66" s="140"/>
      <c r="AD66" s="143"/>
      <c r="AE66" s="144" t="str">
        <f>IF(AD66=0,"",IFERROR(AD66/AD$19,""))</f>
        <v/>
      </c>
      <c r="AF66" s="145">
        <f t="shared" si="16"/>
        <v>689</v>
      </c>
      <c r="AG66" s="143"/>
      <c r="AH66" s="144" t="str">
        <f>IF(AG66=0,"",IFERROR(AG66/AG$19,""))</f>
        <v/>
      </c>
      <c r="AI66" s="145">
        <f t="shared" si="17"/>
        <v>689</v>
      </c>
    </row>
    <row r="67" spans="1:35" x14ac:dyDescent="0.3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43">
        <v>125</v>
      </c>
      <c r="P67" s="143"/>
      <c r="Q67" s="143"/>
      <c r="R67" s="143"/>
      <c r="S67" s="143"/>
      <c r="T67" s="143"/>
      <c r="U67" s="143"/>
      <c r="V67" s="143"/>
      <c r="W67" s="143"/>
      <c r="X67" s="143"/>
      <c r="Y67" s="143"/>
      <c r="Z67" s="143"/>
      <c r="AA67" s="143">
        <f t="shared" si="15"/>
        <v>125</v>
      </c>
      <c r="AB67" s="144">
        <f>IF(AA67=0,"",IFERROR(AA67/AA$19,""))</f>
        <v>3.1333150347735298E-3</v>
      </c>
      <c r="AC67" s="140"/>
      <c r="AD67" s="143"/>
      <c r="AE67" s="144" t="str">
        <f>IF(AD67=0,"",IFERROR(AD67/AD$19,""))</f>
        <v/>
      </c>
      <c r="AF67" s="145">
        <f t="shared" si="16"/>
        <v>125</v>
      </c>
      <c r="AG67" s="143"/>
      <c r="AH67" s="144" t="str">
        <f>IF(AG67=0,"",IFERROR(AG67/AG$19,""))</f>
        <v/>
      </c>
      <c r="AI67" s="145">
        <f t="shared" si="17"/>
        <v>125</v>
      </c>
    </row>
    <row r="68" spans="1:35" x14ac:dyDescent="0.3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7">
        <v>104</v>
      </c>
      <c r="P68" s="217">
        <v>1500</v>
      </c>
      <c r="Q68" s="217"/>
      <c r="R68" s="217"/>
      <c r="S68" s="217"/>
      <c r="T68" s="217"/>
      <c r="U68" s="217"/>
      <c r="V68" s="217"/>
      <c r="W68" s="217">
        <v>504</v>
      </c>
      <c r="X68" s="217"/>
      <c r="Y68" s="217"/>
      <c r="Z68" s="217"/>
      <c r="AA68" s="217">
        <f t="shared" si="15"/>
        <v>2108</v>
      </c>
      <c r="AB68" s="219">
        <f>IF(AA68=0,"",IFERROR(AA68/AA$19,""))</f>
        <v>5.2840224746420805E-2</v>
      </c>
      <c r="AC68" s="140"/>
      <c r="AD68" s="217"/>
      <c r="AE68" s="219" t="str">
        <f>IF(AD68=0,"",IFERROR(AD68/AD$19,""))</f>
        <v/>
      </c>
      <c r="AF68" s="220">
        <f t="shared" si="16"/>
        <v>2108</v>
      </c>
      <c r="AG68" s="217"/>
      <c r="AH68" s="219" t="str">
        <f>IF(AG68=0,"",IFERROR(AG68/AG$19,""))</f>
        <v/>
      </c>
      <c r="AI68" s="220">
        <f t="shared" si="17"/>
        <v>2108</v>
      </c>
    </row>
    <row r="69" spans="1:35" x14ac:dyDescent="0.3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6">
        <v>3708</v>
      </c>
      <c r="P69" s="166">
        <v>2475</v>
      </c>
      <c r="Q69" s="166"/>
      <c r="R69" s="166"/>
      <c r="S69" s="166"/>
      <c r="T69" s="166"/>
      <c r="U69" s="166"/>
      <c r="V69" s="166"/>
      <c r="W69" s="166">
        <v>504</v>
      </c>
      <c r="X69" s="166"/>
      <c r="Y69" s="166"/>
      <c r="Z69" s="166"/>
      <c r="AA69" s="166">
        <f t="shared" si="15"/>
        <v>6687</v>
      </c>
      <c r="AB69" s="167">
        <f>IF(AA69=0,"",IFERROR(AA69/AA$19,""))</f>
        <v>0.16761982110024476</v>
      </c>
      <c r="AC69" s="140"/>
      <c r="AD69" s="166"/>
      <c r="AE69" s="167" t="str">
        <f>IF(AD69=0,"",IFERROR(AD69/AD$19,""))</f>
        <v/>
      </c>
      <c r="AF69" s="168">
        <f t="shared" si="16"/>
        <v>6687</v>
      </c>
      <c r="AG69" s="166">
        <v>7700</v>
      </c>
      <c r="AH69" s="167">
        <f>IF(AG69=0,"",IFERROR(AG69/AG$19,""))</f>
        <v>5.9308458749541992E-2</v>
      </c>
      <c r="AI69" s="168">
        <f t="shared" si="17"/>
        <v>-1013</v>
      </c>
    </row>
    <row r="70" spans="1:35" x14ac:dyDescent="0.3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10">
        <v>30</v>
      </c>
      <c r="P70" s="210">
        <v>75</v>
      </c>
      <c r="Q70" s="210"/>
      <c r="R70" s="210"/>
      <c r="S70" s="210"/>
      <c r="T70" s="210"/>
      <c r="U70" s="210"/>
      <c r="V70" s="210"/>
      <c r="W70" s="210"/>
      <c r="X70" s="210"/>
      <c r="Y70" s="210"/>
      <c r="Z70" s="210"/>
      <c r="AA70" s="210">
        <f t="shared" si="15"/>
        <v>105</v>
      </c>
      <c r="AB70" s="211">
        <f>IF(AA70=0,"",IFERROR(AA70/AA$84,""))</f>
        <v>0.11513157894736842</v>
      </c>
      <c r="AC70" s="140"/>
      <c r="AD70" s="210"/>
      <c r="AE70" s="211" t="str">
        <f>IF(AD70=0,"",IFERROR(AD70/AD$84,""))</f>
        <v/>
      </c>
      <c r="AF70" s="253">
        <f t="shared" si="16"/>
        <v>105</v>
      </c>
      <c r="AG70" s="210">
        <v>130</v>
      </c>
      <c r="AH70" s="211">
        <f>IF(AG70=0,"",IFERROR(AG70/AG$84,""))</f>
        <v>4.7341587764020393E-2</v>
      </c>
      <c r="AI70" s="253">
        <f t="shared" si="17"/>
        <v>-25</v>
      </c>
    </row>
    <row r="71" spans="1:35" x14ac:dyDescent="0.3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v>123.6</v>
      </c>
      <c r="P71" s="495">
        <v>33</v>
      </c>
      <c r="Q71" s="495"/>
      <c r="R71" s="495"/>
      <c r="S71" s="495"/>
      <c r="T71" s="495"/>
      <c r="U71" s="495"/>
      <c r="V71" s="495"/>
      <c r="W71" s="495"/>
      <c r="X71" s="495"/>
      <c r="Y71" s="495"/>
      <c r="Z71" s="495"/>
      <c r="AA71" s="495">
        <f>IFERROR(AA69/AA70,"")</f>
        <v>63.685714285714283</v>
      </c>
      <c r="AB71" s="495"/>
      <c r="AC71" s="140"/>
      <c r="AD71" s="495"/>
      <c r="AE71" s="495"/>
      <c r="AF71" s="496">
        <f t="shared" si="16"/>
        <v>63.685714285714283</v>
      </c>
      <c r="AG71" s="495">
        <v>59.230769230769198</v>
      </c>
      <c r="AH71" s="495"/>
      <c r="AI71" s="496">
        <f t="shared" si="17"/>
        <v>4.4549450549450853</v>
      </c>
    </row>
    <row r="72" spans="1:35" x14ac:dyDescent="0.35">
      <c r="A72" s="11"/>
      <c r="B72" s="11"/>
      <c r="C72" s="11"/>
      <c r="D72" s="11"/>
      <c r="E72" s="11"/>
      <c r="F72" s="11"/>
      <c r="G72" s="11"/>
      <c r="H72" s="88"/>
      <c r="I72" s="122"/>
      <c r="J72" s="122"/>
      <c r="K72" s="90"/>
      <c r="L72" s="90"/>
      <c r="M72" s="90"/>
      <c r="N72" s="491" t="s">
        <v>345</v>
      </c>
      <c r="O72" s="497">
        <f t="shared" ref="O72:AA72" si="18">ROUND(IFERROR(O69/O70,0),2)</f>
        <v>123.6</v>
      </c>
      <c r="P72" s="498">
        <f t="shared" si="18"/>
        <v>33</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0</v>
      </c>
      <c r="Z72" s="498">
        <f t="shared" si="18"/>
        <v>0</v>
      </c>
      <c r="AA72" s="498">
        <f t="shared" si="18"/>
        <v>63.69</v>
      </c>
      <c r="AB72" s="499"/>
      <c r="AC72" s="140"/>
      <c r="AD72" s="497">
        <f>ROUND(IFERROR(AD69/AD70,0),2)</f>
        <v>0</v>
      </c>
      <c r="AE72" s="498"/>
      <c r="AF72" s="159"/>
      <c r="AG72" s="497">
        <f>ROUND(IFERROR(AG69/AG70,0),2)</f>
        <v>59.23</v>
      </c>
      <c r="AH72" s="498"/>
      <c r="AI72" s="159"/>
    </row>
    <row r="73" spans="1:35" x14ac:dyDescent="0.3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b">
        <f t="shared" si="19"/>
        <v>1</v>
      </c>
      <c r="AB73" s="502"/>
      <c r="AC73" s="503"/>
      <c r="AD73" s="500"/>
      <c r="AE73" s="501" t="b">
        <f>ROUND(AD71,2)=ROUND(AD72,2)</f>
        <v>1</v>
      </c>
      <c r="AF73" s="502"/>
      <c r="AG73" s="500"/>
      <c r="AH73" s="501" t="b">
        <f>ROUND(AG71,2)=ROUND(AG72,2)</f>
        <v>1</v>
      </c>
      <c r="AI73" s="502"/>
    </row>
    <row r="74" spans="1:35" x14ac:dyDescent="0.3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43">
        <v>3326</v>
      </c>
      <c r="P74" s="143">
        <v>1127</v>
      </c>
      <c r="Q74" s="143"/>
      <c r="R74" s="143"/>
      <c r="S74" s="143"/>
      <c r="T74" s="143"/>
      <c r="U74" s="143"/>
      <c r="V74" s="143"/>
      <c r="W74" s="143"/>
      <c r="X74" s="143"/>
      <c r="Y74" s="143"/>
      <c r="Z74" s="143"/>
      <c r="AA74" s="143">
        <f>SUM(O74:Z74)</f>
        <v>4453</v>
      </c>
      <c r="AB74" s="144">
        <f>IF(AA74=0,"",IFERROR(AA74/AA$19,""))</f>
        <v>0.11162121479877223</v>
      </c>
      <c r="AC74" s="140"/>
      <c r="AD74" s="143"/>
      <c r="AE74" s="144" t="str">
        <f>IF(AD74=0,"",IFERROR(AD74/AD$19,""))</f>
        <v/>
      </c>
      <c r="AF74" s="145">
        <f>IF(AND($AA74="",AD74=""),"",$AA74-AD74)</f>
        <v>4453</v>
      </c>
      <c r="AG74" s="143">
        <v>573</v>
      </c>
      <c r="AH74" s="144">
        <f>IF(AG74=0,"",IFERROR(AG74/AG$19,""))</f>
        <v>4.4134736186347487E-3</v>
      </c>
      <c r="AI74" s="145">
        <f>IF(AND($AA74="",AG74=""),"",$AA74-AG74)</f>
        <v>3880</v>
      </c>
    </row>
    <row r="75" spans="1:35" x14ac:dyDescent="0.3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6">
        <v>3326</v>
      </c>
      <c r="P75" s="166">
        <v>1127</v>
      </c>
      <c r="Q75" s="166"/>
      <c r="R75" s="166"/>
      <c r="S75" s="166"/>
      <c r="T75" s="166"/>
      <c r="U75" s="166"/>
      <c r="V75" s="166"/>
      <c r="W75" s="166"/>
      <c r="X75" s="166"/>
      <c r="Y75" s="166"/>
      <c r="Z75" s="166"/>
      <c r="AA75" s="166">
        <f>SUM(O75:Z75)</f>
        <v>4453</v>
      </c>
      <c r="AB75" s="167">
        <f>IF(AA75=0,"",IFERROR(AA75/AA$19,""))</f>
        <v>0.11162121479877223</v>
      </c>
      <c r="AC75" s="140"/>
      <c r="AD75" s="166"/>
      <c r="AE75" s="167" t="str">
        <f>IF(AD75=0,"",IFERROR(AD75/AD$19,""))</f>
        <v/>
      </c>
      <c r="AF75" s="168">
        <f>IF(AND($AA75="",AD75=""),"",$AA75-AD75)</f>
        <v>4453</v>
      </c>
      <c r="AG75" s="166">
        <v>573</v>
      </c>
      <c r="AH75" s="167">
        <f>IF(AG75=0,"",IFERROR(AG75/AG$19,""))</f>
        <v>4.4134736186347487E-3</v>
      </c>
      <c r="AI75" s="168">
        <f>IF(AND($AA75="",AG75=""),"",$AA75-AG75)</f>
        <v>3880</v>
      </c>
    </row>
    <row r="76" spans="1:35" x14ac:dyDescent="0.3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10">
        <v>145</v>
      </c>
      <c r="P76" s="210">
        <v>47</v>
      </c>
      <c r="Q76" s="210"/>
      <c r="R76" s="210"/>
      <c r="S76" s="210"/>
      <c r="T76" s="210"/>
      <c r="U76" s="210"/>
      <c r="V76" s="210"/>
      <c r="W76" s="210"/>
      <c r="X76" s="210"/>
      <c r="Y76" s="210"/>
      <c r="Z76" s="210"/>
      <c r="AA76" s="210">
        <f>SUM(O76:Z76)</f>
        <v>192</v>
      </c>
      <c r="AB76" s="211">
        <f>IF(AA76=0,"",IFERROR(AA76/AA$84,""))</f>
        <v>0.21052631578947367</v>
      </c>
      <c r="AC76" s="140"/>
      <c r="AD76" s="210"/>
      <c r="AE76" s="211" t="str">
        <f>IF(AD76=0,"",IFERROR(AD76/AD$84,""))</f>
        <v/>
      </c>
      <c r="AF76" s="253">
        <f>IF(AND($AA76="",AD76=""),"",$AA76-AD76)</f>
        <v>192</v>
      </c>
      <c r="AG76" s="210">
        <v>16</v>
      </c>
      <c r="AH76" s="211">
        <f>IF(AG76=0,"",IFERROR(AG76/AG$84,""))</f>
        <v>5.826656955571741E-3</v>
      </c>
      <c r="AI76" s="253">
        <f>IF(AND($AA76="",AG76=""),"",$AA76-AG76)</f>
        <v>176</v>
      </c>
    </row>
    <row r="77" spans="1:35" x14ac:dyDescent="0.3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v>22.937931034482801</v>
      </c>
      <c r="P77" s="495">
        <v>23.978723404255302</v>
      </c>
      <c r="Q77" s="495"/>
      <c r="R77" s="495"/>
      <c r="S77" s="495"/>
      <c r="T77" s="495"/>
      <c r="U77" s="495"/>
      <c r="V77" s="495"/>
      <c r="W77" s="495"/>
      <c r="X77" s="495"/>
      <c r="Y77" s="495"/>
      <c r="Z77" s="495"/>
      <c r="AA77" s="495">
        <f>IFERROR(AA75/AA76,"")</f>
        <v>23.192708333333332</v>
      </c>
      <c r="AB77" s="495"/>
      <c r="AC77" s="140"/>
      <c r="AD77" s="495"/>
      <c r="AE77" s="495"/>
      <c r="AF77" s="496">
        <f>IF(AND($AA77="",AD77=""),"",$AA77-AD77)</f>
        <v>23.192708333333332</v>
      </c>
      <c r="AG77" s="495">
        <v>35.8125</v>
      </c>
      <c r="AH77" s="495"/>
      <c r="AI77" s="496">
        <f>IF(AND($AA77="",AG77=""),"",$AA77-AG77)</f>
        <v>-12.619791666666668</v>
      </c>
    </row>
    <row r="78" spans="1:35" x14ac:dyDescent="0.35">
      <c r="A78" s="11"/>
      <c r="B78" s="11"/>
      <c r="C78" s="208"/>
      <c r="D78" s="11"/>
      <c r="E78" s="11"/>
      <c r="F78" s="11"/>
      <c r="G78" s="11"/>
      <c r="H78" s="88"/>
      <c r="I78" s="122"/>
      <c r="J78" s="122"/>
      <c r="K78" s="90"/>
      <c r="L78" s="90"/>
      <c r="M78" s="90"/>
      <c r="N78" s="491" t="s">
        <v>345</v>
      </c>
      <c r="O78" s="497">
        <f t="shared" ref="O78:AA78" si="20">ROUND(IFERROR(O75/O76,0),2)</f>
        <v>22.94</v>
      </c>
      <c r="P78" s="498">
        <f t="shared" si="20"/>
        <v>23.98</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23.19</v>
      </c>
      <c r="AB78" s="499"/>
      <c r="AC78" s="140"/>
      <c r="AD78" s="497">
        <f>ROUND(IFERROR(AD75/AD76,0),2)</f>
        <v>0</v>
      </c>
      <c r="AE78" s="498"/>
      <c r="AF78" s="159"/>
      <c r="AG78" s="497">
        <f>ROUND(IFERROR(AG75/AG76,0),2)</f>
        <v>35.81</v>
      </c>
      <c r="AH78" s="498"/>
      <c r="AI78" s="159"/>
    </row>
    <row r="79" spans="1:35" x14ac:dyDescent="0.3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b">
        <f t="shared" si="21"/>
        <v>1</v>
      </c>
      <c r="AB79" s="502"/>
      <c r="AC79" s="503"/>
      <c r="AD79" s="500"/>
      <c r="AE79" s="501" t="b">
        <f>ROUND(AD77,2)=ROUND(AD78,2)</f>
        <v>1</v>
      </c>
      <c r="AF79" s="502"/>
      <c r="AG79" s="500"/>
      <c r="AH79" s="501" t="b">
        <f>ROUND(AG77,2)=ROUND(AG78,2)</f>
        <v>1</v>
      </c>
      <c r="AI79" s="502"/>
    </row>
    <row r="80" spans="1:35" x14ac:dyDescent="0.3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43"/>
      <c r="P80" s="143"/>
      <c r="Q80" s="143"/>
      <c r="R80" s="143"/>
      <c r="S80" s="143"/>
      <c r="T80" s="143"/>
      <c r="U80" s="143"/>
      <c r="V80" s="143"/>
      <c r="W80" s="143"/>
      <c r="X80" s="143"/>
      <c r="Y80" s="143"/>
      <c r="Z80" s="143"/>
      <c r="AA80" s="143">
        <f>SUM(O80:Z80)</f>
        <v>0</v>
      </c>
      <c r="AB80" s="144" t="str">
        <f>IF(AA80=0,"",IFERROR(AA80/AA$19,""))</f>
        <v/>
      </c>
      <c r="AC80" s="140"/>
      <c r="AD80" s="143"/>
      <c r="AE80" s="144" t="str">
        <f>IF(AD80=0,"",IFERROR(AD80/AD$19,""))</f>
        <v/>
      </c>
      <c r="AF80" s="145">
        <f>IF(AND($AA80="",AD80=""),"",$AA80-AD80)</f>
        <v>0</v>
      </c>
      <c r="AG80" s="143"/>
      <c r="AH80" s="144" t="str">
        <f>IF(AG80=0,"",IFERROR(AG80/AG$19,""))</f>
        <v/>
      </c>
      <c r="AI80" s="145">
        <f>IF(AND($AA80="",AG80=""),"",$AA80-AG80)</f>
        <v>0</v>
      </c>
    </row>
    <row r="81" spans="1:35" x14ac:dyDescent="0.3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3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v>23862.89</v>
      </c>
      <c r="P82" s="507">
        <v>26790.99</v>
      </c>
      <c r="Q82" s="507">
        <v>-375</v>
      </c>
      <c r="R82" s="507"/>
      <c r="S82" s="507">
        <v>-11139.03</v>
      </c>
      <c r="T82" s="507"/>
      <c r="U82" s="507"/>
      <c r="V82" s="507"/>
      <c r="W82" s="507">
        <v>504</v>
      </c>
      <c r="X82" s="507">
        <v>250</v>
      </c>
      <c r="Y82" s="507"/>
      <c r="Z82" s="507"/>
      <c r="AA82" s="507">
        <f>SUM(O82:Z82)</f>
        <v>39893.850000000006</v>
      </c>
      <c r="AB82" s="508">
        <f>IF(AA82=0,"",IFERROR(AA82/AA$19,""))</f>
        <v>1</v>
      </c>
      <c r="AC82" s="140"/>
      <c r="AD82" s="507">
        <v>237948.57</v>
      </c>
      <c r="AE82" s="508">
        <f>IF(AD82=0,"",IFERROR(AD82/AD$19,""))</f>
        <v>1</v>
      </c>
      <c r="AF82" s="509">
        <f>IF(AND($AA82="",AD82=""),"",$AA82-AD82)</f>
        <v>-198054.72</v>
      </c>
      <c r="AG82" s="507">
        <v>129829.71</v>
      </c>
      <c r="AH82" s="508">
        <f>IF(AG82=0,"",IFERROR(AG82/AG$19,""))</f>
        <v>1</v>
      </c>
      <c r="AI82" s="509">
        <f>IF(AND($AA82="",AG82=""),"",$AA82-AG82)</f>
        <v>-89935.86</v>
      </c>
    </row>
    <row r="83" spans="1:35" x14ac:dyDescent="0.35">
      <c r="A83" s="11"/>
      <c r="B83" s="11"/>
      <c r="C83" s="208"/>
      <c r="D83" s="11"/>
      <c r="E83" s="11"/>
      <c r="F83" s="11"/>
      <c r="G83" s="11"/>
      <c r="H83" s="185" t="s">
        <v>818</v>
      </c>
      <c r="I83" s="122" t="str">
        <f>IF(_epmOfflineCondition_,"N",_xll.EVPRO($B$1,$H83,"STYLE"))</f>
        <v>N</v>
      </c>
      <c r="J83" s="122" t="str">
        <f>IF(_epmOfflineCondition_,"N",_xll.EVPRO($B$1,$H83,"CALC"))</f>
        <v>N</v>
      </c>
      <c r="K83" s="11"/>
      <c r="L83" s="90" t="str">
        <f>IF(_epmOfflineCondition_,"947600",_xll.EVPRO($B$1,H83,"JDEID"))</f>
        <v>947600</v>
      </c>
      <c r="M83" s="90" t="str">
        <f>IF(_epmOfflineCondition_,"991570",IF(AND(I83="N",J83="N"),_xll.EVPRO($B$1,H83,"PSFTID"),""))</f>
        <v>991570</v>
      </c>
      <c r="N83" s="90" t="str">
        <f>IF(_epmOfflineCondition_,"Banquet Space Square Footage",IF(_xll.EVDES(H83,$B$1)="#NODATA","",_xll.EVDES(H83,$B$1)))</f>
        <v>Banquet Space Square Footage</v>
      </c>
      <c r="O83" s="507">
        <v>1113</v>
      </c>
      <c r="P83" s="507">
        <v>1113</v>
      </c>
      <c r="Q83" s="507">
        <v>1113</v>
      </c>
      <c r="R83" s="507"/>
      <c r="S83" s="507"/>
      <c r="T83" s="507"/>
      <c r="U83" s="507">
        <v>1113</v>
      </c>
      <c r="V83" s="507">
        <v>1113</v>
      </c>
      <c r="W83" s="507">
        <v>1113</v>
      </c>
      <c r="X83" s="507"/>
      <c r="Y83" s="507"/>
      <c r="Z83" s="507">
        <v>1113</v>
      </c>
      <c r="AA83" s="507">
        <f>SUM(O83:Z83)</f>
        <v>7791</v>
      </c>
      <c r="AB83" s="508"/>
      <c r="AC83" s="140"/>
      <c r="AD83" s="507"/>
      <c r="AE83" s="508"/>
      <c r="AF83" s="509">
        <f>IF(AND($AA83="",AD83=""),"",$AA83-AD83)</f>
        <v>7791</v>
      </c>
      <c r="AG83" s="507">
        <v>37264</v>
      </c>
      <c r="AH83" s="508"/>
      <c r="AI83" s="509">
        <f>IF(AND($AA83="",AG83=""),"",$AA83-AG83)</f>
        <v>-29473</v>
      </c>
    </row>
    <row r="84" spans="1:35" x14ac:dyDescent="0.35">
      <c r="A84" s="11"/>
      <c r="B84" s="11"/>
      <c r="C84" s="208"/>
      <c r="D84" s="11"/>
      <c r="E84" s="11"/>
      <c r="F84" s="11"/>
      <c r="G84" s="11"/>
      <c r="H84" s="185" t="s">
        <v>331</v>
      </c>
      <c r="I84" s="122" t="str">
        <f>IF(_epmOfflineCondition_,"T2",_xll.EVPRO($B$1,$H84,"STYLE"))</f>
        <v>T2</v>
      </c>
      <c r="J84" s="122" t="str">
        <f>IF(_epmOfflineCondition_,"Y",_xll.EVPRO($B$1,$H84,"CALC"))</f>
        <v>Y</v>
      </c>
      <c r="K84" s="11"/>
      <c r="L84" s="90" t="str">
        <f>IF(_epmOfflineCondition_,"946000",_xll.EVPRO($B$1,H84,"JDEID"))</f>
        <v>946000</v>
      </c>
      <c r="M84" s="90" t="str">
        <f>IF(_epmOfflineCondition_,"",IF(AND(I84="N",J84="N"),_xll.EVPRO($B$1,H84,"PSFTID"),""))</f>
        <v/>
      </c>
      <c r="N84" s="90" t="str">
        <f>IF(_epmOfflineCondition_,"Total Customers",IF(_xll.EVDES(H84,$B$1)="#NODATA","",_xll.EVDES(H84,$B$1)))</f>
        <v>Total Customers</v>
      </c>
      <c r="O84" s="507">
        <v>479</v>
      </c>
      <c r="P84" s="507">
        <v>693</v>
      </c>
      <c r="Q84" s="507">
        <v>10</v>
      </c>
      <c r="R84" s="507"/>
      <c r="S84" s="507">
        <v>-280</v>
      </c>
      <c r="T84" s="507"/>
      <c r="U84" s="507"/>
      <c r="V84" s="507"/>
      <c r="W84" s="507"/>
      <c r="X84" s="507">
        <v>10</v>
      </c>
      <c r="Y84" s="507"/>
      <c r="Z84" s="507"/>
      <c r="AA84" s="507">
        <f>SUM(O84:Z84)</f>
        <v>912</v>
      </c>
      <c r="AB84" s="508">
        <f>IF(AA84=0,"",IFERROR(AA84/AA$20,""))</f>
        <v>1</v>
      </c>
      <c r="AC84" s="140"/>
      <c r="AD84" s="507">
        <v>4517</v>
      </c>
      <c r="AE84" s="508">
        <f>IF(AD84=0,"",IFERROR(AD84/AD$20,""))</f>
        <v>1</v>
      </c>
      <c r="AF84" s="509">
        <f>IF(AND($AA84="",AD84=""),"",$AA84-AD84)</f>
        <v>-3605</v>
      </c>
      <c r="AG84" s="507">
        <v>2746</v>
      </c>
      <c r="AH84" s="508">
        <f>IF(AG84=0,"",IFERROR(AG84/AG$20,""))</f>
        <v>1</v>
      </c>
      <c r="AI84" s="509">
        <f>IF(AND($AA84="",AG84=""),"",$AA84-AG84)</f>
        <v>-1834</v>
      </c>
    </row>
    <row r="85" spans="1:35" x14ac:dyDescent="0.35">
      <c r="A85" s="11"/>
      <c r="B85" s="11"/>
      <c r="C85" s="208"/>
      <c r="D85" s="11"/>
      <c r="E85" s="11"/>
      <c r="F85" s="11"/>
      <c r="G85" s="11"/>
      <c r="H85" s="185" t="s">
        <v>311</v>
      </c>
      <c r="I85" s="122" t="str">
        <f>IF(_epmOfflineCondition_,"N",_xll.EVPRO($B$1,$H85,"STYLE"))</f>
        <v>N</v>
      </c>
      <c r="J85" s="122" t="str">
        <f>IF(_epmOfflineCondition_,"Y",_xll.EVPRO($B$1,$H85,"CALC"))</f>
        <v>Y</v>
      </c>
      <c r="K85" s="11"/>
      <c r="L85" s="90"/>
      <c r="M85" s="90"/>
      <c r="N85" s="90" t="str">
        <f>IF(_epmOfflineCondition_,"Total Average Check",IF(_xll.EVDES(H85,$B$1)="#NODATA","",_xll.EVDES(H85,$B$1)))</f>
        <v>Total Average Check</v>
      </c>
      <c r="O85" s="495">
        <v>49.818141962421699</v>
      </c>
      <c r="P85" s="495">
        <v>38.659437229437202</v>
      </c>
      <c r="Q85" s="495">
        <v>-37.5</v>
      </c>
      <c r="R85" s="495"/>
      <c r="S85" s="495">
        <v>39.782249999999998</v>
      </c>
      <c r="T85" s="495"/>
      <c r="U85" s="495"/>
      <c r="V85" s="495"/>
      <c r="W85" s="495"/>
      <c r="X85" s="495">
        <v>25</v>
      </c>
      <c r="Y85" s="495"/>
      <c r="Z85" s="495"/>
      <c r="AA85" s="495">
        <f>IFERROR(AA81/AA83,"")</f>
        <v>0</v>
      </c>
      <c r="AB85" s="495"/>
      <c r="AC85" s="140"/>
      <c r="AD85" s="495">
        <v>52.678452512729699</v>
      </c>
      <c r="AE85" s="495"/>
      <c r="AF85" s="496">
        <f>IF(AND($AA85="",AD85=""),"",$AA85-AD85)</f>
        <v>-52.678452512729699</v>
      </c>
      <c r="AG85" s="495">
        <v>47.279573925710103</v>
      </c>
      <c r="AH85" s="495"/>
      <c r="AI85" s="496">
        <f>IF(AND($AA85="",AG85=""),"",$AA85-AG85)</f>
        <v>-47.279573925710103</v>
      </c>
    </row>
    <row r="86" spans="1:35" x14ac:dyDescent="0.35">
      <c r="A86" s="11"/>
      <c r="B86" s="11"/>
      <c r="C86" s="208"/>
      <c r="D86" s="11"/>
      <c r="E86" s="11"/>
      <c r="F86" s="11"/>
      <c r="G86" s="11"/>
      <c r="H86" s="185" t="s">
        <v>819</v>
      </c>
      <c r="I86" s="122" t="str">
        <f>IF(_epmOfflineCondition_,"N",_xll.EVPRO($B$1,$H86,"STYLE"))</f>
        <v>N</v>
      </c>
      <c r="J86" s="122" t="str">
        <f>IF(_epmOfflineCondition_,"Y",_xll.EVPRO($B$1,$H86,"CALC"))</f>
        <v>Y</v>
      </c>
      <c r="K86" s="11"/>
      <c r="L86" s="90"/>
      <c r="M86" s="90"/>
      <c r="N86" s="90" t="str">
        <f>IF(_epmOfflineCondition_,"Revenue per Square Foot",IF(_xll.EVDES(H86,$B$1)="#NODATA","",_xll.EVDES(H86,$B$1)))</f>
        <v>Revenue per Square Foot</v>
      </c>
      <c r="O86" s="495">
        <v>21.4401527403414</v>
      </c>
      <c r="P86" s="495">
        <v>24.070970350404298</v>
      </c>
      <c r="Q86" s="495">
        <v>-0.33692722371967698</v>
      </c>
      <c r="R86" s="495"/>
      <c r="S86" s="495"/>
      <c r="T86" s="495"/>
      <c r="U86" s="495"/>
      <c r="V86" s="495"/>
      <c r="W86" s="495">
        <v>0.45283018867924502</v>
      </c>
      <c r="X86" s="495"/>
      <c r="Y86" s="495"/>
      <c r="Z86" s="495"/>
      <c r="AA86" s="495">
        <f>IFERROR(AA82/AA84,"")</f>
        <v>43.743256578947374</v>
      </c>
      <c r="AB86" s="495"/>
      <c r="AC86" s="140"/>
      <c r="AD86" s="495"/>
      <c r="AE86" s="495"/>
      <c r="AF86" s="496">
        <f>IF(AND($AA86="",AD86=""),"",$AA86-AD86)</f>
        <v>43.743256578947374</v>
      </c>
      <c r="AG86" s="495">
        <v>3.48405189995706</v>
      </c>
      <c r="AH86" s="495"/>
      <c r="AI86" s="496">
        <f>IF(AND($AA86="",AG86=""),"",$AA86-AG86)</f>
        <v>40.259204678990315</v>
      </c>
    </row>
    <row r="87" spans="1:35" x14ac:dyDescent="0.35">
      <c r="A87" s="11"/>
      <c r="B87" s="11"/>
      <c r="C87" s="208"/>
      <c r="D87" s="11"/>
      <c r="E87" s="11"/>
      <c r="F87" s="11"/>
      <c r="G87" s="11"/>
      <c r="H87" s="185"/>
      <c r="I87" s="122"/>
      <c r="J87" s="122"/>
      <c r="K87" s="11"/>
      <c r="L87" s="90"/>
      <c r="M87" s="90"/>
      <c r="N87" s="90"/>
      <c r="O87" s="174"/>
      <c r="P87" s="174"/>
      <c r="Q87" s="174"/>
      <c r="R87" s="174"/>
      <c r="S87" s="174"/>
      <c r="T87" s="174"/>
      <c r="U87" s="174"/>
      <c r="V87" s="175"/>
      <c r="W87" s="175"/>
      <c r="X87" s="175"/>
      <c r="Y87" s="175"/>
      <c r="Z87" s="175"/>
      <c r="AA87" s="175"/>
      <c r="AB87" s="176"/>
      <c r="AC87" s="140"/>
      <c r="AD87" s="174"/>
      <c r="AE87" s="175"/>
      <c r="AF87" s="176"/>
      <c r="AG87" s="174"/>
      <c r="AH87" s="175"/>
      <c r="AI87" s="176"/>
    </row>
    <row r="88" spans="1:35" x14ac:dyDescent="0.35">
      <c r="A88" s="11"/>
      <c r="B88" s="11"/>
      <c r="C88" s="208"/>
      <c r="D88" s="11"/>
      <c r="E88" s="11"/>
      <c r="F88" s="11"/>
      <c r="G88" s="11"/>
      <c r="H88" s="185"/>
      <c r="I88" s="122"/>
      <c r="J88" s="122"/>
      <c r="K88" s="11"/>
      <c r="L88" s="90"/>
      <c r="M88" s="90"/>
      <c r="N88" s="53" t="s">
        <v>334</v>
      </c>
      <c r="O88" s="162"/>
      <c r="P88" s="163"/>
      <c r="Q88" s="163"/>
      <c r="R88" s="163"/>
      <c r="S88" s="163"/>
      <c r="T88" s="163"/>
      <c r="U88" s="163"/>
      <c r="V88" s="163"/>
      <c r="W88" s="163"/>
      <c r="X88" s="163"/>
      <c r="Y88" s="163"/>
      <c r="Z88" s="163"/>
      <c r="AA88" s="163"/>
      <c r="AB88" s="164"/>
      <c r="AC88" s="140"/>
      <c r="AD88" s="162"/>
      <c r="AE88" s="163"/>
      <c r="AF88" s="164"/>
      <c r="AG88" s="162"/>
      <c r="AH88" s="163"/>
      <c r="AI88" s="164"/>
    </row>
    <row r="89" spans="1:35" hidden="1" outlineLevel="1" x14ac:dyDescent="0.35">
      <c r="A89" s="11"/>
      <c r="B89" s="11"/>
      <c r="C89" s="208"/>
      <c r="D89" s="11"/>
      <c r="E89" s="11"/>
      <c r="F89" s="11"/>
      <c r="G89" s="11"/>
      <c r="H89" s="185" t="s">
        <v>332</v>
      </c>
      <c r="I89" s="122" t="str">
        <f>IF(_epmOfflineCondition_,"T4",_xll.EVPRO($B$1,$H89,"STYLE"))</f>
        <v>T4</v>
      </c>
      <c r="J89" s="122" t="str">
        <f>IF(_epmOfflineCondition_,"Y",_xll.EVPRO($B$1,$H89,"CALC"))</f>
        <v>Y</v>
      </c>
      <c r="K89" s="11"/>
      <c r="L89" s="90"/>
      <c r="M89" s="90"/>
      <c r="N89" s="90" t="str">
        <f>IF(_epmOfflineCondition_,"F&amp;B Kitchen - THW",IF(_xll.EVDES(H89,$B$1)="#NODATA","",_xll.EVDES(H89,$B$1)))</f>
        <v>F&amp;B Kitchen - THW</v>
      </c>
      <c r="O89" s="143"/>
      <c r="P89" s="143"/>
      <c r="Q89" s="143"/>
      <c r="R89" s="143"/>
      <c r="S89" s="143"/>
      <c r="T89" s="143"/>
      <c r="U89" s="143"/>
      <c r="V89" s="143"/>
      <c r="W89" s="143"/>
      <c r="X89" s="143"/>
      <c r="Y89" s="143"/>
      <c r="Z89" s="143"/>
      <c r="AA89" s="143">
        <f>SUM(O89:Z89)</f>
        <v>0</v>
      </c>
      <c r="AB89" s="144"/>
      <c r="AC89" s="140"/>
      <c r="AD89" s="143">
        <v>1175</v>
      </c>
      <c r="AE89" s="144"/>
      <c r="AF89" s="145">
        <f t="shared" ref="AF89:AF94" si="22">IF(AND($AA89="",AD89=""),"",$AA89-AD89)</f>
        <v>-1175</v>
      </c>
      <c r="AG89" s="143">
        <v>385.04</v>
      </c>
      <c r="AH89" s="144"/>
      <c r="AI89" s="145">
        <f t="shared" ref="AI89:AI94" si="23">IF(AND($AA89="",AG89=""),"",$AA89-AG89)</f>
        <v>-385.04</v>
      </c>
    </row>
    <row r="90" spans="1:35" hidden="1" outlineLevel="1" x14ac:dyDescent="0.35">
      <c r="A90" s="11"/>
      <c r="B90" s="11"/>
      <c r="C90" s="208"/>
      <c r="D90" s="11"/>
      <c r="E90" s="11"/>
      <c r="F90" s="11"/>
      <c r="G90" s="11"/>
      <c r="H90" s="185" t="s">
        <v>333</v>
      </c>
      <c r="I90" s="122" t="str">
        <f>IF(_epmOfflineCondition_,"T4",_xll.EVPRO($B$1,$H90,"STYLE"))</f>
        <v>T4</v>
      </c>
      <c r="J90" s="122" t="str">
        <f>IF(_epmOfflineCondition_,"Y",_xll.EVPRO($B$1,$H90,"CALC"))</f>
        <v>Y</v>
      </c>
      <c r="K90" s="11"/>
      <c r="L90" s="90"/>
      <c r="M90" s="90"/>
      <c r="N90" s="90" t="str">
        <f>IF(_epmOfflineCondition_,"F&amp;B Venues - THW",IF(_xll.EVDES(H90,$B$1)="#NODATA","",_xll.EVDES(H90,$B$1)))</f>
        <v>F&amp;B Venues - THW</v>
      </c>
      <c r="O90" s="143"/>
      <c r="P90" s="143"/>
      <c r="Q90" s="143"/>
      <c r="R90" s="143"/>
      <c r="S90" s="143"/>
      <c r="T90" s="143"/>
      <c r="U90" s="143"/>
      <c r="V90" s="143"/>
      <c r="W90" s="143"/>
      <c r="X90" s="143"/>
      <c r="Y90" s="143"/>
      <c r="Z90" s="143"/>
      <c r="AA90" s="143">
        <f>SUM(O90:Z90)</f>
        <v>0</v>
      </c>
      <c r="AB90" s="144"/>
      <c r="AC90" s="140"/>
      <c r="AD90" s="143"/>
      <c r="AE90" s="144"/>
      <c r="AF90" s="145">
        <f t="shared" si="22"/>
        <v>0</v>
      </c>
      <c r="AG90" s="143">
        <v>73.25</v>
      </c>
      <c r="AH90" s="144"/>
      <c r="AI90" s="145">
        <f t="shared" si="23"/>
        <v>-73.25</v>
      </c>
    </row>
    <row r="91" spans="1:35" hidden="1" outlineLevel="1" x14ac:dyDescent="0.35">
      <c r="A91" s="11"/>
      <c r="B91" s="11"/>
      <c r="C91" s="208"/>
      <c r="D91" s="11"/>
      <c r="E91" s="11"/>
      <c r="F91" s="11"/>
      <c r="G91" s="11"/>
      <c r="H91" s="185" t="s">
        <v>774</v>
      </c>
      <c r="I91" s="122" t="str">
        <f>IF(_epmOfflineCondition_,"T4",_xll.EVPRO($B$1,$H91,"STYLE"))</f>
        <v>T4</v>
      </c>
      <c r="J91" s="122" t="str">
        <f>IF(_epmOfflineCondition_,"Y",_xll.EVPRO($B$1,$H91,"CALC"))</f>
        <v>Y</v>
      </c>
      <c r="K91" s="11"/>
      <c r="L91" s="90"/>
      <c r="M91" s="90"/>
      <c r="N91" s="90" t="str">
        <f>IF(_epmOfflineCondition_,"Banquet &amp; Conf/Catering Service - THW",IF(_xll.EVDES(H91,$B$1)="#NODATA","",_xll.EVDES(H91,$B$1)))</f>
        <v>Banquet &amp; Conf/Catering Service - THW</v>
      </c>
      <c r="O91" s="143">
        <v>123.52</v>
      </c>
      <c r="P91" s="143">
        <v>60.75</v>
      </c>
      <c r="Q91" s="143"/>
      <c r="R91" s="143"/>
      <c r="S91" s="143"/>
      <c r="T91" s="143"/>
      <c r="U91" s="143"/>
      <c r="V91" s="143"/>
      <c r="W91" s="143"/>
      <c r="X91" s="143"/>
      <c r="Y91" s="143">
        <v>56</v>
      </c>
      <c r="Z91" s="143">
        <v>37.770000000000003</v>
      </c>
      <c r="AA91" s="143">
        <f>SUM(O91:Z91)</f>
        <v>278.03999999999996</v>
      </c>
      <c r="AB91" s="144"/>
      <c r="AC91" s="140"/>
      <c r="AD91" s="143">
        <v>3462</v>
      </c>
      <c r="AE91" s="144"/>
      <c r="AF91" s="145">
        <f t="shared" si="22"/>
        <v>-3183.96</v>
      </c>
      <c r="AG91" s="143">
        <v>1190.49</v>
      </c>
      <c r="AH91" s="144"/>
      <c r="AI91" s="145">
        <f t="shared" si="23"/>
        <v>-912.45</v>
      </c>
    </row>
    <row r="92" spans="1:35" collapsed="1" x14ac:dyDescent="0.35">
      <c r="A92" s="11"/>
      <c r="B92" s="11"/>
      <c r="C92" s="208"/>
      <c r="D92" s="11"/>
      <c r="E92" s="11"/>
      <c r="F92" s="11"/>
      <c r="G92" s="11"/>
      <c r="H92" s="185"/>
      <c r="I92" s="122"/>
      <c r="J92" s="122"/>
      <c r="K92" s="11"/>
      <c r="L92" s="90"/>
      <c r="M92" s="90"/>
      <c r="N92" s="104" t="s">
        <v>335</v>
      </c>
      <c r="O92" s="510" t="str">
        <f t="shared" ref="O92:AA92" si="24">IFERROR(O$84/O89,"")</f>
        <v/>
      </c>
      <c r="P92" s="510" t="str">
        <f t="shared" si="24"/>
        <v/>
      </c>
      <c r="Q92" s="510" t="str">
        <f t="shared" si="24"/>
        <v/>
      </c>
      <c r="R92" s="510" t="str">
        <f t="shared" si="24"/>
        <v/>
      </c>
      <c r="S92" s="510" t="str">
        <f t="shared" si="24"/>
        <v/>
      </c>
      <c r="T92" s="510" t="str">
        <f t="shared" si="24"/>
        <v/>
      </c>
      <c r="U92" s="510" t="str">
        <f t="shared" si="24"/>
        <v/>
      </c>
      <c r="V92" s="510" t="str">
        <f t="shared" si="24"/>
        <v/>
      </c>
      <c r="W92" s="510" t="str">
        <f t="shared" si="24"/>
        <v/>
      </c>
      <c r="X92" s="510" t="str">
        <f t="shared" si="24"/>
        <v/>
      </c>
      <c r="Y92" s="510" t="str">
        <f t="shared" si="24"/>
        <v/>
      </c>
      <c r="Z92" s="510" t="str">
        <f t="shared" si="24"/>
        <v/>
      </c>
      <c r="AA92" s="510" t="str">
        <f t="shared" si="24"/>
        <v/>
      </c>
      <c r="AB92" s="511"/>
      <c r="AC92" s="140"/>
      <c r="AD92" s="510">
        <f>IFERROR(AD$84/AD89,"")</f>
        <v>3.8442553191489361</v>
      </c>
      <c r="AE92" s="511"/>
      <c r="AF92" s="214" t="e">
        <f t="shared" si="22"/>
        <v>#VALUE!</v>
      </c>
      <c r="AG92" s="510">
        <f>IFERROR(AG$84/AG89,"")</f>
        <v>7.1317265738624558</v>
      </c>
      <c r="AH92" s="511"/>
      <c r="AI92" s="214" t="e">
        <f t="shared" si="23"/>
        <v>#VALUE!</v>
      </c>
    </row>
    <row r="93" spans="1:35" x14ac:dyDescent="0.35">
      <c r="A93" s="11"/>
      <c r="B93" s="11"/>
      <c r="C93" s="208"/>
      <c r="D93" s="11"/>
      <c r="E93" s="11"/>
      <c r="F93" s="11"/>
      <c r="G93" s="11"/>
      <c r="H93" s="185"/>
      <c r="I93" s="122"/>
      <c r="J93" s="122"/>
      <c r="K93" s="11"/>
      <c r="L93" s="90"/>
      <c r="M93" s="90"/>
      <c r="N93" s="104" t="s">
        <v>336</v>
      </c>
      <c r="O93" s="510" t="str">
        <f t="shared" ref="O93:AA93" si="25">IFERROR(O$84/O90,"")</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IFERROR(AD$84/AD90,"")</f>
        <v/>
      </c>
      <c r="AE93" s="511"/>
      <c r="AF93" s="214" t="str">
        <f t="shared" si="22"/>
        <v/>
      </c>
      <c r="AG93" s="510">
        <f>IFERROR(AG$84/AG90,"")</f>
        <v>37.488054607508531</v>
      </c>
      <c r="AH93" s="511"/>
      <c r="AI93" s="214" t="e">
        <f t="shared" si="23"/>
        <v>#VALUE!</v>
      </c>
    </row>
    <row r="94" spans="1:35" x14ac:dyDescent="0.35">
      <c r="A94" s="11"/>
      <c r="B94" s="11"/>
      <c r="C94" s="208"/>
      <c r="D94" s="11"/>
      <c r="E94" s="11"/>
      <c r="F94" s="11"/>
      <c r="G94" s="11"/>
      <c r="H94" s="185"/>
      <c r="I94" s="122"/>
      <c r="J94" s="122"/>
      <c r="K94" s="11"/>
      <c r="L94" s="90"/>
      <c r="M94" s="90"/>
      <c r="N94" s="104" t="s">
        <v>775</v>
      </c>
      <c r="O94" s="510">
        <f t="shared" ref="O94:AA94" si="26">IFERROR(O$84/O91,"")</f>
        <v>3.877914507772021</v>
      </c>
      <c r="P94" s="510">
        <f t="shared" si="26"/>
        <v>11.407407407407407</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f t="shared" si="26"/>
        <v>0</v>
      </c>
      <c r="Z94" s="510">
        <f t="shared" si="26"/>
        <v>0</v>
      </c>
      <c r="AA94" s="510">
        <f t="shared" si="26"/>
        <v>3.2801035822183864</v>
      </c>
      <c r="AB94" s="511"/>
      <c r="AC94" s="140"/>
      <c r="AD94" s="510">
        <f>IFERROR(AD$84/AD91,"")</f>
        <v>1.30473714615829</v>
      </c>
      <c r="AE94" s="511"/>
      <c r="AF94" s="214">
        <f t="shared" si="22"/>
        <v>1.9753664360600964</v>
      </c>
      <c r="AG94" s="510">
        <f>IFERROR(AG$84/AG91,"")</f>
        <v>2.3066132432863777</v>
      </c>
      <c r="AH94" s="511"/>
      <c r="AI94" s="214">
        <f t="shared" si="23"/>
        <v>0.97349033893200865</v>
      </c>
    </row>
    <row r="95" spans="1:35" x14ac:dyDescent="0.3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61"/>
      <c r="AC95" s="140"/>
      <c r="AD95" s="514"/>
      <c r="AE95" s="459"/>
      <c r="AF95" s="161"/>
      <c r="AG95" s="459"/>
      <c r="AH95" s="459"/>
      <c r="AI95" s="161"/>
    </row>
    <row r="96" spans="1:35" x14ac:dyDescent="0.35">
      <c r="A96" s="11"/>
      <c r="B96" s="11"/>
      <c r="C96" s="208"/>
      <c r="D96" s="11"/>
      <c r="E96" s="11"/>
      <c r="F96" s="11"/>
      <c r="G96" s="11"/>
      <c r="H96" s="185"/>
      <c r="I96" s="122"/>
      <c r="J96" s="122"/>
      <c r="K96" s="11"/>
      <c r="L96" s="90"/>
      <c r="M96" s="90"/>
      <c r="N96" s="53" t="s">
        <v>343</v>
      </c>
      <c r="O96" s="514"/>
      <c r="P96" s="459"/>
      <c r="Q96" s="459"/>
      <c r="R96" s="459"/>
      <c r="S96" s="459"/>
      <c r="T96" s="459"/>
      <c r="U96" s="459"/>
      <c r="V96" s="459"/>
      <c r="W96" s="459"/>
      <c r="X96" s="459"/>
      <c r="Y96" s="459"/>
      <c r="Z96" s="459"/>
      <c r="AA96" s="459"/>
      <c r="AB96" s="515"/>
      <c r="AC96" s="140"/>
      <c r="AD96" s="516"/>
      <c r="AE96" s="517"/>
      <c r="AF96" s="161"/>
      <c r="AG96" s="459"/>
      <c r="AH96" s="517"/>
      <c r="AI96" s="161"/>
    </row>
    <row r="97" spans="1:35" x14ac:dyDescent="0.35">
      <c r="A97" s="11"/>
      <c r="B97" s="11"/>
      <c r="C97" s="208"/>
      <c r="D97" s="11"/>
      <c r="E97" s="11"/>
      <c r="F97" s="11"/>
      <c r="G97" s="11"/>
      <c r="H97" s="185"/>
      <c r="I97" s="122"/>
      <c r="J97" s="122"/>
      <c r="K97" s="11"/>
      <c r="L97" s="90"/>
      <c r="M97" s="90"/>
      <c r="N97" s="53" t="s">
        <v>337</v>
      </c>
      <c r="O97" s="162"/>
      <c r="P97" s="163"/>
      <c r="Q97" s="163"/>
      <c r="R97" s="163"/>
      <c r="S97" s="163"/>
      <c r="T97" s="163"/>
      <c r="U97" s="163"/>
      <c r="V97" s="163"/>
      <c r="W97" s="163"/>
      <c r="X97" s="163"/>
      <c r="Y97" s="163"/>
      <c r="Z97" s="163"/>
      <c r="AA97" s="163"/>
      <c r="AB97" s="164"/>
      <c r="AC97" s="140"/>
      <c r="AD97" s="162"/>
      <c r="AE97" s="163"/>
      <c r="AF97" s="164"/>
      <c r="AG97" s="163"/>
      <c r="AH97" s="163"/>
      <c r="AI97" s="164"/>
    </row>
    <row r="98" spans="1:35" x14ac:dyDescent="0.3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43"/>
      <c r="P98" s="143">
        <v>258.99</v>
      </c>
      <c r="Q98" s="143"/>
      <c r="R98" s="143"/>
      <c r="S98" s="143"/>
      <c r="T98" s="143"/>
      <c r="U98" s="143"/>
      <c r="V98" s="143"/>
      <c r="W98" s="143"/>
      <c r="X98" s="143"/>
      <c r="Y98" s="143"/>
      <c r="Z98" s="143"/>
      <c r="AA98" s="143">
        <f>SUM(O98:Z98)</f>
        <v>258.99</v>
      </c>
      <c r="AB98" s="144">
        <f>IF(AA98=0,"",IFERROR(AA98/AA$19,""))</f>
        <v>6.4919780868479722E-3</v>
      </c>
      <c r="AC98" s="140"/>
      <c r="AD98" s="143"/>
      <c r="AE98" s="144" t="str">
        <f>IF(AD98=0,"",IFERROR(AD98/AD$19,""))</f>
        <v/>
      </c>
      <c r="AF98" s="145">
        <f>IF(AND($AA98="",AD98=""),"",$AA98-AD98)</f>
        <v>258.99</v>
      </c>
      <c r="AG98" s="143"/>
      <c r="AH98" s="144" t="str">
        <f>IF(AG98=0,"",IFERROR(AG98/AG$19,""))</f>
        <v/>
      </c>
      <c r="AI98" s="145">
        <f>IF(AND($AA98="",AG98=""),"",$AA98-AG98)</f>
        <v>258.99</v>
      </c>
    </row>
    <row r="99" spans="1:35" x14ac:dyDescent="0.3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43"/>
      <c r="P99" s="143">
        <v>7</v>
      </c>
      <c r="Q99" s="143"/>
      <c r="R99" s="143"/>
      <c r="S99" s="143"/>
      <c r="T99" s="143"/>
      <c r="U99" s="143"/>
      <c r="V99" s="143"/>
      <c r="W99" s="143"/>
      <c r="X99" s="143"/>
      <c r="Y99" s="143"/>
      <c r="Z99" s="143"/>
      <c r="AA99" s="143">
        <f>SUM(O99:Z99)</f>
        <v>7</v>
      </c>
      <c r="AB99" s="144">
        <f>IF(AA99=0,"",IFERROR(AA99/AA$19,""))</f>
        <v>1.7546564194731768E-4</v>
      </c>
      <c r="AC99" s="140"/>
      <c r="AD99" s="143"/>
      <c r="AE99" s="144" t="str">
        <f>IF(AD99=0,"",IFERROR(AD99/AD$19,""))</f>
        <v/>
      </c>
      <c r="AF99" s="145">
        <f>IF(AND($AA99="",AD99=""),"",$AA99-AD99)</f>
        <v>7</v>
      </c>
      <c r="AG99" s="143">
        <v>6</v>
      </c>
      <c r="AH99" s="144">
        <f>IF(AG99=0,"",IFERROR(AG99/AG$19,""))</f>
        <v>4.6214383441201555E-5</v>
      </c>
      <c r="AI99" s="145">
        <f>IF(AND($AA99="",AG99=""),"",$AA99-AG99)</f>
        <v>1</v>
      </c>
    </row>
    <row r="100" spans="1:35" x14ac:dyDescent="0.3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43"/>
      <c r="P100" s="143">
        <v>962</v>
      </c>
      <c r="Q100" s="143"/>
      <c r="R100" s="143"/>
      <c r="S100" s="143"/>
      <c r="T100" s="143"/>
      <c r="U100" s="143"/>
      <c r="V100" s="143"/>
      <c r="W100" s="143"/>
      <c r="X100" s="143"/>
      <c r="Y100" s="143"/>
      <c r="Z100" s="143"/>
      <c r="AA100" s="143">
        <f>SUM(O100:Z100)</f>
        <v>962</v>
      </c>
      <c r="AB100" s="144">
        <f>IF(AA100=0,"",IFERROR(AA100/AA$19,""))</f>
        <v>2.4113992507617085E-2</v>
      </c>
      <c r="AC100" s="140"/>
      <c r="AD100" s="143">
        <v>18803.558772</v>
      </c>
      <c r="AE100" s="144">
        <f>IF(AD100=0,"",IFERROR(AD100/AD$19,""))</f>
        <v>7.9023625870077718E-2</v>
      </c>
      <c r="AF100" s="145">
        <f>IF(AND($AA100="",AD100=""),"",$AA100-AD100)</f>
        <v>-17841.558772</v>
      </c>
      <c r="AG100" s="143">
        <v>4153.08</v>
      </c>
      <c r="AH100" s="144">
        <f>IF(AG100=0,"",IFERROR(AG100/AG$19,""))</f>
        <v>3.1988671930330892E-2</v>
      </c>
      <c r="AI100" s="145">
        <f>IF(AND($AA100="",AG100=""),"",$AA100-AG100)</f>
        <v>-3191.08</v>
      </c>
    </row>
    <row r="101" spans="1:35" x14ac:dyDescent="0.35">
      <c r="A101" s="11"/>
      <c r="B101" s="11"/>
      <c r="C101" s="208"/>
      <c r="D101" s="11"/>
      <c r="E101" s="11"/>
      <c r="F101" s="11"/>
      <c r="G101" s="11"/>
      <c r="H101" s="185" t="s">
        <v>808</v>
      </c>
      <c r="I101" s="122"/>
      <c r="J101" s="122"/>
      <c r="K101" s="11"/>
      <c r="L101" s="90" t="str">
        <f>IF(_epmOfflineCondition_,"471210",_xll.EVPRO($B$1,H101,"JDEID"))</f>
        <v>471210</v>
      </c>
      <c r="M101" s="90" t="str">
        <f>IF(_epmOfflineCondition_,"",IF(AND(I101="N",J101="N"),_xll.EVPRO($B$1,H101,"PSFTID"),""))</f>
        <v/>
      </c>
      <c r="N101" s="90" t="str">
        <f>IF(_epmOfflineCondition_,"Reception Liquor",IF(_xll.EVDES(H101,$B$1)="#NODATA","",_xll.EVDES(H101,$B$1)))</f>
        <v>Reception Liquor</v>
      </c>
      <c r="O101" s="143">
        <v>689</v>
      </c>
      <c r="P101" s="143"/>
      <c r="Q101" s="143"/>
      <c r="R101" s="143"/>
      <c r="S101" s="143"/>
      <c r="T101" s="143"/>
      <c r="U101" s="143"/>
      <c r="V101" s="143"/>
      <c r="W101" s="143"/>
      <c r="X101" s="143"/>
      <c r="Y101" s="143"/>
      <c r="Z101" s="143"/>
      <c r="AA101" s="143">
        <f>SUM(O101:Z101)</f>
        <v>689</v>
      </c>
      <c r="AB101" s="144">
        <f>IF(AA101=0,"",IFERROR(AA101/AA$19,""))</f>
        <v>1.7270832471671695E-2</v>
      </c>
      <c r="AC101" s="140"/>
      <c r="AD101" s="143"/>
      <c r="AE101" s="144" t="str">
        <f>IF(AD101=0,"",IFERROR(AD101/AD$19,""))</f>
        <v/>
      </c>
      <c r="AF101" s="145">
        <f>IF(AND($AA101="",AD101=""),"",$AA101-AD101)</f>
        <v>689</v>
      </c>
      <c r="AG101" s="143"/>
      <c r="AH101" s="144" t="str">
        <f>IF(AG101=0,"",IFERROR(AG101/AG$19,""))</f>
        <v/>
      </c>
      <c r="AI101" s="145">
        <f>IF(AND($AA101="",AG101=""),"",$AA101-AG101)</f>
        <v>689</v>
      </c>
    </row>
    <row r="102" spans="1:35" x14ac:dyDescent="0.35">
      <c r="A102" s="11"/>
      <c r="B102" s="11"/>
      <c r="C102" s="208"/>
      <c r="D102" s="11"/>
      <c r="E102" s="11"/>
      <c r="F102" s="11"/>
      <c r="G102" s="11"/>
      <c r="H102" s="185" t="s">
        <v>340</v>
      </c>
      <c r="I102" s="122"/>
      <c r="J102" s="122"/>
      <c r="K102" s="11"/>
      <c r="L102" s="90" t="str">
        <f>IF(_epmOfflineCondition_,"",_xll.EVPRO($B$1,H102,"JDEID"))</f>
        <v/>
      </c>
      <c r="M102" s="90" t="str">
        <f>IF(_epmOfflineCondition_,"",IF(AND(I102="N",J102="N"),_xll.EVPRO($B$1,H102,"PSFTID"),""))</f>
        <v/>
      </c>
      <c r="N102" s="106" t="str">
        <f>IF(_epmOfflineCondition_,"Liquor Revenue ",IF(_xll.EVDES(H102,$B$1)="#NODATA","",_xll.EVDES(H102,$B$1)))</f>
        <v xml:space="preserve">Liquor Revenue </v>
      </c>
      <c r="O102" s="166">
        <v>689</v>
      </c>
      <c r="P102" s="166">
        <v>1227.99</v>
      </c>
      <c r="Q102" s="166"/>
      <c r="R102" s="166"/>
      <c r="S102" s="166"/>
      <c r="T102" s="166"/>
      <c r="U102" s="166"/>
      <c r="V102" s="166"/>
      <c r="W102" s="166"/>
      <c r="X102" s="166"/>
      <c r="Y102" s="166"/>
      <c r="Z102" s="166"/>
      <c r="AA102" s="166">
        <f>SUM(O102:Z102)</f>
        <v>1916.99</v>
      </c>
      <c r="AB102" s="167">
        <f>IF(AA102=0,"",IFERROR(AA102/AA$19,""))</f>
        <v>4.8052268708084073E-2</v>
      </c>
      <c r="AC102" s="140"/>
      <c r="AD102" s="166">
        <v>18803.558772</v>
      </c>
      <c r="AE102" s="167">
        <f>IF(AD102=0,"",IFERROR(AD102/AD$19,""))</f>
        <v>7.9023625870077718E-2</v>
      </c>
      <c r="AF102" s="168">
        <f>IF(AND($AA102="",AD102=""),"",$AA102-AD102)</f>
        <v>-16886.568771999999</v>
      </c>
      <c r="AG102" s="166">
        <v>4159.08</v>
      </c>
      <c r="AH102" s="167">
        <f>IF(AG102=0,"",IFERROR(AG102/AG$19,""))</f>
        <v>3.203488631377209E-2</v>
      </c>
      <c r="AI102" s="168">
        <f>IF(AND($AA102="",AG102=""),"",$AA102-AG102)</f>
        <v>-2242.09</v>
      </c>
    </row>
    <row r="103" spans="1:35" x14ac:dyDescent="0.35">
      <c r="A103" s="11"/>
      <c r="B103" s="11"/>
      <c r="C103" s="208"/>
      <c r="D103" s="11"/>
      <c r="E103" s="11"/>
      <c r="F103" s="11"/>
      <c r="G103" s="11"/>
      <c r="H103" s="185"/>
      <c r="I103" s="122"/>
      <c r="J103" s="122"/>
      <c r="K103" s="11"/>
      <c r="L103" s="90"/>
      <c r="M103" s="90"/>
      <c r="N103" s="53"/>
      <c r="O103" s="174"/>
      <c r="P103" s="175"/>
      <c r="Q103" s="175"/>
      <c r="R103" s="175"/>
      <c r="S103" s="175"/>
      <c r="T103" s="175"/>
      <c r="U103" s="175"/>
      <c r="V103" s="175"/>
      <c r="W103" s="175"/>
      <c r="X103" s="175"/>
      <c r="Y103" s="175"/>
      <c r="Z103" s="175"/>
      <c r="AA103" s="175"/>
      <c r="AB103" s="176"/>
      <c r="AC103" s="140"/>
      <c r="AD103" s="174"/>
      <c r="AE103" s="175"/>
      <c r="AF103" s="176"/>
      <c r="AG103" s="174"/>
      <c r="AH103" s="175"/>
      <c r="AI103" s="176"/>
    </row>
    <row r="104" spans="1:35" x14ac:dyDescent="0.35">
      <c r="A104" s="11"/>
      <c r="B104" s="11"/>
      <c r="C104" s="208"/>
      <c r="D104" s="11"/>
      <c r="E104" s="11"/>
      <c r="F104" s="11"/>
      <c r="G104" s="11"/>
      <c r="H104" s="185"/>
      <c r="I104" s="122"/>
      <c r="J104" s="122"/>
      <c r="K104" s="11"/>
      <c r="L104" s="90"/>
      <c r="M104" s="90"/>
      <c r="N104" s="53" t="s">
        <v>339</v>
      </c>
      <c r="O104" s="162"/>
      <c r="P104" s="163"/>
      <c r="Q104" s="163"/>
      <c r="R104" s="163"/>
      <c r="S104" s="163"/>
      <c r="T104" s="163"/>
      <c r="U104" s="163"/>
      <c r="V104" s="163"/>
      <c r="W104" s="163"/>
      <c r="X104" s="163"/>
      <c r="Y104" s="163"/>
      <c r="Z104" s="163"/>
      <c r="AA104" s="163"/>
      <c r="AB104" s="164"/>
      <c r="AC104" s="140"/>
      <c r="AD104" s="162"/>
      <c r="AE104" s="163"/>
      <c r="AF104" s="164"/>
      <c r="AG104" s="162"/>
      <c r="AH104" s="163"/>
      <c r="AI104" s="164"/>
    </row>
    <row r="105" spans="1:35" x14ac:dyDescent="0.35">
      <c r="A105" s="11"/>
      <c r="B105" s="11"/>
      <c r="C105" s="208"/>
      <c r="D105" s="11"/>
      <c r="E105" s="11"/>
      <c r="F105" s="11"/>
      <c r="G105" s="11"/>
      <c r="H105" s="185" t="s">
        <v>295</v>
      </c>
      <c r="I105" s="122"/>
      <c r="J105" s="122"/>
      <c r="K105" s="11"/>
      <c r="L105" s="90" t="str">
        <f>IF(_epmOfflineCondition_,"461300",_xll.EVPRO($B$1,H105,"JDEID"))</f>
        <v>461300</v>
      </c>
      <c r="M105" s="90" t="str">
        <f>IF(_epmOfflineCondition_,"",IF(AND(I105="N",J105="N"),_xll.EVPRO($B$1,H105,"PSFTID"),""))</f>
        <v/>
      </c>
      <c r="N105" s="90" t="str">
        <f>IF(_epmOfflineCondition_,"Breakfast Beer",IF(_xll.EVDES(H105,$B$1)="#NODATA","",_xll.EVDES(H105,$B$1)))</f>
        <v>Breakfast Beer</v>
      </c>
      <c r="O105" s="143"/>
      <c r="P105" s="143"/>
      <c r="Q105" s="143"/>
      <c r="R105" s="143"/>
      <c r="S105" s="143"/>
      <c r="T105" s="143"/>
      <c r="U105" s="143"/>
      <c r="V105" s="143"/>
      <c r="W105" s="143"/>
      <c r="X105" s="143"/>
      <c r="Y105" s="143"/>
      <c r="Z105" s="143"/>
      <c r="AA105" s="143">
        <f>SUM(O105:Z105)</f>
        <v>0</v>
      </c>
      <c r="AB105" s="144" t="str">
        <f>IF(AA105=0,"",IFERROR(AA105/AA$19,""))</f>
        <v/>
      </c>
      <c r="AC105" s="140"/>
      <c r="AD105" s="143"/>
      <c r="AE105" s="144" t="str">
        <f>IF(AD105=0,"",IFERROR(AD105/AD$19,""))</f>
        <v/>
      </c>
      <c r="AF105" s="145">
        <f>IF(AND($AA105="",AD105=""),"",$AA105-AD105)</f>
        <v>0</v>
      </c>
      <c r="AG105" s="143">
        <v>8</v>
      </c>
      <c r="AH105" s="144">
        <f>IF(AG105=0,"",IFERROR(AG105/AG$19,""))</f>
        <v>6.1619177921602074E-5</v>
      </c>
      <c r="AI105" s="145">
        <f>IF(AND($AA105="",AG105=""),"",$AA105-AG105)</f>
        <v>-8</v>
      </c>
    </row>
    <row r="106" spans="1:35" x14ac:dyDescent="0.35">
      <c r="A106" s="11"/>
      <c r="B106" s="11"/>
      <c r="C106" s="208"/>
      <c r="D106" s="11"/>
      <c r="E106" s="11"/>
      <c r="F106" s="11"/>
      <c r="G106" s="11"/>
      <c r="H106" s="185" t="s">
        <v>305</v>
      </c>
      <c r="I106" s="122"/>
      <c r="J106" s="122"/>
      <c r="K106" s="11"/>
      <c r="L106" s="90" t="str">
        <f>IF(_epmOfflineCondition_,"462300",_xll.EVPRO($B$1,H106,"JDEID"))</f>
        <v>462300</v>
      </c>
      <c r="M106" s="90" t="str">
        <f>IF(_epmOfflineCondition_,"",IF(AND(I106="N",J106="N"),_xll.EVPRO($B$1,H106,"PSFTID"),""))</f>
        <v/>
      </c>
      <c r="N106" s="90" t="str">
        <f>IF(_epmOfflineCondition_,"Lunch Beer",IF(_xll.EVDES(H106,$B$1)="#NODATA","",_xll.EVDES(H106,$B$1)))</f>
        <v>Lunch Beer</v>
      </c>
      <c r="O106" s="143">
        <v>102</v>
      </c>
      <c r="P106" s="143"/>
      <c r="Q106" s="143"/>
      <c r="R106" s="143"/>
      <c r="S106" s="143"/>
      <c r="T106" s="143"/>
      <c r="U106" s="143"/>
      <c r="V106" s="143"/>
      <c r="W106" s="143"/>
      <c r="X106" s="143"/>
      <c r="Y106" s="143"/>
      <c r="Z106" s="143"/>
      <c r="AA106" s="143">
        <f>SUM(O106:Z106)</f>
        <v>102</v>
      </c>
      <c r="AB106" s="144">
        <f>IF(AA106=0,"",IFERROR(AA106/AA$19,""))</f>
        <v>2.5567850683752003E-3</v>
      </c>
      <c r="AC106" s="140"/>
      <c r="AD106" s="143"/>
      <c r="AE106" s="144" t="str">
        <f>IF(AD106=0,"",IFERROR(AD106/AD$19,""))</f>
        <v/>
      </c>
      <c r="AF106" s="145">
        <f>IF(AND($AA106="",AD106=""),"",$AA106-AD106)</f>
        <v>102</v>
      </c>
      <c r="AG106" s="143">
        <v>1307</v>
      </c>
      <c r="AH106" s="144">
        <f>IF(AG106=0,"",IFERROR(AG106/AG$19,""))</f>
        <v>1.0067033192941739E-2</v>
      </c>
      <c r="AI106" s="145">
        <f>IF(AND($AA106="",AG106=""),"",$AA106-AG106)</f>
        <v>-1205</v>
      </c>
    </row>
    <row r="107" spans="1:35" x14ac:dyDescent="0.35">
      <c r="A107" s="11"/>
      <c r="B107" s="11"/>
      <c r="C107" s="208"/>
      <c r="D107" s="11"/>
      <c r="E107" s="11"/>
      <c r="F107" s="11"/>
      <c r="G107" s="11"/>
      <c r="H107" s="185" t="s">
        <v>306</v>
      </c>
      <c r="I107" s="122"/>
      <c r="J107" s="122"/>
      <c r="K107" s="11"/>
      <c r="L107" s="90" t="str">
        <f>IF(_epmOfflineCondition_,"463300",_xll.EVPRO($B$1,H107,"JDEID"))</f>
        <v>463300</v>
      </c>
      <c r="M107" s="90" t="str">
        <f>IF(_epmOfflineCondition_,"",IF(AND(I107="N",J107="N"),_xll.EVPRO($B$1,H107,"PSFTID"),""))</f>
        <v/>
      </c>
      <c r="N107" s="90" t="str">
        <f>IF(_epmOfflineCondition_,"Dinner Beer",IF(_xll.EVDES(H107,$B$1)="#NODATA","",_xll.EVDES(H107,$B$1)))</f>
        <v>Dinner Beer</v>
      </c>
      <c r="O107" s="143"/>
      <c r="P107" s="143">
        <v>165</v>
      </c>
      <c r="Q107" s="143"/>
      <c r="R107" s="143"/>
      <c r="S107" s="143"/>
      <c r="T107" s="143"/>
      <c r="U107" s="143"/>
      <c r="V107" s="143"/>
      <c r="W107" s="143"/>
      <c r="X107" s="143"/>
      <c r="Y107" s="143"/>
      <c r="Z107" s="143"/>
      <c r="AA107" s="143">
        <f>SUM(O107:Z107)</f>
        <v>165</v>
      </c>
      <c r="AB107" s="144">
        <f>IF(AA107=0,"",IFERROR(AA107/AA$19,""))</f>
        <v>4.1359758459010593E-3</v>
      </c>
      <c r="AC107" s="140"/>
      <c r="AD107" s="143">
        <v>5251.5881460000001</v>
      </c>
      <c r="AE107" s="144">
        <f>IF(AD107=0,"",IFERROR(AD107/AD$19,""))</f>
        <v>2.207026562924921E-2</v>
      </c>
      <c r="AF107" s="145">
        <f>IF(AND($AA107="",AD107=""),"",$AA107-AD107)</f>
        <v>-5086.5881460000001</v>
      </c>
      <c r="AG107" s="143">
        <v>1448</v>
      </c>
      <c r="AH107" s="144">
        <f>IF(AG107=0,"",IFERROR(AG107/AG$19,""))</f>
        <v>1.1153071203809975E-2</v>
      </c>
      <c r="AI107" s="145">
        <f>IF(AND($AA107="",AG107=""),"",$AA107-AG107)</f>
        <v>-1283</v>
      </c>
    </row>
    <row r="108" spans="1:35" x14ac:dyDescent="0.35">
      <c r="A108" s="11"/>
      <c r="B108" s="11"/>
      <c r="C108" s="208"/>
      <c r="D108" s="11"/>
      <c r="E108" s="11"/>
      <c r="F108" s="11"/>
      <c r="G108" s="11"/>
      <c r="H108" s="185" t="s">
        <v>809</v>
      </c>
      <c r="I108" s="122"/>
      <c r="J108" s="122"/>
      <c r="K108" s="11"/>
      <c r="L108" s="90" t="str">
        <f>IF(_epmOfflineCondition_,"471310",_xll.EVPRO($B$1,H108,"JDEID"))</f>
        <v>471310</v>
      </c>
      <c r="M108" s="90" t="str">
        <f>IF(_epmOfflineCondition_,"",IF(AND(I108="N",J108="N"),_xll.EVPRO($B$1,H108,"PSFTID"),""))</f>
        <v/>
      </c>
      <c r="N108" s="90" t="str">
        <f>IF(_epmOfflineCondition_,"Reception Beer",IF(_xll.EVDES(H108,$B$1)="#NODATA","",_xll.EVDES(H108,$B$1)))</f>
        <v>Reception Beer</v>
      </c>
      <c r="O108" s="143">
        <v>125</v>
      </c>
      <c r="P108" s="143"/>
      <c r="Q108" s="143"/>
      <c r="R108" s="143"/>
      <c r="S108" s="143"/>
      <c r="T108" s="143"/>
      <c r="U108" s="143"/>
      <c r="V108" s="143"/>
      <c r="W108" s="143"/>
      <c r="X108" s="143"/>
      <c r="Y108" s="143"/>
      <c r="Z108" s="143"/>
      <c r="AA108" s="143">
        <f>SUM(O108:Z108)</f>
        <v>125</v>
      </c>
      <c r="AB108" s="144">
        <f>IF(AA108=0,"",IFERROR(AA108/AA$19,""))</f>
        <v>3.1333150347735298E-3</v>
      </c>
      <c r="AC108" s="140"/>
      <c r="AD108" s="143"/>
      <c r="AE108" s="144" t="str">
        <f>IF(AD108=0,"",IFERROR(AD108/AD$19,""))</f>
        <v/>
      </c>
      <c r="AF108" s="145">
        <f>IF(AND($AA108="",AD108=""),"",$AA108-AD108)</f>
        <v>125</v>
      </c>
      <c r="AG108" s="143"/>
      <c r="AH108" s="144" t="str">
        <f>IF(AG108=0,"",IFERROR(AG108/AG$19,""))</f>
        <v/>
      </c>
      <c r="AI108" s="145">
        <f>IF(AND($AA108="",AG108=""),"",$AA108-AG108)</f>
        <v>125</v>
      </c>
    </row>
    <row r="109" spans="1:35" x14ac:dyDescent="0.35">
      <c r="A109" s="11"/>
      <c r="B109" s="11"/>
      <c r="C109" s="208"/>
      <c r="D109" s="11"/>
      <c r="E109" s="11"/>
      <c r="F109" s="11"/>
      <c r="G109" s="11"/>
      <c r="H109" s="185" t="s">
        <v>342</v>
      </c>
      <c r="I109" s="122"/>
      <c r="J109" s="122"/>
      <c r="K109" s="11"/>
      <c r="L109" s="90" t="str">
        <f>IF(_epmOfflineCondition_,"",_xll.EVPRO($B$1,H109,"JDEID"))</f>
        <v/>
      </c>
      <c r="M109" s="90" t="str">
        <f>IF(_epmOfflineCondition_,"",IF(AND(I109="N",J109="N"),_xll.EVPRO($B$1,H109,"PSFTID"),""))</f>
        <v/>
      </c>
      <c r="N109" s="106" t="str">
        <f>IF(_epmOfflineCondition_,"Beer Revenue",IF(_xll.EVDES(H109,$B$1)="#NODATA","",_xll.EVDES(H109,$B$1)))</f>
        <v>Beer Revenue</v>
      </c>
      <c r="O109" s="166">
        <v>227</v>
      </c>
      <c r="P109" s="166">
        <v>165</v>
      </c>
      <c r="Q109" s="166"/>
      <c r="R109" s="166"/>
      <c r="S109" s="166"/>
      <c r="T109" s="166"/>
      <c r="U109" s="166"/>
      <c r="V109" s="166"/>
      <c r="W109" s="166"/>
      <c r="X109" s="166"/>
      <c r="Y109" s="166"/>
      <c r="Z109" s="166"/>
      <c r="AA109" s="166">
        <f>SUM(O109:Z109)</f>
        <v>392</v>
      </c>
      <c r="AB109" s="167">
        <f>IF(AA109=0,"",IFERROR(AA109/AA$19,""))</f>
        <v>9.8260759490497902E-3</v>
      </c>
      <c r="AC109" s="140"/>
      <c r="AD109" s="166">
        <v>5251.5881460000001</v>
      </c>
      <c r="AE109" s="167">
        <f>IF(AD109=0,"",IFERROR(AD109/AD$19,""))</f>
        <v>2.207026562924921E-2</v>
      </c>
      <c r="AF109" s="168">
        <f>IF(AND($AA109="",AD109=""),"",$AA109-AD109)</f>
        <v>-4859.5881460000001</v>
      </c>
      <c r="AG109" s="166">
        <v>2763</v>
      </c>
      <c r="AH109" s="167">
        <f>IF(AG109=0,"",IFERROR(AG109/AG$19,""))</f>
        <v>2.1281723574673315E-2</v>
      </c>
      <c r="AI109" s="168">
        <f>IF(AND($AA109="",AG109=""),"",$AA109-AG109)</f>
        <v>-2371</v>
      </c>
    </row>
    <row r="110" spans="1:35" x14ac:dyDescent="0.35">
      <c r="A110" s="11"/>
      <c r="B110" s="11"/>
      <c r="C110" s="208"/>
      <c r="D110" s="11"/>
      <c r="E110" s="11"/>
      <c r="F110" s="11"/>
      <c r="G110" s="11"/>
      <c r="H110" s="185"/>
      <c r="I110" s="122"/>
      <c r="J110" s="122"/>
      <c r="K110" s="11"/>
      <c r="L110" s="90"/>
      <c r="M110" s="90"/>
      <c r="N110" s="53"/>
      <c r="O110" s="174"/>
      <c r="P110" s="175"/>
      <c r="Q110" s="175"/>
      <c r="R110" s="175"/>
      <c r="S110" s="175"/>
      <c r="T110" s="175"/>
      <c r="U110" s="175"/>
      <c r="V110" s="175"/>
      <c r="W110" s="175"/>
      <c r="X110" s="175"/>
      <c r="Y110" s="175"/>
      <c r="Z110" s="175"/>
      <c r="AA110" s="175"/>
      <c r="AB110" s="176"/>
      <c r="AC110" s="140"/>
      <c r="AD110" s="174"/>
      <c r="AE110" s="175"/>
      <c r="AF110" s="176"/>
      <c r="AG110" s="174"/>
      <c r="AH110" s="175"/>
      <c r="AI110" s="176"/>
    </row>
    <row r="111" spans="1:35" x14ac:dyDescent="0.35">
      <c r="A111" s="11"/>
      <c r="B111" s="11"/>
      <c r="C111" s="208"/>
      <c r="D111" s="11"/>
      <c r="E111" s="11"/>
      <c r="F111" s="11"/>
      <c r="G111" s="11"/>
      <c r="H111" s="185"/>
      <c r="I111" s="122"/>
      <c r="J111" s="122"/>
      <c r="K111" s="11"/>
      <c r="L111" s="90"/>
      <c r="M111" s="90"/>
      <c r="N111" s="53" t="s">
        <v>338</v>
      </c>
      <c r="O111" s="162"/>
      <c r="P111" s="163"/>
      <c r="Q111" s="163"/>
      <c r="R111" s="163"/>
      <c r="S111" s="163"/>
      <c r="T111" s="163"/>
      <c r="U111" s="163"/>
      <c r="V111" s="163"/>
      <c r="W111" s="163"/>
      <c r="X111" s="163"/>
      <c r="Y111" s="163"/>
      <c r="Z111" s="163"/>
      <c r="AA111" s="163"/>
      <c r="AB111" s="164"/>
      <c r="AC111" s="140"/>
      <c r="AD111" s="162"/>
      <c r="AE111" s="163"/>
      <c r="AF111" s="164"/>
      <c r="AG111" s="162"/>
      <c r="AH111" s="163"/>
      <c r="AI111" s="164"/>
    </row>
    <row r="112" spans="1:35" x14ac:dyDescent="0.35">
      <c r="A112" s="11"/>
      <c r="B112" s="11"/>
      <c r="C112" s="208"/>
      <c r="D112" s="11"/>
      <c r="E112" s="11"/>
      <c r="F112" s="11"/>
      <c r="G112" s="11"/>
      <c r="H112" s="185" t="s">
        <v>296</v>
      </c>
      <c r="I112" s="122"/>
      <c r="J112" s="122"/>
      <c r="K112" s="11"/>
      <c r="L112" s="90" t="str">
        <f>IF(_epmOfflineCondition_,"461400",_xll.EVPRO($B$1,H112,"JDEID"))</f>
        <v>461400</v>
      </c>
      <c r="M112" s="90" t="str">
        <f>IF(_epmOfflineCondition_,"",IF(AND(I112="N",J112="N"),_xll.EVPRO($B$1,H112,"PSFTID"),""))</f>
        <v/>
      </c>
      <c r="N112" s="90" t="str">
        <f>IF(_epmOfflineCondition_,"Breakfast Wine",IF(_xll.EVDES(H112,$B$1)="#NODATA","",_xll.EVDES(H112,$B$1)))</f>
        <v>Breakfast Wine</v>
      </c>
      <c r="O112" s="143"/>
      <c r="P112" s="143"/>
      <c r="Q112" s="143"/>
      <c r="R112" s="143"/>
      <c r="S112" s="143"/>
      <c r="T112" s="143"/>
      <c r="U112" s="143"/>
      <c r="V112" s="143"/>
      <c r="W112" s="143"/>
      <c r="X112" s="143"/>
      <c r="Y112" s="143"/>
      <c r="Z112" s="143"/>
      <c r="AA112" s="143">
        <f>SUM(O112:Z112)</f>
        <v>0</v>
      </c>
      <c r="AB112" s="144" t="str">
        <f>IF(AA112=0,"",IFERROR(AA112/AA$19,""))</f>
        <v/>
      </c>
      <c r="AC112" s="140"/>
      <c r="AD112" s="143"/>
      <c r="AE112" s="144" t="str">
        <f>IF(AD112=0,"",IFERROR(AD112/AD$19,""))</f>
        <v/>
      </c>
      <c r="AF112" s="145">
        <f>IF(AND($AA112="",AD112=""),"",$AA112-AD112)</f>
        <v>0</v>
      </c>
      <c r="AG112" s="143">
        <v>1020</v>
      </c>
      <c r="AH112" s="144">
        <f>IF(AG112=0,"",IFERROR(AG112/AG$19,""))</f>
        <v>7.8564451850042637E-3</v>
      </c>
      <c r="AI112" s="145">
        <f>IF(AND($AA112="",AG112=""),"",$AA112-AG112)</f>
        <v>-1020</v>
      </c>
    </row>
    <row r="113" spans="1:35" x14ac:dyDescent="0.35">
      <c r="A113" s="11"/>
      <c r="B113" s="11"/>
      <c r="C113" s="208"/>
      <c r="D113" s="11"/>
      <c r="E113" s="11"/>
      <c r="F113" s="11"/>
      <c r="G113" s="11"/>
      <c r="H113" s="185" t="s">
        <v>303</v>
      </c>
      <c r="I113" s="122"/>
      <c r="J113" s="122"/>
      <c r="K113" s="11"/>
      <c r="L113" s="90" t="str">
        <f>IF(_epmOfflineCondition_,"462400",_xll.EVPRO($B$1,H113,"JDEID"))</f>
        <v>462400</v>
      </c>
      <c r="M113" s="90" t="str">
        <f>IF(_epmOfflineCondition_,"",IF(AND(I113="N",J113="N"),_xll.EVPRO($B$1,H113,"PSFTID"),""))</f>
        <v/>
      </c>
      <c r="N113" s="90" t="str">
        <f>IF(_epmOfflineCondition_,"Lunch Wine",IF(_xll.EVDES(H113,$B$1)="#NODATA","",_xll.EVDES(H113,$B$1)))</f>
        <v>Lunch Wine</v>
      </c>
      <c r="O113" s="143"/>
      <c r="P113" s="143"/>
      <c r="Q113" s="143"/>
      <c r="R113" s="143"/>
      <c r="S113" s="143"/>
      <c r="T113" s="143"/>
      <c r="U113" s="143"/>
      <c r="V113" s="143"/>
      <c r="W113" s="143"/>
      <c r="X113" s="143"/>
      <c r="Y113" s="143"/>
      <c r="Z113" s="143"/>
      <c r="AA113" s="143">
        <f>SUM(O113:Z113)</f>
        <v>0</v>
      </c>
      <c r="AB113" s="144" t="str">
        <f>IF(AA113=0,"",IFERROR(AA113/AA$19,""))</f>
        <v/>
      </c>
      <c r="AC113" s="140"/>
      <c r="AD113" s="143"/>
      <c r="AE113" s="144" t="str">
        <f>IF(AD113=0,"",IFERROR(AD113/AD$19,""))</f>
        <v/>
      </c>
      <c r="AF113" s="145">
        <f>IF(AND($AA113="",AD113=""),"",$AA113-AD113)</f>
        <v>0</v>
      </c>
      <c r="AG113" s="143"/>
      <c r="AH113" s="144" t="str">
        <f>IF(AG113=0,"",IFERROR(AG113/AG$19,""))</f>
        <v/>
      </c>
      <c r="AI113" s="145">
        <f>IF(AND($AA113="",AG113=""),"",$AA113-AG113)</f>
        <v>0</v>
      </c>
    </row>
    <row r="114" spans="1:35" x14ac:dyDescent="0.35">
      <c r="A114" s="11"/>
      <c r="B114" s="11"/>
      <c r="C114" s="208"/>
      <c r="D114" s="11"/>
      <c r="E114" s="11"/>
      <c r="F114" s="11"/>
      <c r="G114" s="11"/>
      <c r="H114" s="185" t="s">
        <v>304</v>
      </c>
      <c r="I114" s="122"/>
      <c r="J114" s="122"/>
      <c r="K114" s="11"/>
      <c r="L114" s="90" t="str">
        <f>IF(_epmOfflineCondition_,"463400",_xll.EVPRO($B$1,H114,"JDEID"))</f>
        <v>463400</v>
      </c>
      <c r="M114" s="90" t="str">
        <f>IF(_epmOfflineCondition_,"",IF(AND(I114="N",J114="N"),_xll.EVPRO($B$1,H114,"PSFTID"),""))</f>
        <v/>
      </c>
      <c r="N114" s="90" t="str">
        <f>IF(_epmOfflineCondition_,"Dinner Wine",IF(_xll.EVDES(H114,$B$1)="#NODATA","",_xll.EVDES(H114,$B$1)))</f>
        <v>Dinner Wine</v>
      </c>
      <c r="O114" s="143"/>
      <c r="P114" s="143">
        <v>670</v>
      </c>
      <c r="Q114" s="143"/>
      <c r="R114" s="143"/>
      <c r="S114" s="143"/>
      <c r="T114" s="143"/>
      <c r="U114" s="143"/>
      <c r="V114" s="143"/>
      <c r="W114" s="143"/>
      <c r="X114" s="143"/>
      <c r="Y114" s="143"/>
      <c r="Z114" s="143"/>
      <c r="AA114" s="143">
        <f>SUM(O114:Z114)</f>
        <v>670</v>
      </c>
      <c r="AB114" s="144">
        <f>IF(AA114=0,"",IFERROR(AA114/AA$19,""))</f>
        <v>1.679456858638612E-2</v>
      </c>
      <c r="AC114" s="140"/>
      <c r="AD114" s="143">
        <v>8763.2884259999992</v>
      </c>
      <c r="AE114" s="144">
        <f>IF(AD114=0,"",IFERROR(AD114/AD$19,""))</f>
        <v>3.682849796491737E-2</v>
      </c>
      <c r="AF114" s="145">
        <f>IF(AND($AA114="",AD114=""),"",$AA114-AD114)</f>
        <v>-8093.2884259999992</v>
      </c>
      <c r="AG114" s="143">
        <v>4021.59</v>
      </c>
      <c r="AH114" s="144">
        <f>IF(AG114=0,"",IFERROR(AG114/AG$19,""))</f>
        <v>3.0975883717216959E-2</v>
      </c>
      <c r="AI114" s="145">
        <f>IF(AND($AA114="",AG114=""),"",$AA114-AG114)</f>
        <v>-3351.59</v>
      </c>
    </row>
    <row r="115" spans="1:35" x14ac:dyDescent="0.35">
      <c r="A115" s="11"/>
      <c r="B115" s="11"/>
      <c r="C115" s="208"/>
      <c r="D115" s="11"/>
      <c r="E115" s="11"/>
      <c r="F115" s="11"/>
      <c r="G115" s="11"/>
      <c r="H115" s="185" t="s">
        <v>810</v>
      </c>
      <c r="I115" s="122"/>
      <c r="J115" s="122"/>
      <c r="K115" s="11"/>
      <c r="L115" s="90" t="str">
        <f>IF(_epmOfflineCondition_,"471410",_xll.EVPRO($B$1,H115,"JDEID"))</f>
        <v>471410</v>
      </c>
      <c r="M115" s="90" t="str">
        <f>IF(_epmOfflineCondition_,"",IF(AND(I115="N",J115="N"),_xll.EVPRO($B$1,H115,"PSFTID"),""))</f>
        <v/>
      </c>
      <c r="N115" s="90" t="str">
        <f>IF(_epmOfflineCondition_,"Reception Wine",IF(_xll.EVDES(H115,$B$1)="#NODATA","",_xll.EVDES(H115,$B$1)))</f>
        <v>Reception Wine</v>
      </c>
      <c r="O115" s="143">
        <v>104</v>
      </c>
      <c r="P115" s="143">
        <v>1500</v>
      </c>
      <c r="Q115" s="143"/>
      <c r="R115" s="143"/>
      <c r="S115" s="143"/>
      <c r="T115" s="143"/>
      <c r="U115" s="143"/>
      <c r="V115" s="143"/>
      <c r="W115" s="143">
        <v>504</v>
      </c>
      <c r="X115" s="143"/>
      <c r="Y115" s="143"/>
      <c r="Z115" s="143"/>
      <c r="AA115" s="143">
        <f>SUM(O115:Z115)</f>
        <v>2108</v>
      </c>
      <c r="AB115" s="144">
        <f>IF(AA115=0,"",IFERROR(AA115/AA$19,""))</f>
        <v>5.2840224746420805E-2</v>
      </c>
      <c r="AC115" s="140"/>
      <c r="AD115" s="143"/>
      <c r="AE115" s="144" t="str">
        <f>IF(AD115=0,"",IFERROR(AD115/AD$19,""))</f>
        <v/>
      </c>
      <c r="AF115" s="145">
        <f>IF(AND($AA115="",AD115=""),"",$AA115-AD115)</f>
        <v>2108</v>
      </c>
      <c r="AG115" s="143"/>
      <c r="AH115" s="144" t="str">
        <f>IF(AG115=0,"",IFERROR(AG115/AG$19,""))</f>
        <v/>
      </c>
      <c r="AI115" s="145">
        <f>IF(AND($AA115="",AG115=""),"",$AA115-AG115)</f>
        <v>2108</v>
      </c>
    </row>
    <row r="116" spans="1:35" x14ac:dyDescent="0.35">
      <c r="A116" s="11"/>
      <c r="B116" s="11"/>
      <c r="C116" s="208"/>
      <c r="D116" s="11"/>
      <c r="E116" s="11"/>
      <c r="F116" s="11"/>
      <c r="G116" s="11"/>
      <c r="H116" s="185" t="s">
        <v>341</v>
      </c>
      <c r="I116" s="122"/>
      <c r="J116" s="122"/>
      <c r="K116" s="11"/>
      <c r="L116" s="90" t="str">
        <f>IF(_epmOfflineCondition_,"",_xll.EVPRO($B$1,H116,"JDEID"))</f>
        <v/>
      </c>
      <c r="M116" s="90" t="str">
        <f>IF(_epmOfflineCondition_,"",IF(AND(I116="N",J116="N"),_xll.EVPRO($B$1,H116,"PSFTID"),""))</f>
        <v/>
      </c>
      <c r="N116" s="106" t="str">
        <f>IF(_epmOfflineCondition_,"Wine Revenue",IF(_xll.EVDES(H116,$B$1)="#NODATA","",_xll.EVDES(H116,$B$1)))</f>
        <v>Wine Revenue</v>
      </c>
      <c r="O116" s="166">
        <v>104</v>
      </c>
      <c r="P116" s="166">
        <v>2170</v>
      </c>
      <c r="Q116" s="166"/>
      <c r="R116" s="166"/>
      <c r="S116" s="166"/>
      <c r="T116" s="166"/>
      <c r="U116" s="166"/>
      <c r="V116" s="166"/>
      <c r="W116" s="166">
        <v>504</v>
      </c>
      <c r="X116" s="166"/>
      <c r="Y116" s="166"/>
      <c r="Z116" s="166"/>
      <c r="AA116" s="166">
        <f>SUM(O116:Z116)</f>
        <v>2778</v>
      </c>
      <c r="AB116" s="167">
        <f>IF(AA116=0,"",IFERROR(AA116/AA$19,""))</f>
        <v>6.9634793332806921E-2</v>
      </c>
      <c r="AC116" s="140"/>
      <c r="AD116" s="166">
        <v>8763.2884259999992</v>
      </c>
      <c r="AE116" s="167">
        <f>IF(AD116=0,"",IFERROR(AD116/AD$19,""))</f>
        <v>3.682849796491737E-2</v>
      </c>
      <c r="AF116" s="168">
        <f>IF(AND($AA116="",AD116=""),"",$AA116-AD116)</f>
        <v>-5985.2884259999992</v>
      </c>
      <c r="AG116" s="166">
        <v>5041.59</v>
      </c>
      <c r="AH116" s="167">
        <f>IF(AG116=0,"",IFERROR(AG116/AG$19,""))</f>
        <v>3.8832328902221228E-2</v>
      </c>
      <c r="AI116" s="168">
        <f>IF(AND($AA116="",AG116=""),"",$AA116-AG116)</f>
        <v>-2263.59</v>
      </c>
    </row>
    <row r="117" spans="1:35" x14ac:dyDescent="0.35">
      <c r="A117" s="11"/>
      <c r="B117" s="11"/>
      <c r="C117" s="208"/>
      <c r="D117" s="11"/>
      <c r="E117" s="11"/>
      <c r="F117" s="11"/>
      <c r="G117" s="11"/>
      <c r="H117" s="185"/>
      <c r="I117" s="122"/>
      <c r="J117" s="122"/>
      <c r="K117" s="11"/>
      <c r="L117" s="90"/>
      <c r="M117" s="90"/>
      <c r="N117" s="11"/>
      <c r="O117" s="174"/>
      <c r="P117" s="175"/>
      <c r="Q117" s="175"/>
      <c r="R117" s="175"/>
      <c r="S117" s="175"/>
      <c r="T117" s="175"/>
      <c r="U117" s="175"/>
      <c r="V117" s="175"/>
      <c r="W117" s="175"/>
      <c r="X117" s="175"/>
      <c r="Y117" s="175"/>
      <c r="Z117" s="175"/>
      <c r="AA117" s="175"/>
      <c r="AB117" s="176"/>
      <c r="AC117" s="140"/>
      <c r="AD117" s="174"/>
      <c r="AE117" s="175"/>
      <c r="AF117" s="176"/>
      <c r="AG117" s="174"/>
      <c r="AH117" s="175"/>
      <c r="AI117" s="176"/>
    </row>
    <row r="118" spans="1:35" x14ac:dyDescent="0.35">
      <c r="A118" s="11"/>
      <c r="B118" s="11"/>
      <c r="C118" s="208"/>
      <c r="D118" s="11"/>
      <c r="E118" s="11"/>
      <c r="F118" s="11"/>
      <c r="G118" s="11"/>
      <c r="H118" s="88" t="s">
        <v>267</v>
      </c>
      <c r="I118" s="122"/>
      <c r="J118" s="122"/>
      <c r="K118" s="11"/>
      <c r="L118" s="90" t="str">
        <f>IF(_epmOfflineCondition_,"",_xll.EVPRO($B$1,H118,"JDEID"))</f>
        <v/>
      </c>
      <c r="M118" s="90" t="str">
        <f>IF(_epmOfflineCondition_,"",IF(AND(I118="N",J118="N"),_xll.EVPRO($B$1,H118,"PSFTID"),""))</f>
        <v/>
      </c>
      <c r="N118" s="90" t="str">
        <f>IF(_epmOfflineCondition_,"Breakfast  Beverage Revenue",IF(_xll.EVDES(H118,$B$1)="#NODATA","",_xll.EVDES(H118,$B$1)))</f>
        <v>Breakfast  Beverage Revenue</v>
      </c>
      <c r="O118" s="143">
        <f t="shared" ref="O118:Z118" si="27">O98+O105+O112</f>
        <v>0</v>
      </c>
      <c r="P118" s="143">
        <f t="shared" si="27"/>
        <v>258.99</v>
      </c>
      <c r="Q118" s="143">
        <f t="shared" si="27"/>
        <v>0</v>
      </c>
      <c r="R118" s="143">
        <f t="shared" si="27"/>
        <v>0</v>
      </c>
      <c r="S118" s="143">
        <f t="shared" si="27"/>
        <v>0</v>
      </c>
      <c r="T118" s="143">
        <f t="shared" si="27"/>
        <v>0</v>
      </c>
      <c r="U118" s="143">
        <f t="shared" si="27"/>
        <v>0</v>
      </c>
      <c r="V118" s="143">
        <f t="shared" si="27"/>
        <v>0</v>
      </c>
      <c r="W118" s="143">
        <f t="shared" si="27"/>
        <v>0</v>
      </c>
      <c r="X118" s="143">
        <f t="shared" si="27"/>
        <v>0</v>
      </c>
      <c r="Y118" s="143">
        <f t="shared" si="27"/>
        <v>0</v>
      </c>
      <c r="Z118" s="143">
        <f t="shared" si="27"/>
        <v>0</v>
      </c>
      <c r="AA118" s="143">
        <f>SUM(O118:Z118)</f>
        <v>258.99</v>
      </c>
      <c r="AB118" s="144">
        <f>IF(AA118=0,"",IFERROR(AA118/AA$19,""))</f>
        <v>6.4919780868479722E-3</v>
      </c>
      <c r="AC118" s="140"/>
      <c r="AD118" s="143">
        <f>AD98+AD105+AD112</f>
        <v>0</v>
      </c>
      <c r="AE118" s="144" t="str">
        <f>IF(AD118=0,"",IFERROR(AD118/AD$19,""))</f>
        <v/>
      </c>
      <c r="AF118" s="145">
        <f>IF(AND($AA118="",AD118=""),"",$AA118-AD118)</f>
        <v>258.99</v>
      </c>
      <c r="AG118" s="143">
        <f>AG98+AG105+AG112</f>
        <v>1028</v>
      </c>
      <c r="AH118" s="144">
        <f>IF(AG118=0,"",IFERROR(AG118/AG$19,""))</f>
        <v>7.9180643629258654E-3</v>
      </c>
      <c r="AI118" s="145">
        <f>IF(AND($AA118="",AG118=""),"",$AA118-AG118)</f>
        <v>-769.01</v>
      </c>
    </row>
    <row r="119" spans="1:35" x14ac:dyDescent="0.35">
      <c r="A119" s="11"/>
      <c r="B119" s="11"/>
      <c r="C119" s="208"/>
      <c r="D119" s="11"/>
      <c r="E119" s="11"/>
      <c r="F119" s="11"/>
      <c r="G119" s="11"/>
      <c r="H119" s="88" t="s">
        <v>268</v>
      </c>
      <c r="I119" s="122"/>
      <c r="J119" s="122"/>
      <c r="K119" s="11"/>
      <c r="L119" s="90" t="str">
        <f>IF(_epmOfflineCondition_,"",_xll.EVPRO($B$1,H119,"JDEID"))</f>
        <v/>
      </c>
      <c r="M119" s="90" t="str">
        <f>IF(_epmOfflineCondition_,"",IF(AND(I119="N",J119="N"),_xll.EVPRO($B$1,H119,"PSFTID"),""))</f>
        <v/>
      </c>
      <c r="N119" s="90" t="str">
        <f>IF(_epmOfflineCondition_,"Lunch Beverage Revenue",IF(_xll.EVDES(H119,$B$1)="#NODATA","",_xll.EVDES(H119,$B$1)))</f>
        <v>Lunch Beverage Revenue</v>
      </c>
      <c r="O119" s="143">
        <f t="shared" ref="O119:Z119" si="28">O99+O106+O113</f>
        <v>102</v>
      </c>
      <c r="P119" s="143">
        <f t="shared" si="28"/>
        <v>7</v>
      </c>
      <c r="Q119" s="143">
        <f t="shared" si="28"/>
        <v>0</v>
      </c>
      <c r="R119" s="143">
        <f t="shared" si="28"/>
        <v>0</v>
      </c>
      <c r="S119" s="143">
        <f t="shared" si="28"/>
        <v>0</v>
      </c>
      <c r="T119" s="143">
        <f t="shared" si="28"/>
        <v>0</v>
      </c>
      <c r="U119" s="143">
        <f t="shared" si="28"/>
        <v>0</v>
      </c>
      <c r="V119" s="143">
        <f t="shared" si="28"/>
        <v>0</v>
      </c>
      <c r="W119" s="143">
        <f t="shared" si="28"/>
        <v>0</v>
      </c>
      <c r="X119" s="143">
        <f t="shared" si="28"/>
        <v>0</v>
      </c>
      <c r="Y119" s="143">
        <f t="shared" si="28"/>
        <v>0</v>
      </c>
      <c r="Z119" s="143">
        <f t="shared" si="28"/>
        <v>0</v>
      </c>
      <c r="AA119" s="143">
        <f>SUM(O119:Z119)</f>
        <v>109</v>
      </c>
      <c r="AB119" s="144">
        <f>IF(AA119=0,"",IFERROR(AA119/AA$19,""))</f>
        <v>2.7322507103225181E-3</v>
      </c>
      <c r="AC119" s="140"/>
      <c r="AD119" s="143">
        <f>AD99+AD106+AD113</f>
        <v>0</v>
      </c>
      <c r="AE119" s="144" t="str">
        <f>IF(AD119=0,"",IFERROR(AD119/AD$19,""))</f>
        <v/>
      </c>
      <c r="AF119" s="145">
        <f>IF(AND($AA119="",AD119=""),"",$AA119-AD119)</f>
        <v>109</v>
      </c>
      <c r="AG119" s="143">
        <f>AG99+AG106+AG113</f>
        <v>1313</v>
      </c>
      <c r="AH119" s="144">
        <f>IF(AG119=0,"",IFERROR(AG119/AG$19,""))</f>
        <v>1.011324757638294E-2</v>
      </c>
      <c r="AI119" s="145">
        <f>IF(AND($AA119="",AG119=""),"",$AA119-AG119)</f>
        <v>-1204</v>
      </c>
    </row>
    <row r="120" spans="1:35" x14ac:dyDescent="0.35">
      <c r="A120" s="11"/>
      <c r="B120" s="11"/>
      <c r="C120" s="208"/>
      <c r="D120" s="11"/>
      <c r="E120" s="11"/>
      <c r="F120" s="11"/>
      <c r="G120" s="11"/>
      <c r="H120" s="185" t="s">
        <v>269</v>
      </c>
      <c r="I120" s="122"/>
      <c r="J120" s="122"/>
      <c r="K120" s="11"/>
      <c r="L120" s="90" t="str">
        <f>IF(_epmOfflineCondition_,"",_xll.EVPRO($B$1,H120,"JDEID"))</f>
        <v/>
      </c>
      <c r="M120" s="90" t="str">
        <f>IF(_epmOfflineCondition_,"",IF(AND(I120="N",J120="N"),_xll.EVPRO($B$1,H120,"PSFTID"),""))</f>
        <v/>
      </c>
      <c r="N120" s="90" t="str">
        <f>IF(_epmOfflineCondition_,"Dinner Beverage Revenue",IF(_xll.EVDES(H120,$B$1)="#NODATA","",_xll.EVDES(H120,$B$1)))</f>
        <v>Dinner Beverage Revenue</v>
      </c>
      <c r="O120" s="143">
        <f t="shared" ref="O120:Z120" si="29">O100+O107+O114</f>
        <v>0</v>
      </c>
      <c r="P120" s="143">
        <f t="shared" si="29"/>
        <v>1797</v>
      </c>
      <c r="Q120" s="143">
        <f t="shared" si="29"/>
        <v>0</v>
      </c>
      <c r="R120" s="143">
        <f t="shared" si="29"/>
        <v>0</v>
      </c>
      <c r="S120" s="143">
        <f t="shared" si="29"/>
        <v>0</v>
      </c>
      <c r="T120" s="143">
        <f t="shared" si="29"/>
        <v>0</v>
      </c>
      <c r="U120" s="143">
        <f t="shared" si="29"/>
        <v>0</v>
      </c>
      <c r="V120" s="143">
        <f t="shared" si="29"/>
        <v>0</v>
      </c>
      <c r="W120" s="143">
        <f t="shared" si="29"/>
        <v>0</v>
      </c>
      <c r="X120" s="143">
        <f t="shared" si="29"/>
        <v>0</v>
      </c>
      <c r="Y120" s="143">
        <f t="shared" si="29"/>
        <v>0</v>
      </c>
      <c r="Z120" s="143">
        <f t="shared" si="29"/>
        <v>0</v>
      </c>
      <c r="AA120" s="143">
        <f>SUM(O120:Z120)</f>
        <v>1797</v>
      </c>
      <c r="AB120" s="144">
        <f>IF(AA120=0,"",IFERROR(AA120/AA$19,""))</f>
        <v>4.5044536939904262E-2</v>
      </c>
      <c r="AC120" s="140"/>
      <c r="AD120" s="143">
        <f>AD100+AD107+AD114</f>
        <v>32818.435343999998</v>
      </c>
      <c r="AE120" s="144">
        <f>IF(AD120=0,"",IFERROR(AD120/AD$19,""))</f>
        <v>0.13792238946424429</v>
      </c>
      <c r="AF120" s="145">
        <f>IF(AND($AA120="",AD120=""),"",$AA120-AD120)</f>
        <v>-31021.435343999998</v>
      </c>
      <c r="AG120" s="143">
        <f>AG100+AG107+AG114</f>
        <v>9622.67</v>
      </c>
      <c r="AH120" s="144">
        <f>IF(AG120=0,"",IFERROR(AG120/AG$19,""))</f>
        <v>7.4117626851357823E-2</v>
      </c>
      <c r="AI120" s="145">
        <f>IF(AND($AA120="",AG120=""),"",$AA120-AG120)</f>
        <v>-7825.67</v>
      </c>
    </row>
    <row r="121" spans="1:35" x14ac:dyDescent="0.35">
      <c r="A121" s="11"/>
      <c r="B121" s="11"/>
      <c r="C121" s="208"/>
      <c r="D121" s="11"/>
      <c r="E121" s="11"/>
      <c r="F121" s="11"/>
      <c r="G121" s="11"/>
      <c r="H121" s="185" t="s">
        <v>791</v>
      </c>
      <c r="I121" s="122"/>
      <c r="J121" s="122"/>
      <c r="K121" s="11"/>
      <c r="L121" s="90" t="str">
        <f>IF(_epmOfflineCondition_,"",_xll.EVPRO($B$1,H121,"JDEID"))</f>
        <v/>
      </c>
      <c r="M121" s="90" t="str">
        <f>IF(_epmOfflineCondition_,"",IF(AND(I121="N",J121="N"),_xll.EVPRO($B$1,H121,"PSFTID"),""))</f>
        <v/>
      </c>
      <c r="N121" s="90" t="str">
        <f>IF(_epmOfflineCondition_,"Reception Beverage Revenue",IF(_xll.EVDES(H121,$B$1)="#NODATA","",_xll.EVDES(H121,$B$1)))</f>
        <v>Reception Beverage Revenue</v>
      </c>
      <c r="O121" s="143">
        <f t="shared" ref="O121:Z121" si="30">O101+O108+O115</f>
        <v>918</v>
      </c>
      <c r="P121" s="143">
        <f t="shared" si="30"/>
        <v>1500</v>
      </c>
      <c r="Q121" s="143">
        <f t="shared" si="30"/>
        <v>0</v>
      </c>
      <c r="R121" s="143">
        <f t="shared" si="30"/>
        <v>0</v>
      </c>
      <c r="S121" s="143">
        <f t="shared" si="30"/>
        <v>0</v>
      </c>
      <c r="T121" s="143">
        <f t="shared" si="30"/>
        <v>0</v>
      </c>
      <c r="U121" s="143">
        <f t="shared" si="30"/>
        <v>0</v>
      </c>
      <c r="V121" s="143">
        <f t="shared" si="30"/>
        <v>0</v>
      </c>
      <c r="W121" s="143">
        <f t="shared" si="30"/>
        <v>504</v>
      </c>
      <c r="X121" s="143">
        <f t="shared" si="30"/>
        <v>0</v>
      </c>
      <c r="Y121" s="143">
        <f t="shared" si="30"/>
        <v>0</v>
      </c>
      <c r="Z121" s="143">
        <f t="shared" si="30"/>
        <v>0</v>
      </c>
      <c r="AA121" s="143">
        <f>SUM(O121:Z121)</f>
        <v>2922</v>
      </c>
      <c r="AB121" s="144">
        <f>IF(AA121=0,"",IFERROR(AA121/AA$19,""))</f>
        <v>7.3244372252866036E-2</v>
      </c>
      <c r="AC121" s="140"/>
      <c r="AD121" s="143">
        <f>AD101+AD108+AD115</f>
        <v>0</v>
      </c>
      <c r="AE121" s="144" t="str">
        <f>IF(AD121=0,"",IFERROR(AD121/AD$19,""))</f>
        <v/>
      </c>
      <c r="AF121" s="145">
        <f>IF(AND($AA121="",AD121=""),"",$AA121-AD121)</f>
        <v>2922</v>
      </c>
      <c r="AG121" s="143">
        <f>AG101+AG108+AG115</f>
        <v>0</v>
      </c>
      <c r="AH121" s="144" t="str">
        <f>IF(AG121=0,"",IFERROR(AG121/AG$19,""))</f>
        <v/>
      </c>
      <c r="AI121" s="145">
        <f>IF(AND($AA121="",AG121=""),"",$AA121-AG121)</f>
        <v>2922</v>
      </c>
    </row>
    <row r="122" spans="1:35" x14ac:dyDescent="0.35">
      <c r="A122" s="11"/>
      <c r="B122" s="11"/>
      <c r="C122" s="208"/>
      <c r="D122" s="11"/>
      <c r="E122" s="11"/>
      <c r="F122" s="11"/>
      <c r="G122" s="11"/>
      <c r="H122" s="88" t="s">
        <v>272</v>
      </c>
      <c r="I122" s="122"/>
      <c r="J122" s="122"/>
      <c r="K122" s="11"/>
      <c r="L122" s="90" t="str">
        <f>IF(_epmOfflineCondition_,"",_xll.EVPRO($B$1,H122,"JDEID"))</f>
        <v/>
      </c>
      <c r="M122" s="90" t="str">
        <f>IF(_epmOfflineCondition_,"",IF(AND(I122="N",J122="N"),_xll.EVPRO($B$1,H122,"PSFTID"),""))</f>
        <v/>
      </c>
      <c r="N122" s="106" t="str">
        <f>IF(_epmOfflineCondition_,"Total Beverage Revenue",IF(_xll.EVDES(H122,$B$1)="#NODATA","",_xll.EVDES(H122,$B$1)))</f>
        <v>Total Beverage Revenue</v>
      </c>
      <c r="O122" s="166">
        <f t="shared" ref="O122:Z122" si="31">SUM(O118:O121)</f>
        <v>1020</v>
      </c>
      <c r="P122" s="166">
        <f t="shared" si="31"/>
        <v>3562.99</v>
      </c>
      <c r="Q122" s="166">
        <f t="shared" si="31"/>
        <v>0</v>
      </c>
      <c r="R122" s="166">
        <f t="shared" si="31"/>
        <v>0</v>
      </c>
      <c r="S122" s="166">
        <f t="shared" si="31"/>
        <v>0</v>
      </c>
      <c r="T122" s="166">
        <f t="shared" si="31"/>
        <v>0</v>
      </c>
      <c r="U122" s="166">
        <f t="shared" si="31"/>
        <v>0</v>
      </c>
      <c r="V122" s="166">
        <f t="shared" si="31"/>
        <v>0</v>
      </c>
      <c r="W122" s="166">
        <f t="shared" si="31"/>
        <v>504</v>
      </c>
      <c r="X122" s="166">
        <f t="shared" si="31"/>
        <v>0</v>
      </c>
      <c r="Y122" s="166">
        <f t="shared" si="31"/>
        <v>0</v>
      </c>
      <c r="Z122" s="166">
        <f t="shared" si="31"/>
        <v>0</v>
      </c>
      <c r="AA122" s="166">
        <f>SUM(O122:Z122)</f>
        <v>5086.99</v>
      </c>
      <c r="AB122" s="167">
        <f>IF(AA122=0,"",IFERROR(AA122/AA$19,""))</f>
        <v>0.12751313798994079</v>
      </c>
      <c r="AC122" s="140"/>
      <c r="AD122" s="166">
        <f>SUM(AD118:AD121)</f>
        <v>32818.435343999998</v>
      </c>
      <c r="AE122" s="167">
        <f>IF(AD122=0,"",IFERROR(AD122/AD$19,""))</f>
        <v>0.13792238946424429</v>
      </c>
      <c r="AF122" s="168">
        <f>IF(AND($AA122="",AD122=""),"",$AA122-AD122)</f>
        <v>-27731.445344</v>
      </c>
      <c r="AG122" s="166">
        <f>SUM(AG118:AG121)</f>
        <v>11963.67</v>
      </c>
      <c r="AH122" s="167">
        <f>IF(AG122=0,"",IFERROR(AG122/AG$19,""))</f>
        <v>9.2148938790666629E-2</v>
      </c>
      <c r="AI122" s="168">
        <f>IF(AND($AA122="",AG122=""),"",$AA122-AG122)</f>
        <v>-6876.68</v>
      </c>
    </row>
    <row r="123" spans="1:35" x14ac:dyDescent="0.35">
      <c r="A123" s="11"/>
      <c r="B123" s="11"/>
      <c r="C123" s="208"/>
      <c r="D123" s="11"/>
      <c r="E123" s="11"/>
      <c r="F123" s="11"/>
      <c r="G123" s="11"/>
      <c r="H123" s="185"/>
      <c r="I123" s="122"/>
      <c r="J123" s="122"/>
      <c r="K123" s="11"/>
      <c r="L123" s="11"/>
      <c r="M123" s="11"/>
      <c r="N123" s="11"/>
      <c r="O123" s="511">
        <f t="shared" ref="O123:AA123" si="32">O102+O109+O116-O122</f>
        <v>0</v>
      </c>
      <c r="P123" s="511">
        <f t="shared" si="32"/>
        <v>0</v>
      </c>
      <c r="Q123" s="511">
        <f t="shared" si="32"/>
        <v>0</v>
      </c>
      <c r="R123" s="511">
        <f t="shared" si="32"/>
        <v>0</v>
      </c>
      <c r="S123" s="511">
        <f t="shared" si="32"/>
        <v>0</v>
      </c>
      <c r="T123" s="511">
        <f t="shared" si="32"/>
        <v>0</v>
      </c>
      <c r="U123" s="511">
        <f t="shared" si="32"/>
        <v>0</v>
      </c>
      <c r="V123" s="511">
        <f t="shared" si="32"/>
        <v>0</v>
      </c>
      <c r="W123" s="511">
        <f t="shared" si="32"/>
        <v>0</v>
      </c>
      <c r="X123" s="511">
        <f t="shared" si="32"/>
        <v>0</v>
      </c>
      <c r="Y123" s="511">
        <f t="shared" si="32"/>
        <v>0</v>
      </c>
      <c r="Z123" s="511">
        <f t="shared" si="32"/>
        <v>0</v>
      </c>
      <c r="AA123" s="511">
        <f t="shared" si="32"/>
        <v>0</v>
      </c>
      <c r="AB123" s="144"/>
      <c r="AC123" s="140"/>
      <c r="AD123" s="511">
        <f>AD102+AD109+AD116-AD122</f>
        <v>0</v>
      </c>
      <c r="AE123" s="144"/>
      <c r="AF123" s="143"/>
      <c r="AG123" s="511">
        <f>AG102+AG109+AG116-AG122</f>
        <v>0</v>
      </c>
      <c r="AH123" s="144"/>
      <c r="AI123" s="143"/>
    </row>
    <row r="124" spans="1:35" x14ac:dyDescent="0.35">
      <c r="A124" s="11"/>
      <c r="B124" s="11"/>
      <c r="C124" s="208"/>
      <c r="D124" s="11"/>
      <c r="E124" s="11"/>
      <c r="F124" s="11"/>
      <c r="G124" s="11"/>
      <c r="H124" s="185"/>
      <c r="I124" s="122"/>
      <c r="J124" s="122"/>
      <c r="K124" s="11"/>
      <c r="L124" s="11"/>
      <c r="M124" s="11"/>
      <c r="N124" s="11"/>
      <c r="O124" s="174"/>
      <c r="P124" s="175"/>
      <c r="Q124" s="175"/>
      <c r="R124" s="175"/>
      <c r="S124" s="175"/>
      <c r="T124" s="175"/>
      <c r="U124" s="175"/>
      <c r="V124" s="175"/>
      <c r="W124" s="175"/>
      <c r="X124" s="175"/>
      <c r="Y124" s="175"/>
      <c r="Z124" s="175"/>
      <c r="AA124" s="175"/>
      <c r="AB124" s="176"/>
      <c r="AC124" s="140"/>
      <c r="AD124" s="174"/>
      <c r="AE124" s="175"/>
      <c r="AF124" s="176"/>
      <c r="AG124" s="174"/>
      <c r="AH124" s="175"/>
      <c r="AI124" s="176"/>
    </row>
    <row r="125" spans="1:35" ht="15.5" x14ac:dyDescent="0.35">
      <c r="A125" s="11"/>
      <c r="B125" s="11"/>
      <c r="C125" s="208"/>
      <c r="D125" s="11"/>
      <c r="E125" s="11"/>
      <c r="F125" s="11"/>
      <c r="G125" s="11"/>
      <c r="H125" s="185" t="s">
        <v>281</v>
      </c>
      <c r="I125" s="122"/>
      <c r="J125" s="122"/>
      <c r="K125" s="11"/>
      <c r="L125" s="11"/>
      <c r="M125" s="11"/>
      <c r="N125" s="489" t="str">
        <f>IF(_epmOfflineCondition_,"Cost of Sales",IF(_xll.EVDES(H125,$B$1)="#NODATA","",_xll.EVDES(H125,$B$1)))</f>
        <v>Cost of Sales</v>
      </c>
      <c r="O125" s="518"/>
      <c r="P125" s="519"/>
      <c r="Q125" s="519"/>
      <c r="R125" s="519"/>
      <c r="S125" s="519"/>
      <c r="T125" s="519"/>
      <c r="U125" s="519"/>
      <c r="V125" s="519"/>
      <c r="W125" s="519"/>
      <c r="X125" s="519"/>
      <c r="Y125" s="519"/>
      <c r="Z125" s="519"/>
      <c r="AA125" s="519"/>
      <c r="AB125" s="520"/>
      <c r="AC125" s="140"/>
      <c r="AD125" s="518"/>
      <c r="AE125" s="519"/>
      <c r="AF125" s="519"/>
      <c r="AG125" s="519"/>
      <c r="AH125" s="519"/>
      <c r="AI125" s="520"/>
    </row>
    <row r="126" spans="1:35" x14ac:dyDescent="0.35">
      <c r="A126" s="11"/>
      <c r="B126" s="11"/>
      <c r="C126" s="208"/>
      <c r="D126" s="11"/>
      <c r="E126" s="11"/>
      <c r="F126" s="11"/>
      <c r="G126" s="11"/>
      <c r="H126" s="185">
        <v>561100</v>
      </c>
      <c r="I126" s="122"/>
      <c r="J126" s="122"/>
      <c r="K126" s="11"/>
      <c r="L126" s="90" t="str">
        <f>IF(_epmOfflineCondition_,"561100",_xll.EVPRO($B$1,H126,"JDEID"))</f>
        <v>561100</v>
      </c>
      <c r="M126" s="90" t="str">
        <f>IF(_epmOfflineCondition_,"",IF(AND(I126="N",J126="N"),_xll.EVPRO($B$1,H126,"PSFTID"),""))</f>
        <v/>
      </c>
      <c r="N126" s="90" t="str">
        <f>IF(_epmOfflineCondition_,"Cost of Food Sales",IF(_xll.EVDES(H126,$B$1)="#NODATA","",_xll.EVDES(H126,$B$1)))</f>
        <v>Cost of Food Sales</v>
      </c>
      <c r="O126" s="143">
        <v>4774.1899999999996</v>
      </c>
      <c r="P126" s="143">
        <v>4415.33</v>
      </c>
      <c r="Q126" s="143"/>
      <c r="R126" s="143"/>
      <c r="S126" s="143"/>
      <c r="T126" s="143"/>
      <c r="U126" s="143"/>
      <c r="V126" s="143"/>
      <c r="W126" s="143"/>
      <c r="X126" s="143"/>
      <c r="Y126" s="143"/>
      <c r="Z126" s="143"/>
      <c r="AA126" s="143">
        <f>SUM(O126:Z126)</f>
        <v>9189.52</v>
      </c>
      <c r="AB126" s="436">
        <f>IF(_epmOfflineCondition_,0.264014622404894,IF(AA126=0,"",IFERROR(AA126/_xll.EVGTS($B$1,1,_xll.EVPRO($B$1,$H126,"COSBASIS"),$B$3,$B$5,$B$6,$B$7,$B$9,AA$16,AA$17,AA$11),"")))</f>
        <v>0.26401462240489398</v>
      </c>
      <c r="AC126" s="140"/>
      <c r="AD126" s="143">
        <v>42872.19</v>
      </c>
      <c r="AE126" s="436">
        <f>IF(_epmOfflineCondition_,0.208999960302741,IF(AD126=0,"",IFERROR(AD126/_xll.EVGTS($B$1,1,_xll.EVPRO($B$1,$H126,"COSBASIS"),$B$3,$B$5,$B$6,$B$7,$B$9,AD$16,AD$17,AD$18),"")))</f>
        <v>0.20899996030274101</v>
      </c>
      <c r="AF126" s="145">
        <f t="shared" ref="AF126:AF137" si="33">IF(AND($AA126="",AD126=""),"",$AA126-AD126)</f>
        <v>-33682.67</v>
      </c>
      <c r="AG126" s="143">
        <v>24677.8</v>
      </c>
      <c r="AH126" s="436">
        <f>IF(_epmOfflineCondition_,0.209371588287856,IF(AG126=0,"",IFERROR(AG126/_xll.EVGTS($B$1,1,_xll.EVPRO($B$1,$H126,"COSBASIS"),$B$3,$B$5,$B$6,$B$7,$B$9,AG$16,AG$17,AG$18),"")))</f>
        <v>0.20937158828785599</v>
      </c>
      <c r="AI126" s="145">
        <f t="shared" ref="AI126:AI137" si="34">IF(AND($AA126="",AG126=""),"",$AA126-AG126)</f>
        <v>-15488.279999999999</v>
      </c>
    </row>
    <row r="127" spans="1:35" x14ac:dyDescent="0.35">
      <c r="A127" s="11"/>
      <c r="B127" s="11"/>
      <c r="C127" s="208"/>
      <c r="D127" s="11"/>
      <c r="E127" s="11"/>
      <c r="F127" s="11"/>
      <c r="G127" s="11"/>
      <c r="H127" s="185" t="s">
        <v>756</v>
      </c>
      <c r="I127" s="122"/>
      <c r="J127" s="122"/>
      <c r="K127" s="11"/>
      <c r="L127" s="90" t="str">
        <f>IF(_epmOfflineCondition_,"",_xll.EVPRO($B$1,H127,"JDEID"))</f>
        <v/>
      </c>
      <c r="M127" s="90" t="str">
        <f>IF(_epmOfflineCondition_,"",IF(AND(I127="N",J127="N"),_xll.EVPRO($B$1,H127,"PSFTID"),""))</f>
        <v/>
      </c>
      <c r="N127" s="493" t="str">
        <f>IF(_epmOfflineCondition_,"Food Cost %",IF(_xll.EVDES(H127,$B$1)="#NODATA","",_xll.EVDES(H127,$B$1)))</f>
        <v>Food Cost %</v>
      </c>
      <c r="O127" s="508">
        <v>0.20900113777197199</v>
      </c>
      <c r="P127" s="508">
        <v>0.19008653349405899</v>
      </c>
      <c r="Q127" s="508"/>
      <c r="R127" s="508"/>
      <c r="S127" s="508"/>
      <c r="T127" s="508"/>
      <c r="U127" s="508"/>
      <c r="V127" s="508"/>
      <c r="W127" s="508"/>
      <c r="X127" s="508"/>
      <c r="Y127" s="508"/>
      <c r="Z127" s="508"/>
      <c r="AA127" s="508">
        <v>0.26401462240489398</v>
      </c>
      <c r="AB127" s="436"/>
      <c r="AC127" s="140"/>
      <c r="AD127" s="508">
        <v>0.20899996030274101</v>
      </c>
      <c r="AE127" s="436"/>
      <c r="AF127" s="521">
        <f t="shared" si="33"/>
        <v>5.5014662102152972E-2</v>
      </c>
      <c r="AG127" s="508">
        <v>0.20937158828785599</v>
      </c>
      <c r="AH127" s="436"/>
      <c r="AI127" s="521">
        <f t="shared" si="34"/>
        <v>5.4643034117037997E-2</v>
      </c>
    </row>
    <row r="128" spans="1:35" x14ac:dyDescent="0.35">
      <c r="A128" s="11"/>
      <c r="B128" s="11"/>
      <c r="C128" s="208"/>
      <c r="D128" s="11"/>
      <c r="E128" s="11"/>
      <c r="F128" s="11"/>
      <c r="G128" s="11"/>
      <c r="H128" s="185" t="s">
        <v>636</v>
      </c>
      <c r="I128" s="122"/>
      <c r="J128" s="122"/>
      <c r="K128" s="11"/>
      <c r="L128" s="90" t="str">
        <f>IF(_epmOfflineCondition_,"",_xll.EVPRO($B$1,H128,"JDEID"))</f>
        <v/>
      </c>
      <c r="M128" s="90" t="str">
        <f>IF(_epmOfflineCondition_,"",IF(AND(I128="N",J128="N"),_xll.EVPRO($B$1,H128,"PSFTID"),""))</f>
        <v/>
      </c>
      <c r="N128" s="90" t="str">
        <f>IF(_epmOfflineCondition_,"Cost of Beverage Sales",IF(_xll.EVDES(H128,$B$1)="#NODATA","",_xll.EVDES(H128,$B$1)))</f>
        <v>Cost of Beverage Sales</v>
      </c>
      <c r="O128" s="143">
        <v>202.83</v>
      </c>
      <c r="P128" s="143">
        <v>408.11</v>
      </c>
      <c r="Q128" s="143"/>
      <c r="R128" s="143"/>
      <c r="S128" s="143"/>
      <c r="T128" s="143"/>
      <c r="U128" s="143"/>
      <c r="V128" s="143"/>
      <c r="W128" s="143"/>
      <c r="X128" s="143"/>
      <c r="Y128" s="143"/>
      <c r="Z128" s="143"/>
      <c r="AA128" s="143">
        <f>SUM(O128:Z128)</f>
        <v>610.94000000000005</v>
      </c>
      <c r="AB128" s="436">
        <f>IF(_epmOfflineCondition_,0.120098525847309,IF(AA128=0,"",IFERROR(AA128/_xll.EVGTS($B$1,1,_xll.EVPRO($B$1,$H128,"COSBASIS"),$B$3,$B$5,$B$6,$B$7,$B$9,AA$16,AA$17,AA$11),"")))</f>
        <v>0.120098525847309</v>
      </c>
      <c r="AC128" s="140"/>
      <c r="AD128" s="143">
        <v>6522.16</v>
      </c>
      <c r="AE128" s="436">
        <f>IF(_epmOfflineCondition_,0.198734642027729,IF(AD128=0,"",IFERROR(AD128/_xll.EVGTS($B$1,1,_xll.EVPRO($B$1,$H128,"COSBASIS"),$B$3,$B$5,$B$6,$B$7,$B$9,AD$16,AD$17,AD$18),"")))</f>
        <v>0.198734642027729</v>
      </c>
      <c r="AF128" s="145">
        <f t="shared" si="33"/>
        <v>-5911.2199999999993</v>
      </c>
      <c r="AG128" s="143">
        <v>2161.5</v>
      </c>
      <c r="AH128" s="436">
        <f>IF(_epmOfflineCondition_,0.180671984432871,IF(AG128=0,"",IFERROR(AG128/_xll.EVGTS($B$1,1,_xll.EVPRO($B$1,$H128,"COSBASIS"),$B$3,$B$5,$B$6,$B$7,$B$9,AG$16,AG$17,AG$18),"")))</f>
        <v>0.180671984432871</v>
      </c>
      <c r="AI128" s="145">
        <f t="shared" si="34"/>
        <v>-1550.56</v>
      </c>
    </row>
    <row r="129" spans="1:35" x14ac:dyDescent="0.35">
      <c r="A129" s="11"/>
      <c r="B129" s="11"/>
      <c r="C129" s="208"/>
      <c r="D129" s="11"/>
      <c r="E129" s="11"/>
      <c r="F129" s="11"/>
      <c r="G129" s="11"/>
      <c r="H129" s="185" t="s">
        <v>757</v>
      </c>
      <c r="I129" s="122"/>
      <c r="J129" s="122"/>
      <c r="K129" s="11"/>
      <c r="L129" s="90" t="str">
        <f>IF(_epmOfflineCondition_,"",_xll.EVPRO($B$1,H129,"JDEID"))</f>
        <v/>
      </c>
      <c r="M129" s="90" t="str">
        <f>IF(_epmOfflineCondition_,"",IF(AND(I129="N",J129="N"),_xll.EVPRO($B$1,H129,"PSFTID"),""))</f>
        <v/>
      </c>
      <c r="N129" s="493" t="str">
        <f>IF(_epmOfflineCondition_,"Beverage Cost %",IF(_xll.EVDES(H129,$B$1)="#NODATA","",_xll.EVDES(H129,$B$1)))</f>
        <v>Beverage Cost %</v>
      </c>
      <c r="O129" s="508">
        <v>0.19885294117647101</v>
      </c>
      <c r="P129" s="508">
        <v>0.114541438510914</v>
      </c>
      <c r="Q129" s="508"/>
      <c r="R129" s="508"/>
      <c r="S129" s="508"/>
      <c r="T129" s="508"/>
      <c r="U129" s="508"/>
      <c r="V129" s="508"/>
      <c r="W129" s="508"/>
      <c r="X129" s="508"/>
      <c r="Y129" s="508"/>
      <c r="Z129" s="508"/>
      <c r="AA129" s="508">
        <v>0.120098525847309</v>
      </c>
      <c r="AB129" s="436"/>
      <c r="AC129" s="140"/>
      <c r="AD129" s="508">
        <v>0.198734642027729</v>
      </c>
      <c r="AE129" s="436"/>
      <c r="AF129" s="521">
        <f t="shared" si="33"/>
        <v>-7.8636116180420004E-2</v>
      </c>
      <c r="AG129" s="508">
        <v>0.180671984432871</v>
      </c>
      <c r="AH129" s="436"/>
      <c r="AI129" s="521">
        <f t="shared" si="34"/>
        <v>-6.0573458585561998E-2</v>
      </c>
    </row>
    <row r="130" spans="1:35" x14ac:dyDescent="0.35">
      <c r="A130" s="11"/>
      <c r="B130" s="11"/>
      <c r="C130" s="208"/>
      <c r="D130" s="11"/>
      <c r="E130" s="11"/>
      <c r="F130" s="11"/>
      <c r="G130" s="11"/>
      <c r="H130" s="185" t="s">
        <v>755</v>
      </c>
      <c r="I130" s="122"/>
      <c r="J130" s="122"/>
      <c r="K130" s="11"/>
      <c r="L130" s="90" t="str">
        <f>IF(_epmOfflineCondition_,"561300",_xll.EVPRO($B$1,H130,"JDEID"))</f>
        <v>561300</v>
      </c>
      <c r="M130" s="90" t="str">
        <f>IF(_epmOfflineCondition_,"",IF(AND(I130="N",J130="N"),_xll.EVPRO($B$1,H130,"PSFTID"),""))</f>
        <v/>
      </c>
      <c r="N130" s="90" t="str">
        <f>IF(_epmOfflineCondition_,"Liquor Cost of Sales",IF(_xll.EVDES(H130,$B$1)="#NODATA","",_xll.EVDES(H130,$B$1)))</f>
        <v>Liquor Cost of Sales</v>
      </c>
      <c r="O130" s="143">
        <v>134.36000000000001</v>
      </c>
      <c r="P130" s="143">
        <v>239.46</v>
      </c>
      <c r="Q130" s="143"/>
      <c r="R130" s="143"/>
      <c r="S130" s="143"/>
      <c r="T130" s="143"/>
      <c r="U130" s="143"/>
      <c r="V130" s="143"/>
      <c r="W130" s="143"/>
      <c r="X130" s="143"/>
      <c r="Y130" s="143"/>
      <c r="Z130" s="143"/>
      <c r="AA130" s="143">
        <f>SUM(O130:Z130)</f>
        <v>373.82000000000005</v>
      </c>
      <c r="AB130" s="436">
        <f>IF(_epmOfflineCondition_,0.195003625475355,IF(AA130=0,"",IFERROR(AA130/_xll.EVGTS($B$1,1,_xll.EVPRO($B$1,$H130,"COSBASIS"),$B$3,$B$5,$B$6,$B$7,$B$9,AA$16,AA$17,AA$11),"")))</f>
        <v>0.19500362547535499</v>
      </c>
      <c r="AC130" s="140"/>
      <c r="AD130" s="143">
        <v>3666.7</v>
      </c>
      <c r="AE130" s="436">
        <f>IF(_epmOfflineCondition_,0.195000321187073,IF(AD130=0,"",IFERROR(AD130/_xll.EVGTS($B$1,1,_xll.EVPRO($B$1,$H130,"COSBASIS"),$B$3,$B$5,$B$6,$B$7,$B$9,AD$16,AD$17,AD$18),"")))</f>
        <v>0.195000321187073</v>
      </c>
      <c r="AF130" s="145">
        <f t="shared" si="33"/>
        <v>-3292.8799999999997</v>
      </c>
      <c r="AG130" s="143">
        <v>811.04</v>
      </c>
      <c r="AH130" s="436">
        <f>IF(_epmOfflineCondition_,0.195004664493109,IF(AG130=0,"",IFERROR(AG130/_xll.EVGTS($B$1,1,_xll.EVPRO($B$1,$H130,"COSBASIS"),$B$3,$B$5,$B$6,$B$7,$B$9,AG$16,AG$17,AG$18),"")))</f>
        <v>0.19500466449310899</v>
      </c>
      <c r="AI130" s="145">
        <f t="shared" si="34"/>
        <v>-437.21999999999991</v>
      </c>
    </row>
    <row r="131" spans="1:35" x14ac:dyDescent="0.35">
      <c r="A131" s="11"/>
      <c r="B131" s="11"/>
      <c r="C131" s="208"/>
      <c r="D131" s="11"/>
      <c r="E131" s="11"/>
      <c r="F131" s="11"/>
      <c r="G131" s="11"/>
      <c r="H131" s="185" t="s">
        <v>758</v>
      </c>
      <c r="I131" s="122"/>
      <c r="J131" s="122"/>
      <c r="K131" s="11"/>
      <c r="L131" s="90" t="str">
        <f>IF(_epmOfflineCondition_,"",_xll.EVPRO($B$1,H131,"JDEID"))</f>
        <v/>
      </c>
      <c r="M131" s="90" t="str">
        <f>IF(_epmOfflineCondition_,"",IF(AND(I131="N",J131="N"),_xll.EVPRO($B$1,H131,"PSFTID"),""))</f>
        <v/>
      </c>
      <c r="N131" s="493" t="str">
        <f>IF(_epmOfflineCondition_,"Liquor Cost %",IF(_xll.EVDES(H131,$B$1)="#NODATA","",_xll.EVDES(H131,$B$1)))</f>
        <v>Liquor Cost %</v>
      </c>
      <c r="O131" s="508">
        <v>0.19500725689404899</v>
      </c>
      <c r="P131" s="508">
        <v>0.19500158796081399</v>
      </c>
      <c r="Q131" s="508"/>
      <c r="R131" s="508"/>
      <c r="S131" s="508"/>
      <c r="T131" s="508"/>
      <c r="U131" s="508"/>
      <c r="V131" s="508"/>
      <c r="W131" s="508"/>
      <c r="X131" s="508"/>
      <c r="Y131" s="508"/>
      <c r="Z131" s="508"/>
      <c r="AA131" s="508">
        <v>0.19500362547535499</v>
      </c>
      <c r="AB131" s="436"/>
      <c r="AC131" s="140"/>
      <c r="AD131" s="508">
        <v>0.195000321187073</v>
      </c>
      <c r="AE131" s="436"/>
      <c r="AF131" s="521">
        <f t="shared" si="33"/>
        <v>3.3042882819911412E-6</v>
      </c>
      <c r="AG131" s="508">
        <v>0.19500466449310899</v>
      </c>
      <c r="AH131" s="436"/>
      <c r="AI131" s="521">
        <f t="shared" si="34"/>
        <v>-1.0390177540009482E-6</v>
      </c>
    </row>
    <row r="132" spans="1:35" x14ac:dyDescent="0.35">
      <c r="A132" s="11"/>
      <c r="B132" s="11"/>
      <c r="C132" s="208"/>
      <c r="D132" s="11"/>
      <c r="E132" s="11"/>
      <c r="F132" s="11"/>
      <c r="G132" s="11"/>
      <c r="H132" s="185">
        <v>561400</v>
      </c>
      <c r="I132" s="122"/>
      <c r="J132" s="122"/>
      <c r="K132" s="11"/>
      <c r="L132" s="90" t="str">
        <f>IF(_epmOfflineCondition_,"561400",_xll.EVPRO($B$1,H132,"JDEID"))</f>
        <v>561400</v>
      </c>
      <c r="M132" s="90" t="str">
        <f>IF(_epmOfflineCondition_,"",IF(AND(I132="N",J132="N"),_xll.EVPRO($B$1,H132,"PSFTID"),""))</f>
        <v/>
      </c>
      <c r="N132" s="90" t="str">
        <f>IF(_epmOfflineCondition_,"Beer Cost of Sales",IF(_xll.EVDES(H132,$B$1)="#NODATA","",_xll.EVDES(H132,$B$1)))</f>
        <v>Beer Cost of Sales</v>
      </c>
      <c r="O132" s="143">
        <v>47.67</v>
      </c>
      <c r="P132" s="143">
        <v>34.65</v>
      </c>
      <c r="Q132" s="143"/>
      <c r="R132" s="143"/>
      <c r="S132" s="143"/>
      <c r="T132" s="143"/>
      <c r="U132" s="143"/>
      <c r="V132" s="143"/>
      <c r="W132" s="143"/>
      <c r="X132" s="143"/>
      <c r="Y132" s="143"/>
      <c r="Z132" s="143"/>
      <c r="AA132" s="143">
        <f>SUM(O132:Z132)</f>
        <v>82.32</v>
      </c>
      <c r="AB132" s="436">
        <f>IF(_epmOfflineCondition_,0.21,IF(AA132=0,"",IFERROR(AA132/_xll.EVGTS($B$1,1,_xll.EVPRO($B$1,$H132,"COSBASIS"),$B$3,$B$5,$B$6,$B$7,$B$9,AA$16,AA$17,AA$11),"")))</f>
        <v>0.21</v>
      </c>
      <c r="AC132" s="140"/>
      <c r="AD132" s="143">
        <v>1102.82</v>
      </c>
      <c r="AE132" s="436">
        <f>IF(_epmOfflineCondition_,0.209997427319199,IF(AD132=0,"",IFERROR(AD132/_xll.EVGTS($B$1,1,_xll.EVPRO($B$1,$H132,"COSBASIS"),$B$3,$B$5,$B$6,$B$7,$B$9,AD$16,AD$17,AD$18),"")))</f>
        <v>0.20999742731919899</v>
      </c>
      <c r="AF132" s="145">
        <f t="shared" si="33"/>
        <v>-1020.5</v>
      </c>
      <c r="AG132" s="143">
        <v>340.63</v>
      </c>
      <c r="AH132" s="436">
        <f>IF(_epmOfflineCondition_,0.123282663771263,IF(AG132=0,"",IFERROR(AG132/_xll.EVGTS($B$1,1,_xll.EVPRO($B$1,$H132,"COSBASIS"),$B$3,$B$5,$B$6,$B$7,$B$9,AG$16,AG$17,AG$18),"")))</f>
        <v>0.123282663771263</v>
      </c>
      <c r="AI132" s="145">
        <f t="shared" si="34"/>
        <v>-258.31</v>
      </c>
    </row>
    <row r="133" spans="1:35" x14ac:dyDescent="0.35">
      <c r="A133" s="11"/>
      <c r="B133" s="11"/>
      <c r="C133" s="208"/>
      <c r="D133" s="11"/>
      <c r="E133" s="11"/>
      <c r="F133" s="11"/>
      <c r="G133" s="11"/>
      <c r="H133" s="185" t="s">
        <v>759</v>
      </c>
      <c r="I133" s="122"/>
      <c r="J133" s="122"/>
      <c r="K133" s="11"/>
      <c r="L133" s="90" t="str">
        <f>IF(_epmOfflineCondition_,"",_xll.EVPRO($B$1,H133,"JDEID"))</f>
        <v/>
      </c>
      <c r="M133" s="90" t="str">
        <f>IF(_epmOfflineCondition_,"",IF(AND(I133="N",J133="N"),_xll.EVPRO($B$1,H133,"PSFTID"),""))</f>
        <v/>
      </c>
      <c r="N133" s="493" t="str">
        <f>IF(_epmOfflineCondition_,"Beer Cost %",IF(_xll.EVDES(H133,$B$1)="#NODATA","",_xll.EVDES(H133,$B$1)))</f>
        <v>Beer Cost %</v>
      </c>
      <c r="O133" s="508">
        <v>0.21</v>
      </c>
      <c r="P133" s="508">
        <v>0.21</v>
      </c>
      <c r="Q133" s="508"/>
      <c r="R133" s="508"/>
      <c r="S133" s="508"/>
      <c r="T133" s="508"/>
      <c r="U133" s="508"/>
      <c r="V133" s="508"/>
      <c r="W133" s="508"/>
      <c r="X133" s="508"/>
      <c r="Y133" s="508"/>
      <c r="Z133" s="508"/>
      <c r="AA133" s="508">
        <v>0.21</v>
      </c>
      <c r="AB133" s="436"/>
      <c r="AC133" s="140"/>
      <c r="AD133" s="508">
        <v>0.20999742731919899</v>
      </c>
      <c r="AE133" s="436"/>
      <c r="AF133" s="521">
        <f t="shared" si="33"/>
        <v>2.572680801005145E-6</v>
      </c>
      <c r="AG133" s="508">
        <v>0.123282663771263</v>
      </c>
      <c r="AH133" s="436"/>
      <c r="AI133" s="521">
        <f t="shared" si="34"/>
        <v>8.6717336228736994E-2</v>
      </c>
    </row>
    <row r="134" spans="1:35" x14ac:dyDescent="0.35">
      <c r="A134" s="11"/>
      <c r="B134" s="11"/>
      <c r="C134" s="11"/>
      <c r="D134" s="11"/>
      <c r="E134" s="11"/>
      <c r="F134" s="11"/>
      <c r="G134" s="11"/>
      <c r="H134" s="185">
        <v>561500</v>
      </c>
      <c r="I134" s="122"/>
      <c r="J134" s="122"/>
      <c r="K134" s="11"/>
      <c r="L134" s="90" t="str">
        <f>IF(_epmOfflineCondition_,"561500",_xll.EVPRO($B$1,H134,"JDEID"))</f>
        <v>561500</v>
      </c>
      <c r="M134" s="90" t="str">
        <f>IF(_epmOfflineCondition_,"",IF(AND(I134="N",J134="N"),_xll.EVPRO($B$1,H134,"PSFTID"),""))</f>
        <v/>
      </c>
      <c r="N134" s="90" t="str">
        <f>IF(_epmOfflineCondition_,"Wine Cost of Sales",IF(_xll.EVDES(H134,$B$1)="#NODATA","",_xll.EVDES(H134,$B$1)))</f>
        <v>Wine Cost of Sales</v>
      </c>
      <c r="O134" s="143">
        <v>20.8</v>
      </c>
      <c r="P134" s="143">
        <v>134</v>
      </c>
      <c r="Q134" s="143"/>
      <c r="R134" s="143"/>
      <c r="S134" s="143"/>
      <c r="T134" s="143"/>
      <c r="U134" s="143"/>
      <c r="V134" s="143"/>
      <c r="W134" s="143"/>
      <c r="X134" s="143"/>
      <c r="Y134" s="143"/>
      <c r="Z134" s="143"/>
      <c r="AA134" s="143">
        <f>SUM(O134:Z134)</f>
        <v>154.80000000000001</v>
      </c>
      <c r="AB134" s="436">
        <f>IF(_epmOfflineCondition_,0.0557235421166307,IF(AA134=0,"",IFERROR(AA134/_xll.EVGTS($B$1,1,_xll.EVPRO($B$1,$H134,"COSBASIS"),$B$3,$B$5,$B$6,$B$7,$B$9,AA$16,AA$17,AA$11),"")))</f>
        <v>5.5723542116630699E-2</v>
      </c>
      <c r="AC134" s="140"/>
      <c r="AD134" s="143">
        <v>1752.64</v>
      </c>
      <c r="AE134" s="436">
        <f>IF(_epmOfflineCondition_,0.19999798189913,IF(AD134=0,"",IFERROR(AD134/_xll.EVGTS($B$1,1,_xll.EVPRO($B$1,$H134,"COSBASIS"),$B$3,$B$5,$B$6,$B$7,$B$9,AD$16,AD$17,AD$18),"")))</f>
        <v>0.19999798189913001</v>
      </c>
      <c r="AF134" s="145">
        <f t="shared" si="33"/>
        <v>-1597.8400000000001</v>
      </c>
      <c r="AG134" s="143">
        <v>1009.83</v>
      </c>
      <c r="AH134" s="436">
        <f>IF(_epmOfflineCondition_,0.200299905386991,IF(AG134=0,"",IFERROR(AG134/_xll.EVGTS($B$1,1,_xll.EVPRO($B$1,$H134,"COSBASIS"),$B$3,$B$5,$B$6,$B$7,$B$9,AG$16,AG$17,AG$18),"")))</f>
        <v>0.200299905386991</v>
      </c>
      <c r="AI134" s="145">
        <f t="shared" si="34"/>
        <v>-855.03</v>
      </c>
    </row>
    <row r="135" spans="1:35" x14ac:dyDescent="0.35">
      <c r="A135" s="11"/>
      <c r="B135" s="11"/>
      <c r="C135" s="208"/>
      <c r="D135" s="11"/>
      <c r="E135" s="11"/>
      <c r="F135" s="11"/>
      <c r="G135" s="11"/>
      <c r="H135" s="185" t="s">
        <v>760</v>
      </c>
      <c r="I135" s="122"/>
      <c r="J135" s="122"/>
      <c r="K135" s="11"/>
      <c r="L135" s="90" t="str">
        <f>IF(_epmOfflineCondition_,"",_xll.EVPRO($B$1,H135,"JDEID"))</f>
        <v/>
      </c>
      <c r="M135" s="90" t="str">
        <f>IF(_epmOfflineCondition_,"",IF(AND(I135="N",J135="N"),_xll.EVPRO($B$1,H135,"PSFTID"),""))</f>
        <v/>
      </c>
      <c r="N135" s="493" t="str">
        <f>IF(_epmOfflineCondition_,"Wine Cost %",IF(_xll.EVDES(H135,$B$1)="#NODATA","",_xll.EVDES(H135,$B$1)))</f>
        <v>Wine Cost %</v>
      </c>
      <c r="O135" s="508">
        <v>0.2</v>
      </c>
      <c r="P135" s="508">
        <v>6.1751152073732697E-2</v>
      </c>
      <c r="Q135" s="508"/>
      <c r="R135" s="508"/>
      <c r="S135" s="508"/>
      <c r="T135" s="508"/>
      <c r="U135" s="508"/>
      <c r="V135" s="508"/>
      <c r="W135" s="508"/>
      <c r="X135" s="508"/>
      <c r="Y135" s="508"/>
      <c r="Z135" s="508"/>
      <c r="AA135" s="508">
        <v>5.5723542116630699E-2</v>
      </c>
      <c r="AB135" s="436"/>
      <c r="AC135" s="140"/>
      <c r="AD135" s="508">
        <v>0.19999798189913001</v>
      </c>
      <c r="AE135" s="436"/>
      <c r="AF135" s="521">
        <f t="shared" si="33"/>
        <v>-0.14427443978249932</v>
      </c>
      <c r="AG135" s="508">
        <v>0.200299905386991</v>
      </c>
      <c r="AH135" s="436"/>
      <c r="AI135" s="521">
        <f t="shared" si="34"/>
        <v>-0.1445763632703603</v>
      </c>
    </row>
    <row r="136" spans="1:35" x14ac:dyDescent="0.35">
      <c r="A136" s="11"/>
      <c r="B136" s="11"/>
      <c r="C136" s="208"/>
      <c r="D136" s="11"/>
      <c r="E136" s="11"/>
      <c r="F136" s="11"/>
      <c r="G136" s="11"/>
      <c r="H136" s="185" t="s">
        <v>286</v>
      </c>
      <c r="I136" s="122"/>
      <c r="J136" s="122"/>
      <c r="K136" s="11"/>
      <c r="L136" s="90" t="str">
        <f>IF(_epmOfflineCondition_,"",_xll.EVPRO($B$1,H136,"JDEID"))</f>
        <v/>
      </c>
      <c r="M136" s="90" t="str">
        <f>IF(_epmOfflineCondition_,"",IF(AND(I136="N",J136="N"),_xll.EVPRO($B$1,H136,"PSFTID"),""))</f>
        <v/>
      </c>
      <c r="N136" s="90" t="str">
        <f>IF(_epmOfflineCondition_,"Total Cost of Food &amp; Beverage Sales",IF(_xll.EVDES(H136,$B$1)="#NODATA","",_xll.EVDES(H136,$B$1)))</f>
        <v>Total Cost of Food &amp; Beverage Sales</v>
      </c>
      <c r="O136" s="143">
        <v>4977.0200000000004</v>
      </c>
      <c r="P136" s="143">
        <v>4823.4399999999996</v>
      </c>
      <c r="Q136" s="143"/>
      <c r="R136" s="143"/>
      <c r="S136" s="143"/>
      <c r="T136" s="143"/>
      <c r="U136" s="143"/>
      <c r="V136" s="143"/>
      <c r="W136" s="143"/>
      <c r="X136" s="143"/>
      <c r="Y136" s="143"/>
      <c r="Z136" s="143"/>
      <c r="AA136" s="143">
        <f>SUM(O136:Z136)</f>
        <v>9800.4599999999991</v>
      </c>
      <c r="AB136" s="436">
        <f>IF(_epmOfflineCondition_,0.245663429325573,IF(AA136=0,"",IFERROR(AA136/_xll.EVGTS($B$1,1,_xll.EVPRO($B$1,$H136,"COSBASIS"),$B$3,$B$5,$B$6,$B$7,$B$9,AA$16,AA$17,AA$11),"")))</f>
        <v>0.245663429325573</v>
      </c>
      <c r="AC136" s="140"/>
      <c r="AD136" s="143">
        <v>49394.35</v>
      </c>
      <c r="AE136" s="436">
        <f>IF(_epmOfflineCondition_,0.207584143077641,IF(AD136=0,"",IFERROR(AD136/_xll.EVGTS($B$1,1,_xll.EVPRO($B$1,$H136,"COSBASIS"),$B$3,$B$5,$B$6,$B$7,$B$9,AD$16,AD$17,AD$18),"")))</f>
        <v>0.207584143077641</v>
      </c>
      <c r="AF136" s="145">
        <f t="shared" si="33"/>
        <v>-39593.89</v>
      </c>
      <c r="AG136" s="143">
        <v>26839.3</v>
      </c>
      <c r="AH136" s="436">
        <f>IF(_epmOfflineCondition_,0.206726950248907,IF(AG136=0,"",IFERROR(AG136/_xll.EVGTS($B$1,1,_xll.EVPRO($B$1,$H136,"COSBASIS"),$B$3,$B$5,$B$6,$B$7,$B$9,AG$16,AG$17,AG$18),"")))</f>
        <v>0.206726950248907</v>
      </c>
      <c r="AI136" s="145">
        <f t="shared" si="34"/>
        <v>-17038.84</v>
      </c>
    </row>
    <row r="137" spans="1:35" x14ac:dyDescent="0.35">
      <c r="A137" s="11"/>
      <c r="B137" s="11"/>
      <c r="C137" s="208"/>
      <c r="D137" s="11"/>
      <c r="E137" s="11"/>
      <c r="F137" s="11"/>
      <c r="G137" s="11"/>
      <c r="H137" s="185"/>
      <c r="I137" s="122"/>
      <c r="J137" s="122"/>
      <c r="K137" s="11"/>
      <c r="L137" s="90"/>
      <c r="M137" s="90"/>
      <c r="N137" s="493" t="s">
        <v>762</v>
      </c>
      <c r="O137" s="508">
        <f t="shared" ref="O137:AA137" si="35">IFERROR(O136/O82,"")</f>
        <v>0.20856736128775688</v>
      </c>
      <c r="P137" s="508">
        <f t="shared" si="35"/>
        <v>0.18003963272727133</v>
      </c>
      <c r="Q137" s="508">
        <f t="shared" si="35"/>
        <v>0</v>
      </c>
      <c r="R137" s="508" t="str">
        <f t="shared" si="35"/>
        <v/>
      </c>
      <c r="S137" s="508">
        <f t="shared" si="35"/>
        <v>0</v>
      </c>
      <c r="T137" s="508" t="str">
        <f t="shared" si="35"/>
        <v/>
      </c>
      <c r="U137" s="508" t="str">
        <f t="shared" si="35"/>
        <v/>
      </c>
      <c r="V137" s="508" t="str">
        <f t="shared" si="35"/>
        <v/>
      </c>
      <c r="W137" s="508">
        <f t="shared" si="35"/>
        <v>0</v>
      </c>
      <c r="X137" s="508">
        <f t="shared" si="35"/>
        <v>0</v>
      </c>
      <c r="Y137" s="508" t="str">
        <f t="shared" si="35"/>
        <v/>
      </c>
      <c r="Z137" s="508" t="str">
        <f t="shared" si="35"/>
        <v/>
      </c>
      <c r="AA137" s="508">
        <f t="shared" si="35"/>
        <v>0.24566342932557267</v>
      </c>
      <c r="AB137" s="436"/>
      <c r="AC137" s="140"/>
      <c r="AD137" s="508">
        <f>IFERROR(AD136/AD82,"")</f>
        <v>0.20758414307764067</v>
      </c>
      <c r="AE137" s="436"/>
      <c r="AF137" s="521">
        <f t="shared" si="33"/>
        <v>3.8079286247931998E-2</v>
      </c>
      <c r="AG137" s="508">
        <f>IFERROR(AG136/AG82,"")</f>
        <v>0.2067269502489068</v>
      </c>
      <c r="AH137" s="436"/>
      <c r="AI137" s="521">
        <f t="shared" si="34"/>
        <v>3.8936479076665864E-2</v>
      </c>
    </row>
    <row r="138" spans="1:35" x14ac:dyDescent="0.35">
      <c r="A138" s="11"/>
      <c r="B138" s="11"/>
      <c r="C138" s="208"/>
      <c r="D138" s="11"/>
      <c r="E138" s="11"/>
      <c r="F138" s="11"/>
      <c r="G138" s="11"/>
      <c r="H138" s="11"/>
      <c r="I138" s="59"/>
      <c r="J138" s="59"/>
      <c r="K138" s="11"/>
      <c r="L138" s="11"/>
      <c r="M138" s="11"/>
      <c r="N138" s="11"/>
      <c r="O138" s="140"/>
      <c r="P138" s="140"/>
      <c r="Q138" s="140"/>
      <c r="R138" s="140"/>
      <c r="S138" s="140"/>
      <c r="T138" s="140"/>
      <c r="U138" s="140"/>
      <c r="V138" s="140"/>
      <c r="W138" s="140"/>
      <c r="X138" s="140"/>
      <c r="Y138" s="140"/>
      <c r="Z138" s="140"/>
      <c r="AA138" s="140"/>
      <c r="AB138" s="140"/>
      <c r="AC138" s="140"/>
      <c r="AD138" s="140"/>
      <c r="AE138" s="140"/>
      <c r="AF138" s="140"/>
      <c r="AG138" s="140"/>
      <c r="AH138" s="140"/>
      <c r="AI138" s="140"/>
    </row>
    <row r="139" spans="1:35" x14ac:dyDescent="0.35">
      <c r="A139" s="11"/>
      <c r="B139" s="11"/>
      <c r="C139" s="208"/>
      <c r="D139" s="11"/>
      <c r="E139" s="11"/>
      <c r="F139" s="11"/>
      <c r="G139" s="11"/>
      <c r="H139" s="185"/>
      <c r="I139" s="122"/>
      <c r="J139" s="122"/>
      <c r="K139" s="11"/>
      <c r="L139" s="11"/>
      <c r="M139" s="11"/>
      <c r="N139" s="104" t="str">
        <f>N82&amp;" - Check"</f>
        <v>Total Food &amp; Beverage Revenue - Check</v>
      </c>
      <c r="O139" s="511">
        <f t="shared" ref="O139:AA139" si="36">O39+O49+O59+O69+O75+O80-O82</f>
        <v>0</v>
      </c>
      <c r="P139" s="511">
        <f t="shared" si="36"/>
        <v>0</v>
      </c>
      <c r="Q139" s="511">
        <f t="shared" si="36"/>
        <v>0</v>
      </c>
      <c r="R139" s="511">
        <f t="shared" si="36"/>
        <v>0</v>
      </c>
      <c r="S139" s="511">
        <f t="shared" si="36"/>
        <v>0</v>
      </c>
      <c r="T139" s="511">
        <f t="shared" si="36"/>
        <v>0</v>
      </c>
      <c r="U139" s="511">
        <f t="shared" si="36"/>
        <v>0</v>
      </c>
      <c r="V139" s="511">
        <f t="shared" si="36"/>
        <v>0</v>
      </c>
      <c r="W139" s="511">
        <f t="shared" si="36"/>
        <v>0</v>
      </c>
      <c r="X139" s="511">
        <f t="shared" si="36"/>
        <v>0</v>
      </c>
      <c r="Y139" s="511">
        <f t="shared" si="36"/>
        <v>0</v>
      </c>
      <c r="Z139" s="511">
        <f t="shared" si="36"/>
        <v>0</v>
      </c>
      <c r="AA139" s="511">
        <f t="shared" si="36"/>
        <v>0</v>
      </c>
      <c r="AB139" s="144"/>
      <c r="AC139" s="140"/>
      <c r="AD139" s="511">
        <f>AD39+AD49+AD59+AD69+AD75+AD80-AD82</f>
        <v>0</v>
      </c>
      <c r="AE139" s="144"/>
      <c r="AF139" s="143"/>
      <c r="AG139" s="511">
        <f>AG39+AG49+AG59+AG69+AG75+AG80-AG82</f>
        <v>0</v>
      </c>
      <c r="AH139" s="144"/>
      <c r="AI139" s="143"/>
    </row>
    <row r="140" spans="1:35" x14ac:dyDescent="0.35">
      <c r="A140" s="11"/>
      <c r="B140" s="11"/>
      <c r="C140" s="208"/>
      <c r="D140" s="11"/>
      <c r="E140" s="11"/>
      <c r="F140" s="11"/>
      <c r="G140" s="11"/>
      <c r="H140" s="185"/>
      <c r="I140" s="122"/>
      <c r="J140" s="122"/>
      <c r="K140" s="11"/>
      <c r="L140" s="11"/>
      <c r="M140" s="11"/>
      <c r="N140" s="104" t="str">
        <f>N84&amp;" - Check"</f>
        <v>Total Customers - Check</v>
      </c>
      <c r="O140" s="511">
        <f t="shared" ref="O140:AA140" si="37">O41+O51+O61+O70+O76-O84</f>
        <v>0</v>
      </c>
      <c r="P140" s="511">
        <f t="shared" si="37"/>
        <v>0</v>
      </c>
      <c r="Q140" s="511">
        <f t="shared" si="37"/>
        <v>0</v>
      </c>
      <c r="R140" s="511">
        <f t="shared" si="37"/>
        <v>0</v>
      </c>
      <c r="S140" s="511">
        <f t="shared" si="37"/>
        <v>0</v>
      </c>
      <c r="T140" s="511">
        <f t="shared" si="37"/>
        <v>0</v>
      </c>
      <c r="U140" s="511">
        <f t="shared" si="37"/>
        <v>0</v>
      </c>
      <c r="V140" s="511">
        <f t="shared" si="37"/>
        <v>0</v>
      </c>
      <c r="W140" s="511">
        <f t="shared" si="37"/>
        <v>0</v>
      </c>
      <c r="X140" s="511">
        <f t="shared" si="37"/>
        <v>0</v>
      </c>
      <c r="Y140" s="511">
        <f t="shared" si="37"/>
        <v>0</v>
      </c>
      <c r="Z140" s="511">
        <f t="shared" si="37"/>
        <v>0</v>
      </c>
      <c r="AA140" s="511">
        <f t="shared" si="37"/>
        <v>0</v>
      </c>
      <c r="AB140" s="144"/>
      <c r="AC140" s="140"/>
      <c r="AD140" s="511">
        <f>AD41+AD51+AD61+AD70+AD76-AD84</f>
        <v>0</v>
      </c>
      <c r="AE140" s="144"/>
      <c r="AF140" s="143"/>
      <c r="AG140" s="511">
        <f>AG41+AG51+AG61+AG70+AG76-AG84</f>
        <v>0</v>
      </c>
      <c r="AH140" s="144"/>
      <c r="AI140" s="143"/>
    </row>
    <row r="141" spans="1:35" x14ac:dyDescent="0.35">
      <c r="A141" s="11"/>
      <c r="B141" s="11"/>
      <c r="C141" s="208"/>
      <c r="D141" s="11"/>
      <c r="E141" s="11"/>
      <c r="F141" s="11"/>
      <c r="G141" s="11"/>
      <c r="H141" s="185"/>
      <c r="I141" s="122"/>
      <c r="J141" s="122"/>
      <c r="K141" s="11"/>
      <c r="L141" s="11"/>
      <c r="M141" s="11"/>
      <c r="N141" s="104" t="str">
        <f>N86&amp;" - Check"</f>
        <v>Revenue per Square Foot - Check</v>
      </c>
      <c r="O141" s="510">
        <f t="shared" ref="O141:AA141" si="38">IFERROR(O$82/O84,"")-O86</f>
        <v>28.377989222080313</v>
      </c>
      <c r="P141" s="510">
        <f t="shared" si="38"/>
        <v>14.588466879032932</v>
      </c>
      <c r="Q141" s="510">
        <f t="shared" si="38"/>
        <v>-37.163072776280323</v>
      </c>
      <c r="R141" s="510" t="e">
        <f t="shared" si="38"/>
        <v>#VALUE!</v>
      </c>
      <c r="S141" s="510">
        <f t="shared" si="38"/>
        <v>39.782250000000005</v>
      </c>
      <c r="T141" s="510" t="e">
        <f t="shared" si="38"/>
        <v>#VALUE!</v>
      </c>
      <c r="U141" s="510" t="e">
        <f t="shared" si="38"/>
        <v>#VALUE!</v>
      </c>
      <c r="V141" s="510" t="e">
        <f t="shared" si="38"/>
        <v>#VALUE!</v>
      </c>
      <c r="W141" s="510" t="e">
        <f t="shared" si="38"/>
        <v>#VALUE!</v>
      </c>
      <c r="X141" s="510">
        <f t="shared" si="38"/>
        <v>25</v>
      </c>
      <c r="Y141" s="510" t="e">
        <f t="shared" si="38"/>
        <v>#VALUE!</v>
      </c>
      <c r="Z141" s="510" t="e">
        <f t="shared" si="38"/>
        <v>#VALUE!</v>
      </c>
      <c r="AA141" s="510">
        <f t="shared" si="38"/>
        <v>0</v>
      </c>
      <c r="AB141" s="144"/>
      <c r="AC141" s="140"/>
      <c r="AD141" s="510">
        <f>IFERROR(AD$82/AD84,"")-AD86</f>
        <v>52.678452512729692</v>
      </c>
      <c r="AE141" s="144"/>
      <c r="AF141" s="143"/>
      <c r="AG141" s="510">
        <f>IFERROR(AG$82/AG84,"")-AG86</f>
        <v>43.795522025753066</v>
      </c>
      <c r="AH141" s="144"/>
      <c r="AI141" s="143"/>
    </row>
    <row r="142" spans="1:35" x14ac:dyDescent="0.35">
      <c r="A142" s="11"/>
      <c r="B142" s="11"/>
      <c r="C142" s="208"/>
      <c r="D142" s="11"/>
      <c r="E142" s="11"/>
      <c r="F142" s="11"/>
      <c r="G142" s="11"/>
      <c r="H142" s="185"/>
      <c r="I142" s="122"/>
      <c r="J142" s="122"/>
      <c r="K142" s="11"/>
      <c r="L142" s="11"/>
      <c r="M142" s="11"/>
      <c r="N142" s="104" t="s">
        <v>768</v>
      </c>
      <c r="O142" s="511">
        <f t="shared" ref="O142:AA142" si="39">(O126+O128)-O136</f>
        <v>0</v>
      </c>
      <c r="P142" s="511">
        <f t="shared" si="39"/>
        <v>0</v>
      </c>
      <c r="Q142" s="511">
        <f t="shared" si="39"/>
        <v>0</v>
      </c>
      <c r="R142" s="511">
        <f t="shared" si="39"/>
        <v>0</v>
      </c>
      <c r="S142" s="511">
        <f t="shared" si="39"/>
        <v>0</v>
      </c>
      <c r="T142" s="511">
        <f t="shared" si="39"/>
        <v>0</v>
      </c>
      <c r="U142" s="511">
        <f t="shared" si="39"/>
        <v>0</v>
      </c>
      <c r="V142" s="511">
        <f t="shared" si="39"/>
        <v>0</v>
      </c>
      <c r="W142" s="511">
        <f t="shared" si="39"/>
        <v>0</v>
      </c>
      <c r="X142" s="511">
        <f t="shared" si="39"/>
        <v>0</v>
      </c>
      <c r="Y142" s="511">
        <f t="shared" si="39"/>
        <v>0</v>
      </c>
      <c r="Z142" s="511">
        <f t="shared" si="39"/>
        <v>0</v>
      </c>
      <c r="AA142" s="511">
        <f t="shared" si="39"/>
        <v>0</v>
      </c>
      <c r="AB142" s="144"/>
      <c r="AC142" s="140"/>
      <c r="AD142" s="511">
        <f>(AD126+AD128)-AD136</f>
        <v>0</v>
      </c>
      <c r="AE142" s="144"/>
      <c r="AF142" s="143"/>
      <c r="AG142" s="511">
        <f>(AG126+AG128)-AG136</f>
        <v>0</v>
      </c>
      <c r="AH142" s="144"/>
      <c r="AI142" s="143"/>
    </row>
    <row r="143" spans="1:35" x14ac:dyDescent="0.35">
      <c r="A143" s="11"/>
      <c r="B143" s="11"/>
      <c r="C143" s="208"/>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3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208"/>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3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267"/>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sheetData>
  <sheetProtection algorithmName="SHA-512" hashValue="oLZ+gWHS1VP5YXEm1g1NKcI8yyx+1Y5HViZWTPokehCBMzavQrO89p4V3oIO1Pgwe0pwSTfarJhf7/Vde4OTrA==" saltValue="4Fr150cE8EmWFXnysOXm+w==" spinCount="100000" sheet="1" scenarios="1"/>
  <mergeCells count="2">
    <mergeCell ref="AD31:AE31"/>
    <mergeCell ref="AG31:AH31"/>
  </mergeCells>
  <conditionalFormatting sqref="AD43 AF43:AG43 O43:AA43">
    <cfRule type="expression" dxfId="35" priority="10">
      <formula>ROUND(O42,2)&lt;&gt;ROUND(O43,2)</formula>
    </cfRule>
  </conditionalFormatting>
  <conditionalFormatting sqref="O53:AA53 AD53 AF53:AG53">
    <cfRule type="expression" dxfId="34" priority="9">
      <formula>ROUND(O52,2)&lt;&gt;ROUND(O53,2)</formula>
    </cfRule>
  </conditionalFormatting>
  <conditionalFormatting sqref="O63:AA63 AD63 AF63:AG63">
    <cfRule type="expression" dxfId="33" priority="8">
      <formula>ROUND(O62,2)&lt;&gt;ROUND(O63,2)</formula>
    </cfRule>
  </conditionalFormatting>
  <conditionalFormatting sqref="O72:AA72 AD72 AF72:AG72">
    <cfRule type="expression" dxfId="32" priority="7">
      <formula>ROUND(O71,2)&lt;&gt;ROUND(O72,2)</formula>
    </cfRule>
  </conditionalFormatting>
  <conditionalFormatting sqref="AD78 AF78:AG78 O78:AA78">
    <cfRule type="expression" dxfId="31" priority="6">
      <formula>ROUND(O77,2)&lt;&gt;ROUND(O78,2)</formula>
    </cfRule>
  </conditionalFormatting>
  <conditionalFormatting sqref="AI43">
    <cfRule type="expression" dxfId="30" priority="5">
      <formula>ROUND(AI42,2)&lt;&gt;ROUND(AI43,2)</formula>
    </cfRule>
  </conditionalFormatting>
  <conditionalFormatting sqref="AI53">
    <cfRule type="expression" dxfId="29" priority="4">
      <formula>ROUND(AI52,2)&lt;&gt;ROUND(AI53,2)</formula>
    </cfRule>
  </conditionalFormatting>
  <conditionalFormatting sqref="AI63">
    <cfRule type="expression" dxfId="28" priority="3">
      <formula>ROUND(AI62,2)&lt;&gt;ROUND(AI63,2)</formula>
    </cfRule>
  </conditionalFormatting>
  <conditionalFormatting sqref="AI72">
    <cfRule type="expression" dxfId="27" priority="2">
      <formula>ROUND(AI71,2)&lt;&gt;ROUND(AI72,2)</formula>
    </cfRule>
  </conditionalFormatting>
  <conditionalFormatting sqref="AI78">
    <cfRule type="expression" dxfId="26" priority="1">
      <formula>ROUND(AI77,2)&lt;&gt;ROUND(AI78,2)</formula>
    </cfRule>
  </conditionalFormatting>
  <conditionalFormatting sqref="N43 N53 N63 N72 N78">
    <cfRule type="expression" dxfId="25" priority="11">
      <formula>$G44&lt;&gt;0</formula>
    </cfRule>
  </conditionalFormatting>
  <conditionalFormatting sqref="N79">
    <cfRule type="expression" dxfId="24" priority="12">
      <formula>#REF!&lt;&gt;0</formula>
    </cfRule>
  </conditionalFormatting>
  <dataValidations count="2">
    <dataValidation type="list" allowBlank="1" sqref="B28" xr:uid="{00000000-0002-0000-1800-000000000000}">
      <formula1>"ACCOUNT,BUSINESSUNIT,CATEGORY,DATASRC,DEPARTMENT,INTCO,MEASURES,RPTCURRENCY,TIME"</formula1>
    </dataValidation>
    <dataValidation type="list" allowBlank="1" sqref="B29" xr:uid="{00000000-0002-0000-1800-000001000000}">
      <formula1>"SELF,ALL,BAS,DEP,BASMEMBERS,MEMBERS,NOEXPAND,GDEP"</formula1>
    </dataValidation>
  </dataValidations>
  <pageMargins left="0.25" right="0.25" top="0.5" bottom="0.5" header="0.3" footer="0.3"/>
  <pageSetup scale="50" fitToHeight="0" orientation="landscape" r:id="rId1"/>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515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5153" r:id="rId7" name="FPMExcelClientSheetOptionstb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R42" sqref="R42"/>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805</v>
      </c>
      <c r="C6" s="11" t="str">
        <f>IF(_epmOfflineCondition_,"Banquet CS Group",_xll.EVDES(B6,$B$1))</f>
        <v>Banquet CS Group</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IF(_epmOfflineCondition_,"'BCC_Group'!$B$2:$B$10",_xll.EVRNG($B$2:$B$10))</f>
        <v>'BCC_Group'!$B$2:$B$10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IF(_epmOfflineCondition_,"'BCC_Group'!$O$16:$AN$18",_xll.EVRNG($O$16:$AN$18))</f>
        <v>'BCC_Group'!$O$16:$AN$18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IF(_epmOfflineCondition_,"'BCC_Group'!$H$35:$H$56",_xll.EVRNG(H35:H56))</f>
        <v>'BCC_Group'!$H$35:$H$56</v>
      </c>
      <c r="C19" s="11"/>
      <c r="D19" s="11"/>
      <c r="E19" s="11"/>
      <c r="F19" s="11"/>
      <c r="G19" s="67" t="str">
        <f>$B$6</f>
        <v>D2248</v>
      </c>
      <c r="H19" s="67">
        <v>400000</v>
      </c>
      <c r="I19" s="68"/>
      <c r="J19" s="68"/>
      <c r="K19" s="67"/>
      <c r="L19" s="67"/>
      <c r="M19" s="67"/>
      <c r="N19" s="67" t="str">
        <f>IF(_epmOfflineCondition_,"Total Revenue",_xll.EVDES(H19))</f>
        <v>Total Revenue</v>
      </c>
      <c r="O19" s="69">
        <f>IF(_epmOfflineCondition_,44704.78,_xll.EVGTS($B$1,1,$B$3,$B$5,$B$7,$B$9,O$16,O$17,O$18,$G$19,$H$19))</f>
        <v>44704.78</v>
      </c>
      <c r="P19" s="69">
        <f>IF(_epmOfflineCondition_,43184.73,_xll.EVGTS($B$1,1,$B$3,$B$5,$B$7,$B$9,P$16,P$17,P$18,$G$19,$H$19))</f>
        <v>43184.73</v>
      </c>
      <c r="Q19" s="69">
        <f>IF(_epmOfflineCondition_,-562.52,_xll.EVGTS($B$1,1,$B$3,$B$5,$B$7,$B$9,Q$16,Q$17,Q$18,$G$19,$H$19))</f>
        <v>-562.52</v>
      </c>
      <c r="R19" s="69">
        <f>IF(_epmOfflineCondition_,0,_xll.EVGTS($B$1,1,$B$3,$B$5,$B$7,$B$9,R$16,R$17,R$18,$G$19,$H$19))</f>
        <v>0</v>
      </c>
      <c r="S19" s="69">
        <f>IF(_epmOfflineCondition_,-14884.49,_xll.EVGTS($B$1,1,$B$3,$B$5,$B$7,$B$9,S$16,S$17,S$18,$G$19,$H$19))</f>
        <v>-14884.49</v>
      </c>
      <c r="T19" s="69">
        <f>IF(_epmOfflineCondition_,0,_xll.EVGTS($B$1,1,$B$3,$B$5,$B$7,$B$9,T$16,T$17,T$18,$G$19,$H$19))</f>
        <v>0</v>
      </c>
      <c r="U19" s="69">
        <f>IF(_epmOfflineCondition_,0,_xll.EVGTS($B$1,1,$B$3,$B$5,$B$7,$B$9,U$16,U$17,U$18,$G$19,$H$19))</f>
        <v>0</v>
      </c>
      <c r="V19" s="69">
        <f>IF(_epmOfflineCondition_,0,_xll.EVGTS($B$1,1,$B$3,$B$5,$B$7,$B$9,V$16,V$17,V$18,$G$19,$H$19))</f>
        <v>0</v>
      </c>
      <c r="W19" s="69">
        <f>IF(_epmOfflineCondition_,614.88,_xll.EVGTS($B$1,1,$B$3,$B$5,$B$7,$B$9,W$16,W$17,W$18,$G$19,$H$19))</f>
        <v>614.88</v>
      </c>
      <c r="X19" s="69">
        <f>IF(_epmOfflineCondition_,305,_xll.EVGTS($B$1,1,$B$3,$B$5,$B$7,$B$9,X$16,X$17,X$18,$G$19,$H$19))</f>
        <v>305</v>
      </c>
      <c r="Y19" s="69">
        <f>IF(_epmOfflineCondition_,650,_xll.EVGTS($B$1,1,$B$3,$B$5,$B$7,$B$9,Y$16,Y$17,Y$18,$G$19,$H$19))</f>
        <v>650</v>
      </c>
      <c r="Z19" s="69">
        <f>IF(_epmOfflineCondition_,0,_xll.EVGTS($B$1,1,$B$3,$B$5,$B$7,$B$9,Z$16,Z$17,Z$18,$G$19,$H$19))</f>
        <v>0</v>
      </c>
      <c r="AA19" s="69">
        <f>SUM(O19:Z19)</f>
        <v>74012.38</v>
      </c>
      <c r="AB19" s="67"/>
      <c r="AC19" s="67"/>
      <c r="AD19" s="69">
        <f>IF(_epmOfflineCondition_,0,_xll.EVGTS($B$1,1,$B$3,$B$5,$B$7,$B$9,AD$16,AD$17,AD$18,$G$19,$H$19))</f>
        <v>0</v>
      </c>
      <c r="AE19" s="67"/>
      <c r="AF19" s="67"/>
      <c r="AG19" s="69">
        <f>IF(_epmOfflineCondition_,4085.42,_xll.EVGTS($B$1,1,$B$3,$B$5,$B$7,$B$9,AG$16,AG$17,AG$18,$G$19,$H$19))</f>
        <v>4085.42</v>
      </c>
      <c r="AH19" s="67"/>
      <c r="AI19" s="67"/>
      <c r="AJ19" s="11"/>
      <c r="AK19" s="11"/>
      <c r="AL19" s="11"/>
      <c r="AM19" s="11"/>
      <c r="AN19" s="11"/>
      <c r="AO19" s="11"/>
    </row>
    <row r="20" spans="1:41" hidden="1" outlineLevel="1" x14ac:dyDescent="0.35">
      <c r="A20" s="65" t="s">
        <v>5</v>
      </c>
      <c r="B20" s="66"/>
      <c r="C20" s="11"/>
      <c r="D20" s="11"/>
      <c r="E20" s="11"/>
      <c r="F20" s="11"/>
      <c r="G20" s="67" t="str">
        <f>$B$6</f>
        <v>D2248</v>
      </c>
      <c r="H20" s="67">
        <v>946000</v>
      </c>
      <c r="I20" s="68"/>
      <c r="J20" s="68"/>
      <c r="K20" s="67"/>
      <c r="L20" s="68"/>
      <c r="M20" s="68"/>
      <c r="N20" s="67" t="str">
        <f>IF(_epmOfflineCondition_,"Total Customers",_xll.EVDES(H20))</f>
        <v>Total Customers</v>
      </c>
      <c r="O20" s="69">
        <f>IF(_epmOfflineCondition_,359,_xll.EVGTS($B$1,1,$B$3,$B$5,$B$7,$B$9,O$16,O$17,O$18,$G$20,$H$20))</f>
        <v>359</v>
      </c>
      <c r="P20" s="69">
        <f>IF(_epmOfflineCondition_,693,_xll.EVGTS($B$1,1,$B$3,$B$5,$B$7,$B$9,P$16,P$17,P$18,$G$20,$H$20))</f>
        <v>693</v>
      </c>
      <c r="Q20" s="69">
        <f>IF(_epmOfflineCondition_,10,_xll.EVGTS($B$1,1,$B$3,$B$5,$B$7,$B$9,Q$16,Q$17,Q$18,$G$20,$H$20))</f>
        <v>10</v>
      </c>
      <c r="R20" s="69">
        <f>IF(_epmOfflineCondition_,0,_xll.EVGTS($B$1,1,$B$3,$B$5,$B$7,$B$9,R$16,R$17,R$18,$G$20,$H$20))</f>
        <v>0</v>
      </c>
      <c r="S20" s="69">
        <f>IF(_epmOfflineCondition_,-280,_xll.EVGTS($B$1,1,$B$3,$B$5,$B$7,$B$9,S$16,S$17,S$18,$G$20,$H$20))</f>
        <v>-280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782</v>
      </c>
      <c r="AB20" s="67"/>
      <c r="AC20" s="67"/>
      <c r="AD20" s="69">
        <f>IF(_epmOfflineCondition_,0,_xll.EVGTS($B$1,1,$B$3,$B$5,$B$7,$B$9,AD$16,AD$17,AD$18,$G$20,$H$20))</f>
        <v>0</v>
      </c>
      <c r="AE20" s="67"/>
      <c r="AF20" s="67"/>
      <c r="AG20" s="69">
        <f>IF(_epmOfflineCondition_,88,_xll.EVGTS($B$1,1,$B$3,$B$5,$B$7,$B$9,AG$16,AG$17,AG$18,$G$20,$H$20))</f>
        <v>88</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IF(_epmOfflineCondition_,"'BCC_Group'!$A$36:$F$44",_xll.EVRNG(A36:F44))</f>
        <v>'BCC_Group'!$A$36:$F$44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IF(_epmOfflineCondition_,"'BCC_Group'!$A$125:$B$146",_xll.EVRNG($A$125:$B$146))</f>
        <v>'BCC_Group'!$A$125:$B$146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IF(_epmOfflineCondition_,"Banquet CS Group Department",IF(_xll.EVDES(B6,$B$1)="#NODATA","",_xll.EVDES(B6,$B$1)&amp;" Department"))</f>
        <v>Banquet CS Group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v>8064.89</v>
      </c>
      <c r="P35" s="564">
        <v>6815</v>
      </c>
      <c r="Q35" s="564"/>
      <c r="R35" s="564"/>
      <c r="S35" s="564">
        <v>-4502</v>
      </c>
      <c r="T35" s="564"/>
      <c r="U35" s="564"/>
      <c r="V35" s="564"/>
      <c r="W35" s="564"/>
      <c r="X35" s="564"/>
      <c r="Y35" s="564"/>
      <c r="Z35" s="564"/>
      <c r="AA35" s="250">
        <f t="shared" ref="AA35:AA56" si="1">IF($I35="B1","",SUM(O35:Z35))</f>
        <v>10377.89</v>
      </c>
      <c r="AB35" s="565">
        <f t="shared" ref="AB35:AB56" si="2">IF(AA35=0,"",IFERROR(AA35/AA$19,""))</f>
        <v>0.14021829861436694</v>
      </c>
      <c r="AC35" s="437"/>
      <c r="AD35" s="564"/>
      <c r="AE35" s="565" t="str">
        <f t="shared" ref="AE35:AE56" si="3">IF(AD35=0,"",IFERROR(AD35/AD$19,""))</f>
        <v/>
      </c>
      <c r="AF35" s="566">
        <f t="shared" ref="AF35:AF56" si="4">IF(AND($AA35="",AD35=""),"",$AA35-AD35)</f>
        <v>10377.89</v>
      </c>
      <c r="AG35" s="564">
        <v>1541</v>
      </c>
      <c r="AH35" s="565">
        <f t="shared" ref="AH35:AH56" si="5">IF(AG35=0,"",IFERROR(AG35/AG$19,""))</f>
        <v>0.37719500075879592</v>
      </c>
      <c r="AI35" s="567">
        <f t="shared" ref="AI35:AI56" si="6">IF(AND($AA35="",AG35=""),"",$AA35-AG35)</f>
        <v>8836.89</v>
      </c>
      <c r="AJ35" s="440">
        <f t="shared" ref="AJ35:AJ56" si="7">IFERROR(AA35/AA$20,0)</f>
        <v>13.270959079283887</v>
      </c>
      <c r="AK35" s="441">
        <f t="shared" ref="AK35:AK56" si="8">IFERROR(AD35/AD$20,0)</f>
        <v>0</v>
      </c>
      <c r="AL35" s="442">
        <f t="shared" ref="AL35:AL56" si="9">IFERROR(AG35/AG$20,0)</f>
        <v>17.511363636363637</v>
      </c>
      <c r="AM35" s="443">
        <f t="shared" ref="AM35:AM56" si="10">+IFERROR(ROUND(($AB35-AE35)*100,2)&amp;" pts.",0)</f>
        <v>0</v>
      </c>
      <c r="AN35" s="444" t="str">
        <f t="shared" ref="AN35:AN56" si="11">+IFERROR(ROUND(($AB35-AH35)*100,2)&amp;" pts.",0)</f>
        <v>-23.7 pts.</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v>8662</v>
      </c>
      <c r="P36" s="564">
        <v>10367</v>
      </c>
      <c r="Q36" s="564">
        <v>-375</v>
      </c>
      <c r="R36" s="564"/>
      <c r="S36" s="564">
        <v>-3472</v>
      </c>
      <c r="T36" s="564"/>
      <c r="U36" s="564"/>
      <c r="V36" s="564"/>
      <c r="W36" s="564"/>
      <c r="X36" s="564">
        <v>250</v>
      </c>
      <c r="Y36" s="564"/>
      <c r="Z36" s="564"/>
      <c r="AA36" s="250">
        <f t="shared" si="1"/>
        <v>15432</v>
      </c>
      <c r="AB36" s="565">
        <f t="shared" si="2"/>
        <v>0.20850565810746796</v>
      </c>
      <c r="AC36" s="437"/>
      <c r="AD36" s="564"/>
      <c r="AE36" s="565" t="str">
        <f t="shared" si="3"/>
        <v/>
      </c>
      <c r="AF36" s="566">
        <f t="shared" si="4"/>
        <v>15432</v>
      </c>
      <c r="AG36" s="564">
        <v>497</v>
      </c>
      <c r="AH36" s="565">
        <f t="shared" si="5"/>
        <v>0.12165211899878103</v>
      </c>
      <c r="AI36" s="567">
        <f t="shared" si="6"/>
        <v>14935</v>
      </c>
      <c r="AJ36" s="440">
        <f t="shared" si="7"/>
        <v>19.734015345268542</v>
      </c>
      <c r="AK36" s="441">
        <f t="shared" si="8"/>
        <v>0</v>
      </c>
      <c r="AL36" s="442">
        <f t="shared" si="9"/>
        <v>5.6477272727272725</v>
      </c>
      <c r="AM36" s="443">
        <f t="shared" si="10"/>
        <v>0</v>
      </c>
      <c r="AN36" s="444" t="str">
        <f t="shared" si="11"/>
        <v>8.69 pts.</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c r="P37" s="564">
        <v>3944</v>
      </c>
      <c r="Q37" s="564"/>
      <c r="R37" s="564"/>
      <c r="S37" s="564">
        <v>-3165.03</v>
      </c>
      <c r="T37" s="564"/>
      <c r="U37" s="564"/>
      <c r="V37" s="564"/>
      <c r="W37" s="564"/>
      <c r="X37" s="564"/>
      <c r="Y37" s="564"/>
      <c r="Z37" s="564"/>
      <c r="AA37" s="250">
        <f t="shared" si="1"/>
        <v>778.9699999999998</v>
      </c>
      <c r="AB37" s="565">
        <f t="shared" si="2"/>
        <v>1.0524860840848515E-2</v>
      </c>
      <c r="AC37" s="437"/>
      <c r="AD37" s="564"/>
      <c r="AE37" s="565" t="str">
        <f t="shared" si="3"/>
        <v/>
      </c>
      <c r="AF37" s="566">
        <f t="shared" si="4"/>
        <v>778.9699999999998</v>
      </c>
      <c r="AG37" s="564"/>
      <c r="AH37" s="565" t="str">
        <f t="shared" si="5"/>
        <v/>
      </c>
      <c r="AI37" s="567">
        <f t="shared" si="6"/>
        <v>778.9699999999998</v>
      </c>
      <c r="AJ37" s="440">
        <f t="shared" si="7"/>
        <v>0.99612531969309437</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v>575</v>
      </c>
      <c r="P38" s="564">
        <v>1127</v>
      </c>
      <c r="Q38" s="564"/>
      <c r="R38" s="564"/>
      <c r="S38" s="564"/>
      <c r="T38" s="564"/>
      <c r="U38" s="564"/>
      <c r="V38" s="564"/>
      <c r="W38" s="564"/>
      <c r="X38" s="564"/>
      <c r="Y38" s="564"/>
      <c r="Z38" s="564"/>
      <c r="AA38" s="250">
        <f t="shared" si="1"/>
        <v>1702</v>
      </c>
      <c r="AB38" s="565">
        <f t="shared" si="2"/>
        <v>2.2996152805787356E-2</v>
      </c>
      <c r="AC38" s="437"/>
      <c r="AD38" s="564"/>
      <c r="AE38" s="565" t="str">
        <f t="shared" si="3"/>
        <v/>
      </c>
      <c r="AF38" s="566">
        <f t="shared" si="4"/>
        <v>1702</v>
      </c>
      <c r="AG38" s="564">
        <v>573</v>
      </c>
      <c r="AH38" s="565">
        <f t="shared" si="5"/>
        <v>0.1402548575177093</v>
      </c>
      <c r="AI38" s="567">
        <f t="shared" si="6"/>
        <v>1129</v>
      </c>
      <c r="AJ38" s="440">
        <f t="shared" si="7"/>
        <v>2.1764705882352939</v>
      </c>
      <c r="AK38" s="441">
        <f t="shared" si="8"/>
        <v>0</v>
      </c>
      <c r="AL38" s="442">
        <f t="shared" si="9"/>
        <v>6.5113636363636367</v>
      </c>
      <c r="AM38" s="443">
        <f t="shared" si="10"/>
        <v>0</v>
      </c>
      <c r="AN38" s="444" t="str">
        <f t="shared" si="11"/>
        <v>-11.73 pts.</v>
      </c>
      <c r="AO38" s="11"/>
    </row>
    <row r="39" spans="1:41" x14ac:dyDescent="0.3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45">
        <v>2790</v>
      </c>
      <c r="P39" s="251">
        <v>975</v>
      </c>
      <c r="Q39" s="251"/>
      <c r="R39" s="251"/>
      <c r="S39" s="251"/>
      <c r="T39" s="251"/>
      <c r="U39" s="251"/>
      <c r="V39" s="251"/>
      <c r="W39" s="251"/>
      <c r="X39" s="251"/>
      <c r="Y39" s="251"/>
      <c r="Z39" s="251"/>
      <c r="AA39" s="251">
        <f t="shared" si="1"/>
        <v>3765</v>
      </c>
      <c r="AB39" s="446">
        <f t="shared" si="2"/>
        <v>5.0869867986950291E-2</v>
      </c>
      <c r="AC39" s="437"/>
      <c r="AD39" s="251"/>
      <c r="AE39" s="446" t="str">
        <f t="shared" si="3"/>
        <v/>
      </c>
      <c r="AF39" s="447">
        <f t="shared" si="4"/>
        <v>3765</v>
      </c>
      <c r="AG39" s="251"/>
      <c r="AH39" s="446" t="str">
        <f t="shared" si="5"/>
        <v/>
      </c>
      <c r="AI39" s="448">
        <f t="shared" si="6"/>
        <v>3765</v>
      </c>
      <c r="AJ39" s="449">
        <f t="shared" si="7"/>
        <v>4.8145780051150897</v>
      </c>
      <c r="AK39" s="450">
        <f t="shared" si="8"/>
        <v>0</v>
      </c>
      <c r="AL39" s="451">
        <f t="shared" si="9"/>
        <v>0</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20091.89</v>
      </c>
      <c r="P40" s="225">
        <v>23228</v>
      </c>
      <c r="Q40" s="225">
        <v>-375</v>
      </c>
      <c r="R40" s="225"/>
      <c r="S40" s="225">
        <v>-11139.03</v>
      </c>
      <c r="T40" s="225"/>
      <c r="U40" s="225"/>
      <c r="V40" s="225"/>
      <c r="W40" s="225"/>
      <c r="X40" s="225">
        <v>250</v>
      </c>
      <c r="Y40" s="225"/>
      <c r="Z40" s="225"/>
      <c r="AA40" s="225">
        <f t="shared" si="1"/>
        <v>32055.86</v>
      </c>
      <c r="AB40" s="226">
        <f t="shared" si="2"/>
        <v>0.43311483835542108</v>
      </c>
      <c r="AC40" s="227"/>
      <c r="AD40" s="225"/>
      <c r="AE40" s="226" t="str">
        <f t="shared" si="3"/>
        <v/>
      </c>
      <c r="AF40" s="228">
        <f t="shared" si="4"/>
        <v>32055.86</v>
      </c>
      <c r="AG40" s="225">
        <v>2611</v>
      </c>
      <c r="AH40" s="226">
        <f t="shared" si="5"/>
        <v>0.63910197727528628</v>
      </c>
      <c r="AI40" s="455">
        <f t="shared" si="6"/>
        <v>29444.86</v>
      </c>
      <c r="AJ40" s="229">
        <f t="shared" si="7"/>
        <v>40.992148337595907</v>
      </c>
      <c r="AK40" s="230">
        <f t="shared" si="8"/>
        <v>0</v>
      </c>
      <c r="AL40" s="232">
        <f t="shared" si="9"/>
        <v>29.670454545454547</v>
      </c>
      <c r="AM40" s="427">
        <f t="shared" si="10"/>
        <v>0</v>
      </c>
      <c r="AN40" s="456" t="str">
        <f t="shared" si="11"/>
        <v>-20.6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10"/>
      <c r="Q41" s="210"/>
      <c r="R41" s="210"/>
      <c r="S41" s="210"/>
      <c r="T41" s="210"/>
      <c r="U41" s="210"/>
      <c r="V41" s="210"/>
      <c r="W41" s="210"/>
      <c r="X41" s="210"/>
      <c r="Y41" s="210"/>
      <c r="Z41" s="210"/>
      <c r="AA41" s="252" t="str">
        <f t="shared" si="1"/>
        <v/>
      </c>
      <c r="AB41" s="211" t="str">
        <f t="shared" si="2"/>
        <v/>
      </c>
      <c r="AC41" s="459"/>
      <c r="AD41" s="210"/>
      <c r="AE41" s="211" t="str">
        <f t="shared" si="3"/>
        <v/>
      </c>
      <c r="AF41" s="253" t="str">
        <f t="shared" si="4"/>
        <v/>
      </c>
      <c r="AG41" s="210"/>
      <c r="AH41" s="211" t="str">
        <f t="shared" si="5"/>
        <v/>
      </c>
      <c r="AI41" s="569"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v>258.99</v>
      </c>
      <c r="Q42" s="564"/>
      <c r="R42" s="564"/>
      <c r="S42" s="564"/>
      <c r="T42" s="564"/>
      <c r="U42" s="564"/>
      <c r="V42" s="564"/>
      <c r="W42" s="564"/>
      <c r="X42" s="564"/>
      <c r="Y42" s="564"/>
      <c r="Z42" s="564"/>
      <c r="AA42" s="250">
        <f t="shared" si="1"/>
        <v>258.99</v>
      </c>
      <c r="AB42" s="565">
        <f t="shared" si="2"/>
        <v>3.4992794448712498E-3</v>
      </c>
      <c r="AC42" s="437"/>
      <c r="AD42" s="564"/>
      <c r="AE42" s="565" t="str">
        <f t="shared" si="3"/>
        <v/>
      </c>
      <c r="AF42" s="566">
        <f t="shared" si="4"/>
        <v>258.99</v>
      </c>
      <c r="AG42" s="564"/>
      <c r="AH42" s="565" t="str">
        <f t="shared" si="5"/>
        <v/>
      </c>
      <c r="AI42" s="567">
        <f t="shared" si="6"/>
        <v>258.99</v>
      </c>
      <c r="AJ42" s="440">
        <f t="shared" si="7"/>
        <v>0.33118925831202045</v>
      </c>
      <c r="AK42" s="441">
        <f t="shared" si="8"/>
        <v>0</v>
      </c>
      <c r="AL42" s="442">
        <f t="shared" si="9"/>
        <v>0</v>
      </c>
      <c r="AM42" s="443">
        <f t="shared" si="10"/>
        <v>0</v>
      </c>
      <c r="AN42" s="444">
        <f t="shared" si="11"/>
        <v>0</v>
      </c>
      <c r="AO42" s="11"/>
    </row>
    <row r="43" spans="1:41" ht="15" thickBot="1" x14ac:dyDescent="0.4">
      <c r="A43" s="11" t="s">
        <v>108</v>
      </c>
      <c r="B43" s="11"/>
      <c r="C43" s="574"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v>102</v>
      </c>
      <c r="P43" s="564">
        <v>7</v>
      </c>
      <c r="Q43" s="564"/>
      <c r="R43" s="564"/>
      <c r="S43" s="564"/>
      <c r="T43" s="564"/>
      <c r="U43" s="564"/>
      <c r="V43" s="564"/>
      <c r="W43" s="564"/>
      <c r="X43" s="564"/>
      <c r="Y43" s="564"/>
      <c r="Z43" s="564"/>
      <c r="AA43" s="250">
        <f t="shared" si="1"/>
        <v>109</v>
      </c>
      <c r="AB43" s="565">
        <f t="shared" si="2"/>
        <v>1.4727265897948422E-3</v>
      </c>
      <c r="AC43" s="437"/>
      <c r="AD43" s="564"/>
      <c r="AE43" s="565" t="str">
        <f t="shared" si="3"/>
        <v/>
      </c>
      <c r="AF43" s="566">
        <f t="shared" si="4"/>
        <v>109</v>
      </c>
      <c r="AG43" s="564"/>
      <c r="AH43" s="565" t="str">
        <f t="shared" si="5"/>
        <v/>
      </c>
      <c r="AI43" s="567">
        <f t="shared" si="6"/>
        <v>109</v>
      </c>
      <c r="AJ43" s="440">
        <f t="shared" si="7"/>
        <v>0.13938618925831203</v>
      </c>
      <c r="AK43" s="441">
        <f t="shared" si="8"/>
        <v>0</v>
      </c>
      <c r="AL43" s="442">
        <f t="shared" si="9"/>
        <v>0</v>
      </c>
      <c r="AM43" s="443">
        <f t="shared" si="10"/>
        <v>0</v>
      </c>
      <c r="AN43" s="444">
        <f t="shared" si="11"/>
        <v>0</v>
      </c>
      <c r="AO43" s="11"/>
    </row>
    <row r="44" spans="1:41" ht="15.5" thickTop="1" thickBot="1" x14ac:dyDescent="0.4">
      <c r="A44" s="11" t="s">
        <v>108</v>
      </c>
      <c r="B44" s="11"/>
      <c r="C44" s="574"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c r="P44" s="564">
        <v>1797</v>
      </c>
      <c r="Q44" s="564"/>
      <c r="R44" s="564"/>
      <c r="S44" s="564"/>
      <c r="T44" s="564"/>
      <c r="U44" s="564"/>
      <c r="V44" s="564"/>
      <c r="W44" s="564"/>
      <c r="X44" s="564"/>
      <c r="Y44" s="564"/>
      <c r="Z44" s="564"/>
      <c r="AA44" s="250">
        <f t="shared" si="1"/>
        <v>1797</v>
      </c>
      <c r="AB44" s="565">
        <f t="shared" si="2"/>
        <v>2.4279721851938822E-2</v>
      </c>
      <c r="AC44" s="437"/>
      <c r="AD44" s="564"/>
      <c r="AE44" s="565" t="str">
        <f t="shared" si="3"/>
        <v/>
      </c>
      <c r="AF44" s="566">
        <f t="shared" si="4"/>
        <v>1797</v>
      </c>
      <c r="AG44" s="564"/>
      <c r="AH44" s="565" t="str">
        <f t="shared" si="5"/>
        <v/>
      </c>
      <c r="AI44" s="567">
        <f t="shared" si="6"/>
        <v>1797</v>
      </c>
      <c r="AJ44" s="440">
        <f t="shared" si="7"/>
        <v>2.2979539641943734</v>
      </c>
      <c r="AK44" s="441">
        <f t="shared" si="8"/>
        <v>0</v>
      </c>
      <c r="AL44" s="442">
        <f t="shared" si="9"/>
        <v>0</v>
      </c>
      <c r="AM44" s="443">
        <f t="shared" si="10"/>
        <v>0</v>
      </c>
      <c r="AN44" s="444">
        <f t="shared" si="11"/>
        <v>0</v>
      </c>
      <c r="AO44" s="11"/>
    </row>
    <row r="45" spans="1:41" ht="15" thickTop="1" x14ac:dyDescent="0.3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45">
        <v>918</v>
      </c>
      <c r="P45" s="251">
        <v>1500</v>
      </c>
      <c r="Q45" s="251"/>
      <c r="R45" s="251"/>
      <c r="S45" s="251"/>
      <c r="T45" s="251"/>
      <c r="U45" s="251"/>
      <c r="V45" s="251"/>
      <c r="W45" s="251">
        <v>504</v>
      </c>
      <c r="X45" s="251"/>
      <c r="Y45" s="251"/>
      <c r="Z45" s="251"/>
      <c r="AA45" s="251">
        <f t="shared" si="1"/>
        <v>2922</v>
      </c>
      <c r="AB45" s="446">
        <f t="shared" si="2"/>
        <v>3.9479881608995682E-2</v>
      </c>
      <c r="AC45" s="437"/>
      <c r="AD45" s="251"/>
      <c r="AE45" s="446" t="str">
        <f t="shared" si="3"/>
        <v/>
      </c>
      <c r="AF45" s="447">
        <f t="shared" si="4"/>
        <v>2922</v>
      </c>
      <c r="AG45" s="251"/>
      <c r="AH45" s="446" t="str">
        <f t="shared" si="5"/>
        <v/>
      </c>
      <c r="AI45" s="448">
        <f t="shared" si="6"/>
        <v>2922</v>
      </c>
      <c r="AJ45" s="449">
        <f t="shared" si="7"/>
        <v>3.7365728900255752</v>
      </c>
      <c r="AK45" s="450">
        <f t="shared" si="8"/>
        <v>0</v>
      </c>
      <c r="AL45" s="451">
        <f t="shared" si="9"/>
        <v>0</v>
      </c>
      <c r="AM45" s="452">
        <f t="shared" si="10"/>
        <v>0</v>
      </c>
      <c r="AN45" s="453">
        <f t="shared" si="11"/>
        <v>0</v>
      </c>
      <c r="AO45" s="11"/>
    </row>
    <row r="46" spans="1:41" x14ac:dyDescent="0.3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54">
        <v>1020</v>
      </c>
      <c r="P46" s="225">
        <v>3562.99</v>
      </c>
      <c r="Q46" s="225"/>
      <c r="R46" s="225"/>
      <c r="S46" s="225"/>
      <c r="T46" s="225"/>
      <c r="U46" s="225"/>
      <c r="V46" s="225"/>
      <c r="W46" s="225">
        <v>504</v>
      </c>
      <c r="X46" s="225"/>
      <c r="Y46" s="225"/>
      <c r="Z46" s="225"/>
      <c r="AA46" s="225">
        <f t="shared" si="1"/>
        <v>5086.99</v>
      </c>
      <c r="AB46" s="226">
        <f t="shared" si="2"/>
        <v>6.8731609495600587E-2</v>
      </c>
      <c r="AC46" s="227"/>
      <c r="AD46" s="225"/>
      <c r="AE46" s="226" t="str">
        <f t="shared" si="3"/>
        <v/>
      </c>
      <c r="AF46" s="228">
        <f t="shared" si="4"/>
        <v>5086.99</v>
      </c>
      <c r="AG46" s="225"/>
      <c r="AH46" s="226" t="str">
        <f t="shared" si="5"/>
        <v/>
      </c>
      <c r="AI46" s="455">
        <f t="shared" si="6"/>
        <v>5086.99</v>
      </c>
      <c r="AJ46" s="229">
        <f t="shared" si="7"/>
        <v>6.5051023017902807</v>
      </c>
      <c r="AK46" s="230">
        <f t="shared" si="8"/>
        <v>0</v>
      </c>
      <c r="AL46" s="232">
        <f t="shared" si="9"/>
        <v>0</v>
      </c>
      <c r="AM46" s="427">
        <f t="shared" si="10"/>
        <v>0</v>
      </c>
      <c r="AN46" s="456">
        <f t="shared" si="11"/>
        <v>0</v>
      </c>
      <c r="AO46" s="11"/>
    </row>
    <row r="47" spans="1:41" x14ac:dyDescent="0.35">
      <c r="A47" s="61"/>
      <c r="B47" s="11"/>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5"/>
      <c r="P47" s="216"/>
      <c r="Q47" s="216"/>
      <c r="R47" s="216"/>
      <c r="S47" s="216"/>
      <c r="T47" s="216"/>
      <c r="U47" s="216"/>
      <c r="V47" s="216"/>
      <c r="W47" s="216"/>
      <c r="X47" s="216"/>
      <c r="Y47" s="216"/>
      <c r="Z47" s="216"/>
      <c r="AA47" s="216">
        <f t="shared" si="1"/>
        <v>0</v>
      </c>
      <c r="AB47" s="218" t="str">
        <f t="shared" si="2"/>
        <v/>
      </c>
      <c r="AC47" s="459"/>
      <c r="AD47" s="216"/>
      <c r="AE47" s="218" t="str">
        <f t="shared" si="3"/>
        <v/>
      </c>
      <c r="AF47" s="233">
        <f t="shared" si="4"/>
        <v>0</v>
      </c>
      <c r="AG47" s="216"/>
      <c r="AH47" s="218" t="str">
        <f t="shared" si="5"/>
        <v/>
      </c>
      <c r="AI47" s="536">
        <f t="shared" si="6"/>
        <v>0</v>
      </c>
      <c r="AJ47" s="537">
        <f t="shared" si="7"/>
        <v>0</v>
      </c>
      <c r="AK47" s="538">
        <f t="shared" si="8"/>
        <v>0</v>
      </c>
      <c r="AL47" s="539">
        <f t="shared" si="9"/>
        <v>0</v>
      </c>
      <c r="AM47" s="540">
        <f t="shared" si="10"/>
        <v>0</v>
      </c>
      <c r="AN47" s="541">
        <f t="shared" si="11"/>
        <v>0</v>
      </c>
      <c r="AO47" s="11"/>
    </row>
    <row r="48" spans="1:41" x14ac:dyDescent="0.3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54">
        <v>21111.89</v>
      </c>
      <c r="P48" s="225">
        <v>26790.99</v>
      </c>
      <c r="Q48" s="225">
        <v>-375</v>
      </c>
      <c r="R48" s="225"/>
      <c r="S48" s="225">
        <v>-11139.03</v>
      </c>
      <c r="T48" s="225"/>
      <c r="U48" s="225"/>
      <c r="V48" s="225"/>
      <c r="W48" s="225">
        <v>504</v>
      </c>
      <c r="X48" s="225">
        <v>250</v>
      </c>
      <c r="Y48" s="225"/>
      <c r="Z48" s="225"/>
      <c r="AA48" s="225">
        <f t="shared" si="1"/>
        <v>37142.850000000006</v>
      </c>
      <c r="AB48" s="226">
        <f t="shared" si="2"/>
        <v>0.50184644785102173</v>
      </c>
      <c r="AC48" s="227"/>
      <c r="AD48" s="225"/>
      <c r="AE48" s="226" t="str">
        <f t="shared" si="3"/>
        <v/>
      </c>
      <c r="AF48" s="228">
        <f t="shared" si="4"/>
        <v>37142.850000000006</v>
      </c>
      <c r="AG48" s="225">
        <v>2611</v>
      </c>
      <c r="AH48" s="226">
        <f t="shared" si="5"/>
        <v>0.63910197727528628</v>
      </c>
      <c r="AI48" s="455">
        <f t="shared" si="6"/>
        <v>34531.850000000006</v>
      </c>
      <c r="AJ48" s="229">
        <f t="shared" si="7"/>
        <v>47.497250639386195</v>
      </c>
      <c r="AK48" s="230">
        <f t="shared" si="8"/>
        <v>0</v>
      </c>
      <c r="AL48" s="232">
        <f t="shared" si="9"/>
        <v>29.670454545454547</v>
      </c>
      <c r="AM48" s="427">
        <f t="shared" si="10"/>
        <v>0</v>
      </c>
      <c r="AN48" s="456" t="str">
        <f t="shared" si="11"/>
        <v>-13.73 pts.</v>
      </c>
      <c r="AO48" s="11"/>
    </row>
    <row r="49" spans="1:41" x14ac:dyDescent="0.3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10"/>
      <c r="Q49" s="210"/>
      <c r="R49" s="210"/>
      <c r="S49" s="210"/>
      <c r="T49" s="210"/>
      <c r="U49" s="210"/>
      <c r="V49" s="210"/>
      <c r="W49" s="210"/>
      <c r="X49" s="210"/>
      <c r="Y49" s="210"/>
      <c r="Z49" s="210"/>
      <c r="AA49" s="252" t="str">
        <f t="shared" si="1"/>
        <v/>
      </c>
      <c r="AB49" s="211" t="str">
        <f t="shared" si="2"/>
        <v/>
      </c>
      <c r="AC49" s="459"/>
      <c r="AD49" s="210"/>
      <c r="AE49" s="211" t="str">
        <f t="shared" si="3"/>
        <v/>
      </c>
      <c r="AF49" s="253" t="str">
        <f t="shared" si="4"/>
        <v/>
      </c>
      <c r="AG49" s="210"/>
      <c r="AH49" s="211" t="str">
        <f t="shared" si="5"/>
        <v/>
      </c>
      <c r="AI49" s="569" t="str">
        <f t="shared" si="6"/>
        <v/>
      </c>
      <c r="AJ49" s="234">
        <f t="shared" si="7"/>
        <v>0</v>
      </c>
      <c r="AK49" s="235">
        <f t="shared" si="8"/>
        <v>0</v>
      </c>
      <c r="AL49" s="237">
        <f t="shared" si="9"/>
        <v>0</v>
      </c>
      <c r="AM49" s="429">
        <f t="shared" si="10"/>
        <v>0</v>
      </c>
      <c r="AN49" s="462">
        <f t="shared" si="11"/>
        <v>0</v>
      </c>
      <c r="AO49" s="11"/>
    </row>
    <row r="50" spans="1:41" x14ac:dyDescent="0.35">
      <c r="A50" s="65" t="s">
        <v>2</v>
      </c>
      <c r="B50" s="66" t="str">
        <f>IF(_epmOfflineCondition_,"'BCC_Group'!$B$2:$B$10",_xll.EVRNG($B$2:$B$10))</f>
        <v>'BCC_Group'!$B$2:$B$10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v>4174.75</v>
      </c>
      <c r="P50" s="564">
        <v>3750</v>
      </c>
      <c r="Q50" s="564">
        <v>-187.52</v>
      </c>
      <c r="R50" s="564"/>
      <c r="S50" s="564">
        <v>-1123.5</v>
      </c>
      <c r="T50" s="564"/>
      <c r="U50" s="564"/>
      <c r="V50" s="564"/>
      <c r="W50" s="564"/>
      <c r="X50" s="564"/>
      <c r="Y50" s="564"/>
      <c r="Z50" s="564"/>
      <c r="AA50" s="250">
        <f t="shared" si="1"/>
        <v>6613.73</v>
      </c>
      <c r="AB50" s="565">
        <f t="shared" si="2"/>
        <v>8.9359780080035242E-2</v>
      </c>
      <c r="AC50" s="437"/>
      <c r="AD50" s="564"/>
      <c r="AE50" s="565" t="str">
        <f t="shared" si="3"/>
        <v/>
      </c>
      <c r="AF50" s="566">
        <f t="shared" si="4"/>
        <v>6613.73</v>
      </c>
      <c r="AG50" s="564">
        <v>400</v>
      </c>
      <c r="AH50" s="565">
        <f t="shared" si="5"/>
        <v>9.7909150099622561E-2</v>
      </c>
      <c r="AI50" s="567">
        <f t="shared" si="6"/>
        <v>6213.73</v>
      </c>
      <c r="AJ50" s="440">
        <f t="shared" si="7"/>
        <v>8.457455242966752</v>
      </c>
      <c r="AK50" s="441">
        <f t="shared" si="8"/>
        <v>0</v>
      </c>
      <c r="AL50" s="442">
        <f t="shared" si="9"/>
        <v>4.5454545454545459</v>
      </c>
      <c r="AM50" s="443">
        <f t="shared" si="10"/>
        <v>0</v>
      </c>
      <c r="AN50" s="444" t="str">
        <f t="shared" si="11"/>
        <v>-0.85 pts.</v>
      </c>
      <c r="AO50" s="11"/>
    </row>
    <row r="51" spans="1:41" x14ac:dyDescent="0.35">
      <c r="A51" s="65" t="s">
        <v>3</v>
      </c>
      <c r="B51" s="66" t="str">
        <f>IF(_epmOfflineCondition_,"'BCC_Group'!$O$16:$AN$18",_xll.EVRNG($O$16:$AN$18))</f>
        <v>'BCC_Group'!$O$16:$AN$18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v>14625</v>
      </c>
      <c r="P51" s="564">
        <v>6300</v>
      </c>
      <c r="Q51" s="564"/>
      <c r="R51" s="564"/>
      <c r="S51" s="564"/>
      <c r="T51" s="564"/>
      <c r="U51" s="564"/>
      <c r="V51" s="564"/>
      <c r="W51" s="564"/>
      <c r="X51" s="564"/>
      <c r="Y51" s="564">
        <v>650</v>
      </c>
      <c r="Z51" s="564"/>
      <c r="AA51" s="250">
        <f t="shared" si="1"/>
        <v>21575</v>
      </c>
      <c r="AB51" s="565">
        <f t="shared" si="2"/>
        <v>0.2915052860075571</v>
      </c>
      <c r="AC51" s="437"/>
      <c r="AD51" s="564"/>
      <c r="AE51" s="565" t="str">
        <f t="shared" si="3"/>
        <v/>
      </c>
      <c r="AF51" s="566">
        <f t="shared" si="4"/>
        <v>21575</v>
      </c>
      <c r="AG51" s="564">
        <v>500</v>
      </c>
      <c r="AH51" s="565">
        <f t="shared" si="5"/>
        <v>0.12238643762452819</v>
      </c>
      <c r="AI51" s="567">
        <f t="shared" si="6"/>
        <v>21075</v>
      </c>
      <c r="AJ51" s="440">
        <f t="shared" si="7"/>
        <v>27.589514066496164</v>
      </c>
      <c r="AK51" s="441">
        <f t="shared" si="8"/>
        <v>0</v>
      </c>
      <c r="AL51" s="442">
        <f t="shared" si="9"/>
        <v>5.6818181818181817</v>
      </c>
      <c r="AM51" s="443">
        <f t="shared" si="10"/>
        <v>0</v>
      </c>
      <c r="AN51" s="444" t="str">
        <f t="shared" si="11"/>
        <v>16.91 pts.</v>
      </c>
      <c r="AO51" s="11"/>
    </row>
    <row r="52" spans="1:41" x14ac:dyDescent="0.35">
      <c r="A52" s="65" t="s">
        <v>4</v>
      </c>
      <c r="B52" s="66" t="str">
        <f>IF(_epmOfflineCondition_,"",_xll.EVRNG(#REF!))</f>
        <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v>4522.6099999999997</v>
      </c>
      <c r="P52" s="564">
        <v>5893.74</v>
      </c>
      <c r="Q52" s="564"/>
      <c r="R52" s="564"/>
      <c r="S52" s="564">
        <v>-2621.96</v>
      </c>
      <c r="T52" s="564"/>
      <c r="U52" s="564"/>
      <c r="V52" s="564"/>
      <c r="W52" s="564">
        <v>110.88</v>
      </c>
      <c r="X52" s="564">
        <v>55</v>
      </c>
      <c r="Y52" s="564"/>
      <c r="Z52" s="564"/>
      <c r="AA52" s="250">
        <f t="shared" si="1"/>
        <v>7960.2699999999986</v>
      </c>
      <c r="AB52" s="565">
        <f t="shared" si="2"/>
        <v>0.10755322285271732</v>
      </c>
      <c r="AC52" s="437"/>
      <c r="AD52" s="564"/>
      <c r="AE52" s="565" t="str">
        <f t="shared" si="3"/>
        <v/>
      </c>
      <c r="AF52" s="566">
        <f t="shared" si="4"/>
        <v>7960.2699999999986</v>
      </c>
      <c r="AG52" s="564">
        <v>574.41999999999996</v>
      </c>
      <c r="AH52" s="565">
        <f t="shared" si="5"/>
        <v>0.14060243500056296</v>
      </c>
      <c r="AI52" s="567">
        <f t="shared" si="6"/>
        <v>7385.8499999999985</v>
      </c>
      <c r="AJ52" s="440">
        <f t="shared" si="7"/>
        <v>10.179373401534525</v>
      </c>
      <c r="AK52" s="441">
        <f t="shared" si="8"/>
        <v>0</v>
      </c>
      <c r="AL52" s="442">
        <f t="shared" si="9"/>
        <v>6.5274999999999999</v>
      </c>
      <c r="AM52" s="443">
        <f t="shared" si="10"/>
        <v>0</v>
      </c>
      <c r="AN52" s="444" t="str">
        <f t="shared" si="11"/>
        <v>-3.3 pts.</v>
      </c>
      <c r="AO52" s="11"/>
    </row>
    <row r="53" spans="1:41" x14ac:dyDescent="0.3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v>270.52999999999997</v>
      </c>
      <c r="P53" s="564">
        <v>450</v>
      </c>
      <c r="Q53" s="564"/>
      <c r="R53" s="564"/>
      <c r="S53" s="564"/>
      <c r="T53" s="564"/>
      <c r="U53" s="564"/>
      <c r="V53" s="564"/>
      <c r="W53" s="564"/>
      <c r="X53" s="564"/>
      <c r="Y53" s="564"/>
      <c r="Z53" s="564"/>
      <c r="AA53" s="250">
        <f t="shared" si="1"/>
        <v>720.53</v>
      </c>
      <c r="AB53" s="565">
        <f t="shared" si="2"/>
        <v>9.7352632086686024E-3</v>
      </c>
      <c r="AC53" s="437"/>
      <c r="AD53" s="564"/>
      <c r="AE53" s="565" t="str">
        <f t="shared" si="3"/>
        <v/>
      </c>
      <c r="AF53" s="566">
        <f t="shared" si="4"/>
        <v>720.53</v>
      </c>
      <c r="AG53" s="564"/>
      <c r="AH53" s="565" t="str">
        <f t="shared" si="5"/>
        <v/>
      </c>
      <c r="AI53" s="567">
        <f t="shared" si="6"/>
        <v>720.53</v>
      </c>
      <c r="AJ53" s="440">
        <f t="shared" si="7"/>
        <v>0.9213938618925831</v>
      </c>
      <c r="AK53" s="441">
        <f t="shared" si="8"/>
        <v>0</v>
      </c>
      <c r="AL53" s="442">
        <f t="shared" si="9"/>
        <v>0</v>
      </c>
      <c r="AM53" s="443">
        <f t="shared" si="10"/>
        <v>0</v>
      </c>
      <c r="AN53" s="444">
        <f t="shared" si="11"/>
        <v>0</v>
      </c>
      <c r="AO53" s="11"/>
    </row>
    <row r="54" spans="1:41" x14ac:dyDescent="0.3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45"/>
      <c r="P54" s="251"/>
      <c r="Q54" s="251"/>
      <c r="R54" s="251"/>
      <c r="S54" s="251"/>
      <c r="T54" s="251"/>
      <c r="U54" s="251"/>
      <c r="V54" s="251"/>
      <c r="W54" s="251"/>
      <c r="X54" s="251"/>
      <c r="Y54" s="251"/>
      <c r="Z54" s="251"/>
      <c r="AA54" s="251">
        <f t="shared" si="1"/>
        <v>0</v>
      </c>
      <c r="AB54" s="446" t="str">
        <f t="shared" si="2"/>
        <v/>
      </c>
      <c r="AC54" s="437"/>
      <c r="AD54" s="251"/>
      <c r="AE54" s="446" t="str">
        <f t="shared" si="3"/>
        <v/>
      </c>
      <c r="AF54" s="447">
        <f t="shared" si="4"/>
        <v>0</v>
      </c>
      <c r="AG54" s="251"/>
      <c r="AH54" s="446" t="str">
        <f t="shared" si="5"/>
        <v/>
      </c>
      <c r="AI54" s="448">
        <f t="shared" si="6"/>
        <v>0</v>
      </c>
      <c r="AJ54" s="449">
        <f t="shared" si="7"/>
        <v>0</v>
      </c>
      <c r="AK54" s="450">
        <f t="shared" si="8"/>
        <v>0</v>
      </c>
      <c r="AL54" s="451">
        <f t="shared" si="9"/>
        <v>0</v>
      </c>
      <c r="AM54" s="452">
        <f t="shared" si="10"/>
        <v>0</v>
      </c>
      <c r="AN54" s="453">
        <f t="shared" si="11"/>
        <v>0</v>
      </c>
      <c r="AO54" s="11"/>
    </row>
    <row r="55" spans="1:41" ht="15" thickBot="1" x14ac:dyDescent="0.4">
      <c r="A55" s="65" t="s">
        <v>7</v>
      </c>
      <c r="B55" s="66" t="str">
        <f>IF(_epmOfflineCondition_,"'BCC_Group'!$A$69:$F$77",_xll.EVRNG(A69:F77))</f>
        <v>'BCC_Group'!$A$69:$F$77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63">
        <v>23592.89</v>
      </c>
      <c r="P55" s="238">
        <v>16393.740000000002</v>
      </c>
      <c r="Q55" s="238">
        <v>-187.52</v>
      </c>
      <c r="R55" s="238"/>
      <c r="S55" s="238">
        <v>-3745.46</v>
      </c>
      <c r="T55" s="238"/>
      <c r="U55" s="238"/>
      <c r="V55" s="238"/>
      <c r="W55" s="238">
        <v>110.88</v>
      </c>
      <c r="X55" s="238">
        <v>55</v>
      </c>
      <c r="Y55" s="238">
        <v>650</v>
      </c>
      <c r="Z55" s="238"/>
      <c r="AA55" s="238">
        <f t="shared" si="1"/>
        <v>36869.530000000006</v>
      </c>
      <c r="AB55" s="239">
        <f t="shared" si="2"/>
        <v>0.49815355214897838</v>
      </c>
      <c r="AC55" s="240"/>
      <c r="AD55" s="238"/>
      <c r="AE55" s="239" t="str">
        <f t="shared" si="3"/>
        <v/>
      </c>
      <c r="AF55" s="241">
        <f t="shared" si="4"/>
        <v>36869.530000000006</v>
      </c>
      <c r="AG55" s="238">
        <v>1474.42</v>
      </c>
      <c r="AH55" s="239">
        <f t="shared" si="5"/>
        <v>0.36089802272471377</v>
      </c>
      <c r="AI55" s="464">
        <f t="shared" si="6"/>
        <v>35395.110000000008</v>
      </c>
      <c r="AJ55" s="242">
        <f t="shared" si="7"/>
        <v>47.147736572890032</v>
      </c>
      <c r="AK55" s="243">
        <f t="shared" si="8"/>
        <v>0</v>
      </c>
      <c r="AL55" s="245">
        <f t="shared" si="9"/>
        <v>16.754772727272726</v>
      </c>
      <c r="AM55" s="431">
        <f t="shared" si="10"/>
        <v>0</v>
      </c>
      <c r="AN55" s="465" t="str">
        <f t="shared" si="11"/>
        <v>13.73 pts.</v>
      </c>
      <c r="AO55" s="11"/>
    </row>
    <row r="56" spans="1:41" ht="15.5" thickTop="1" thickBot="1" x14ac:dyDescent="0.4">
      <c r="A56" s="65" t="s">
        <v>47</v>
      </c>
      <c r="B56" s="66" t="str">
        <f>IF(_epmOfflineCondition_,"'BCC_Group'!$A$125:$B$146",_xll.EVRNG($A$125:$B$146))</f>
        <v>'BCC_Group'!$A$125:$B$146</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575">
        <v>44704.78</v>
      </c>
      <c r="P56" s="576">
        <v>43184.73</v>
      </c>
      <c r="Q56" s="576">
        <v>-562.52</v>
      </c>
      <c r="R56" s="576"/>
      <c r="S56" s="576">
        <v>-14884.49</v>
      </c>
      <c r="T56" s="576"/>
      <c r="U56" s="576"/>
      <c r="V56" s="576"/>
      <c r="W56" s="576">
        <v>614.88</v>
      </c>
      <c r="X56" s="576">
        <v>305</v>
      </c>
      <c r="Y56" s="576">
        <v>650</v>
      </c>
      <c r="Z56" s="576"/>
      <c r="AA56" s="576">
        <f t="shared" si="1"/>
        <v>74012.38</v>
      </c>
      <c r="AB56" s="577">
        <f t="shared" si="2"/>
        <v>1</v>
      </c>
      <c r="AC56" s="578"/>
      <c r="AD56" s="576"/>
      <c r="AE56" s="577" t="str">
        <f t="shared" si="3"/>
        <v/>
      </c>
      <c r="AF56" s="579">
        <f t="shared" si="4"/>
        <v>74012.38</v>
      </c>
      <c r="AG56" s="576">
        <v>4085.42</v>
      </c>
      <c r="AH56" s="577">
        <f t="shared" si="5"/>
        <v>1</v>
      </c>
      <c r="AI56" s="580">
        <f t="shared" si="6"/>
        <v>69926.960000000006</v>
      </c>
      <c r="AJ56" s="581">
        <f t="shared" si="7"/>
        <v>94.64498721227622</v>
      </c>
      <c r="AK56" s="582">
        <f t="shared" si="8"/>
        <v>0</v>
      </c>
      <c r="AL56" s="583">
        <f t="shared" si="9"/>
        <v>46.425227272727277</v>
      </c>
      <c r="AM56" s="584">
        <f t="shared" si="10"/>
        <v>0</v>
      </c>
      <c r="AN56" s="585" t="str">
        <f t="shared" si="11"/>
        <v>0 pts.</v>
      </c>
      <c r="AO56" s="11"/>
    </row>
    <row r="57" spans="1:41" ht="15" thickTop="1" x14ac:dyDescent="0.35">
      <c r="A57" s="65" t="s">
        <v>8</v>
      </c>
      <c r="B57" s="66"/>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203"/>
      <c r="AE57" s="204"/>
      <c r="AF57" s="118"/>
      <c r="AG57" s="204"/>
      <c r="AH57" s="204"/>
      <c r="AI57" s="118"/>
      <c r="AJ57" s="11"/>
      <c r="AK57" s="11"/>
      <c r="AL57" s="11"/>
      <c r="AM57" s="11"/>
      <c r="AN57" s="11"/>
      <c r="AO57" s="11"/>
    </row>
    <row r="58" spans="1:41" x14ac:dyDescent="0.35">
      <c r="A58" s="11"/>
      <c r="B58" s="11"/>
      <c r="C58" s="11"/>
      <c r="D58" s="11"/>
      <c r="E58" s="11"/>
      <c r="F58" s="11"/>
      <c r="G58" s="76"/>
      <c r="H58" s="11"/>
      <c r="I58" s="59"/>
      <c r="J58" s="59"/>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62" t="s">
        <v>9</v>
      </c>
      <c r="B59" s="63" t="s">
        <v>10</v>
      </c>
      <c r="C59" s="11"/>
      <c r="D59" s="11"/>
      <c r="E59" s="11"/>
      <c r="F59" s="11"/>
      <c r="G59" s="11"/>
      <c r="H59" s="11"/>
      <c r="I59" s="59"/>
      <c r="J59" s="59"/>
      <c r="K59" s="11"/>
      <c r="L59" s="11"/>
      <c r="M59" s="11"/>
      <c r="N59" s="11"/>
      <c r="O59" s="137"/>
      <c r="P59" s="137"/>
      <c r="Q59" s="137"/>
      <c r="R59" s="137"/>
      <c r="S59" s="137"/>
      <c r="T59" s="137"/>
      <c r="U59" s="137"/>
      <c r="V59" s="137"/>
      <c r="W59" s="137"/>
      <c r="X59" s="137"/>
      <c r="Y59" s="137"/>
      <c r="Z59" s="137"/>
      <c r="AA59" s="137"/>
      <c r="AB59" s="11"/>
      <c r="AC59" s="11"/>
      <c r="AD59" s="137"/>
      <c r="AE59" s="11"/>
      <c r="AF59" s="11"/>
      <c r="AG59" s="137"/>
      <c r="AH59" s="11"/>
      <c r="AI59" s="11"/>
      <c r="AJ59" s="11"/>
      <c r="AK59" s="11"/>
      <c r="AL59" s="11"/>
      <c r="AM59" s="11"/>
      <c r="AN59" s="11"/>
      <c r="AO59" s="11"/>
    </row>
    <row r="60" spans="1:41" x14ac:dyDescent="0.35">
      <c r="A60" s="65" t="s">
        <v>11</v>
      </c>
      <c r="B60" s="66" t="s">
        <v>21</v>
      </c>
      <c r="C60" s="11"/>
      <c r="D60" s="11"/>
      <c r="E60" s="11"/>
      <c r="F60" s="11"/>
      <c r="G60" s="11"/>
      <c r="H60" s="11"/>
      <c r="I60" s="59"/>
      <c r="J60" s="59"/>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65" t="s">
        <v>12</v>
      </c>
      <c r="B61" s="66" t="s">
        <v>22</v>
      </c>
      <c r="C61" s="11"/>
      <c r="D61" s="11"/>
      <c r="E61" s="11"/>
      <c r="F61" s="11"/>
      <c r="G61" s="11"/>
      <c r="H61" s="11"/>
      <c r="I61" s="59"/>
      <c r="J61" s="59"/>
      <c r="K61" s="11"/>
      <c r="L61" s="11"/>
      <c r="M61" s="11"/>
      <c r="N61" s="11"/>
      <c r="O61" s="137"/>
      <c r="P61" s="137"/>
      <c r="Q61" s="137"/>
      <c r="R61" s="137"/>
      <c r="S61" s="137"/>
      <c r="T61" s="137"/>
      <c r="U61" s="137"/>
      <c r="V61" s="137"/>
      <c r="W61" s="137"/>
      <c r="X61" s="137"/>
      <c r="Y61" s="137"/>
      <c r="Z61" s="137"/>
      <c r="AA61" s="137"/>
      <c r="AB61" s="11"/>
      <c r="AC61" s="11"/>
      <c r="AD61" s="137"/>
      <c r="AE61" s="11"/>
      <c r="AF61" s="11"/>
      <c r="AG61" s="137"/>
      <c r="AH61" s="11"/>
      <c r="AI61" s="11"/>
      <c r="AJ61" s="11"/>
      <c r="AK61" s="11"/>
      <c r="AL61" s="11"/>
      <c r="AM61" s="11"/>
      <c r="AN61" s="11"/>
      <c r="AO61" s="11"/>
    </row>
    <row r="62" spans="1:41" x14ac:dyDescent="0.35">
      <c r="A62" s="65" t="s">
        <v>13</v>
      </c>
      <c r="B62" s="66" t="str">
        <f>"DEP(COS_FB) AND "&amp;$E$6&amp;"=Y,COS_FB,COSOTH,DEP(COS_OTHR) AND "&amp;$E$6&amp;"=Y,COS_OTHR,500001"</f>
        <v>DEP(COS_FB) AND D2148=Y,COS_FB,COSOTH,DEP(COS_OTHR) AND D2148=Y,COS_OTHR,500001</v>
      </c>
      <c r="C62" s="11"/>
      <c r="D62" s="11"/>
      <c r="E62" s="11"/>
      <c r="F62" s="11"/>
      <c r="G62" s="11"/>
      <c r="H62" s="11"/>
      <c r="I62" s="59"/>
      <c r="J62" s="59"/>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14</v>
      </c>
      <c r="B63" s="66"/>
      <c r="C63" s="11"/>
      <c r="D63" s="11"/>
      <c r="E63" s="11"/>
      <c r="F63" s="11"/>
      <c r="G63" s="11"/>
      <c r="H63" s="11"/>
      <c r="I63" s="59"/>
      <c r="J63" s="59"/>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15</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16</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17</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97" t="s">
        <v>92</v>
      </c>
      <c r="B68" s="98" t="s">
        <v>93</v>
      </c>
      <c r="C68" s="98" t="s">
        <v>94</v>
      </c>
      <c r="D68" s="98" t="s">
        <v>95</v>
      </c>
      <c r="E68" s="98" t="s">
        <v>96</v>
      </c>
      <c r="F68" s="99" t="s">
        <v>97</v>
      </c>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t="s">
        <v>209</v>
      </c>
      <c r="B70" s="11" t="s">
        <v>21</v>
      </c>
      <c r="C70" s="395"/>
      <c r="D70" s="11" t="s">
        <v>590</v>
      </c>
      <c r="E70" s="11"/>
      <c r="F70" s="11" t="s">
        <v>99</v>
      </c>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t="s">
        <v>105</v>
      </c>
      <c r="B71" s="11"/>
      <c r="C71" s="104" t="s">
        <v>101</v>
      </c>
      <c r="D71" s="11" t="s">
        <v>106</v>
      </c>
      <c r="E71" s="11"/>
      <c r="F71" s="11" t="s">
        <v>98</v>
      </c>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t="s">
        <v>104</v>
      </c>
      <c r="B72" s="11"/>
      <c r="C72" s="104" t="s">
        <v>101</v>
      </c>
      <c r="D72" s="11" t="s">
        <v>106</v>
      </c>
      <c r="E72" s="11"/>
      <c r="F72" s="11" t="s">
        <v>98</v>
      </c>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t="s">
        <v>100</v>
      </c>
      <c r="B73" s="11"/>
      <c r="C73" s="53" t="s">
        <v>101</v>
      </c>
      <c r="D73" s="11" t="s">
        <v>106</v>
      </c>
      <c r="E73" s="11"/>
      <c r="F73" s="11" t="s">
        <v>98</v>
      </c>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hidden="1" x14ac:dyDescent="0.35">
      <c r="A74" s="11" t="s">
        <v>102</v>
      </c>
      <c r="B74" s="11"/>
      <c r="C74" s="106" t="s">
        <v>101</v>
      </c>
      <c r="D74" s="11" t="s">
        <v>106</v>
      </c>
      <c r="E74" s="11"/>
      <c r="F74" s="11" t="s">
        <v>98</v>
      </c>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hidden="1" x14ac:dyDescent="0.35">
      <c r="A75" s="11" t="s">
        <v>102</v>
      </c>
      <c r="B75" s="11"/>
      <c r="C75" s="196" t="s">
        <v>101</v>
      </c>
      <c r="D75" s="11" t="s">
        <v>107</v>
      </c>
      <c r="E75" s="11"/>
      <c r="F75" s="11" t="s">
        <v>99</v>
      </c>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t="s">
        <v>108</v>
      </c>
      <c r="B76" s="11"/>
      <c r="C76" s="106" t="s">
        <v>101</v>
      </c>
      <c r="D76" s="11" t="s">
        <v>106</v>
      </c>
      <c r="E76" s="11"/>
      <c r="F76" s="11" t="s">
        <v>98</v>
      </c>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hidden="1" x14ac:dyDescent="0.35">
      <c r="A77" s="11" t="s">
        <v>108</v>
      </c>
      <c r="B77" s="11"/>
      <c r="C77" s="196" t="s">
        <v>101</v>
      </c>
      <c r="D77" s="11" t="s">
        <v>107</v>
      </c>
      <c r="E77" s="11"/>
      <c r="F77" s="11" t="s">
        <v>99</v>
      </c>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hidden="1"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208"/>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hidden="1"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hidden="1" x14ac:dyDescent="0.35">
      <c r="A82" s="62" t="s">
        <v>0</v>
      </c>
      <c r="B82" s="63" t="s">
        <v>1</v>
      </c>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2</v>
      </c>
      <c r="B83" s="66" t="str">
        <f>IF(_epmOfflineCondition_,"'BCC_Group'!$B$2:$B$10",_xll.EVRNG($B$2:$B$10))</f>
        <v>'BCC_Group'!$B$2:$B$10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3</v>
      </c>
      <c r="B84" s="66" t="str">
        <f>IF(_epmOfflineCondition_,"'BCC_Group'!$O$16:$AN$18",_xll.EVRNG($O$16:$AN$18))</f>
        <v>'BCC_Group'!$O$16:$AN$18</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4</v>
      </c>
      <c r="B85" s="66" t="str">
        <f>IF(_epmOfflineCondition_,"",_xll.EVRNG(#REF!,#REF!,#REF!))</f>
        <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5</v>
      </c>
      <c r="B86" s="66"/>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6</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7</v>
      </c>
      <c r="B88" s="66" t="str">
        <f>IF(_epmOfflineCondition_,"'BCC_Group'!$A$102:$F$108",_xll.EVRNG(A102:F108))</f>
        <v>'BCC_Group'!$A$102:$F$108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47</v>
      </c>
      <c r="B89" s="66" t="str">
        <f>IF(_epmOfflineCondition_,"'BCC_Group'!$A$125:$B$146",_xll.EVRNG($A$125:$B$146))</f>
        <v>'BCC_Group'!$A$125:$B$146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76"/>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c r="B111" s="11" t="s">
        <v>736</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IF(_epmOfflineCondition_,"'BCC_Group'!$B$2:$B$10",_xll.EVRNG($B$2:$B$10))</f>
        <v>'BCC_Group'!$B$2:$B$10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IF(_epmOfflineCondition_,"'BCC_Group'!$O$16:$AN$18",_xll.EVRNG($O$16:$AN$18))</f>
        <v>'BCC_Group'!$O$16:$AN$18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IF(_epmOfflineCondition_,"",_xll.EVRNG(#REF!))</f>
        <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IF(_epmOfflineCondition_,"'BCC_Group'!$A$125:$B$146",_xll.EVRNG($A$125:$B$146))</f>
        <v>'BCC_Group'!$A$125:$B$146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27</v>
      </c>
      <c r="B127" s="66"/>
      <c r="C127" s="11"/>
      <c r="D127" s="11"/>
      <c r="E127" s="11"/>
      <c r="F127" s="11"/>
      <c r="G127" s="11"/>
      <c r="H127" s="11"/>
      <c r="I127" s="267"/>
      <c r="J127" s="11"/>
      <c r="K127" s="267"/>
      <c r="L127" s="267"/>
      <c r="M127" s="267"/>
      <c r="N127" s="11"/>
      <c r="O127" s="267"/>
      <c r="P127" s="267"/>
      <c r="Q127" s="267"/>
      <c r="R127" s="267"/>
      <c r="S127" s="267"/>
      <c r="T127" s="267"/>
      <c r="U127" s="267"/>
      <c r="V127" s="267"/>
      <c r="W127" s="267"/>
      <c r="X127" s="267"/>
      <c r="Y127" s="267"/>
      <c r="Z127" s="267"/>
      <c r="AA127" s="267"/>
      <c r="AB127" s="11"/>
      <c r="AC127" s="11"/>
      <c r="AD127" s="267"/>
      <c r="AE127" s="11"/>
      <c r="AF127" s="267"/>
      <c r="AG127" s="11"/>
      <c r="AH127" s="267"/>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31</v>
      </c>
      <c r="B131" s="66" t="s">
        <v>78</v>
      </c>
      <c r="C131" s="11"/>
      <c r="D131" s="11"/>
      <c r="E131" s="11"/>
      <c r="F131" s="11"/>
      <c r="G131" s="11"/>
      <c r="H131" s="11"/>
      <c r="I131" s="267"/>
      <c r="J131" s="11"/>
      <c r="K131" s="267"/>
      <c r="L131" s="267"/>
      <c r="M131" s="267"/>
      <c r="N131" s="11"/>
      <c r="O131" s="267"/>
      <c r="P131" s="267"/>
      <c r="Q131" s="267"/>
      <c r="R131" s="267"/>
      <c r="S131" s="267"/>
      <c r="T131" s="267"/>
      <c r="U131" s="267"/>
      <c r="V131" s="267"/>
      <c r="W131" s="267"/>
      <c r="X131" s="267"/>
      <c r="Y131" s="267"/>
      <c r="Z131" s="267"/>
      <c r="AA131" s="267"/>
      <c r="AB131" s="11"/>
      <c r="AC131" s="11"/>
      <c r="AD131" s="267"/>
      <c r="AE131" s="11"/>
      <c r="AF131" s="267"/>
      <c r="AG131" s="11"/>
      <c r="AH131" s="267"/>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267"/>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267"/>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sheetData>
  <sheetProtection algorithmName="SHA-512" hashValue="UDTD96Zmkqs5PVAwMqISUP+g6S9jyVcURqH6Z6JyJrhXPZ+rxQt7l8MYRUUsuUevAlEyOXV2/ndwgur6KzunsQ==" saltValue="oT1DsrwsMyTu3Gm22k8K/g==" spinCount="100000" sheet="1" scenarios="1"/>
  <mergeCells count="2">
    <mergeCell ref="AD31:AE31"/>
    <mergeCell ref="AG31:AH31"/>
  </mergeCells>
  <dataValidations count="2">
    <dataValidation type="list" allowBlank="1" sqref="B95 B29 B62" xr:uid="{00000000-0002-0000-1900-000000000000}">
      <formula1>"SELF,ALL,BAS,DEP,BASMEMBERS,MEMBERS,NOEXPAND,GDEP"</formula1>
    </dataValidation>
    <dataValidation type="list" allowBlank="1" sqref="B94 B28 B61" xr:uid="{00000000-0002-0000-1900-000001000000}">
      <formula1>"ACCOUNT,BUSINESSUNIT,CATEGORY,DATASRC,DEPARTMENT,INTCO,MEASURES,RPTCURRENCY,TIME"</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6177" r:id="rId7" name="FPMExcelClientSheetOptionstb1">
          <controlPr defaultSize="0" autoLine="0" autoPict="0" r:id="rId8">
            <anchor moveWithCells="1" sizeWithCells="1">
              <from>
                <xdr:col>0</xdr:col>
                <xdr:colOff>0</xdr:colOff>
                <xdr:row>24</xdr:row>
                <xdr:rowOff>0</xdr:rowOff>
              </from>
              <to>
                <xdr:col>0</xdr:col>
                <xdr:colOff>0</xdr:colOff>
                <xdr:row>24</xdr:row>
                <xdr:rowOff>0</xdr:rowOff>
              </to>
            </anchor>
          </controlPr>
        </control>
      </mc:Choice>
      <mc:Fallback>
        <control shapeId="306177" r:id="rId7" name="FPMExcelClientSheetOptionstb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6">
    <tabColor theme="6" tint="0.39997558519241921"/>
    <pageSetUpPr fitToPage="1"/>
  </sheetPr>
  <dimension ref="A1:AI207"/>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R42" sqref="R42"/>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47.81640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805</v>
      </c>
      <c r="C6" s="11" t="str">
        <f>IF(_epmOfflineCondition_,"Banquet CS Group",_xll.EVDES(B6,$B$1))</f>
        <v>Banquet CS Group</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IF(_epmOfflineCondition_,"'BCC_KPI_Group'!$B$2:$B$10",_xll.EVRNG($B$2:$B$10))</f>
        <v>'BCC_KPI_Group'!$B$2:$B$10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IF(_epmOfflineCondition_,"'BCC_KPI_Group'!$O$16:$AI$18",_xll.EVRNG(O16:AI18))</f>
        <v>'BCC_KPI_Group'!$O$16:$AI$18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IF(_epmOfflineCondition_,"'BCC_KPI_Group'!$H$35:$H$112",_xll.EVRNG(H35:H112))</f>
        <v>'BCC_KPI_Group'!$H$35:$H$112</v>
      </c>
      <c r="C19" s="11"/>
      <c r="D19" s="11"/>
      <c r="E19" s="11"/>
      <c r="F19" s="11"/>
      <c r="G19" s="67" t="str">
        <f>$B$6</f>
        <v>D2248</v>
      </c>
      <c r="H19" s="67" t="s">
        <v>273</v>
      </c>
      <c r="I19" s="68"/>
      <c r="J19" s="68"/>
      <c r="K19" s="67"/>
      <c r="L19" s="67"/>
      <c r="M19" s="67"/>
      <c r="N19" s="67" t="str">
        <f>IF(_epmOfflineCondition_,"Total Food &amp; Beverage Revenue",_xll.EVDES(H19))</f>
        <v>Total Food &amp; Beverage Revenue</v>
      </c>
      <c r="O19" s="69">
        <f>IF(_epmOfflineCondition_,21111.89,_xll.EVGTS($B$1,1,$B$3,$B$5,$B$7,$B$9,O$16,O$17,O$18,$G$19,$H$19))</f>
        <v>21111.89</v>
      </c>
      <c r="P19" s="69">
        <f>IF(_epmOfflineCondition_,26790.99,_xll.EVGTS($B$1,1,$B$3,$B$5,$B$7,$B$9,P$16,P$17,P$18,$G$19,$H$19))</f>
        <v>26790.99</v>
      </c>
      <c r="Q19" s="69">
        <f>IF(_epmOfflineCondition_,-375,_xll.EVGTS($B$1,1,$B$3,$B$5,$B$7,$B$9,Q$16,Q$17,Q$18,$G$19,$H$19))</f>
        <v>-375</v>
      </c>
      <c r="R19" s="69">
        <f>IF(_epmOfflineCondition_,0,_xll.EVGTS($B$1,1,$B$3,$B$5,$B$7,$B$9,R$16,R$17,R$18,$G$19,$H$19))</f>
        <v>0</v>
      </c>
      <c r="S19" s="69">
        <f>IF(_epmOfflineCondition_,-11139.03,_xll.EVGTS($B$1,1,$B$3,$B$5,$B$7,$B$9,S$16,S$17,S$18,$G$19,$H$19))</f>
        <v>-11139.03</v>
      </c>
      <c r="T19" s="69">
        <f>IF(_epmOfflineCondition_,0,_xll.EVGTS($B$1,1,$B$3,$B$5,$B$7,$B$9,T$16,T$17,T$18,$G$19,$H$19))</f>
        <v>0</v>
      </c>
      <c r="U19" s="69">
        <f>IF(_epmOfflineCondition_,0,_xll.EVGTS($B$1,1,$B$3,$B$5,$B$7,$B$9,U$16,U$17,U$18,$G$19,$H$19))</f>
        <v>0</v>
      </c>
      <c r="V19" s="69">
        <f>IF(_epmOfflineCondition_,0,_xll.EVGTS($B$1,1,$B$3,$B$5,$B$7,$B$9,V$16,V$17,V$18,$G$19,$H$19))</f>
        <v>0</v>
      </c>
      <c r="W19" s="69">
        <f>IF(_epmOfflineCondition_,504,_xll.EVGTS($B$1,1,$B$3,$B$5,$B$7,$B$9,W$16,W$17,W$18,$G$19,$H$19))</f>
        <v>504</v>
      </c>
      <c r="X19" s="69">
        <f>IF(_epmOfflineCondition_,250,_xll.EVGTS($B$1,1,$B$3,$B$5,$B$7,$B$9,X$16,X$17,X$18,$G$19,$H$19))</f>
        <v>250</v>
      </c>
      <c r="Y19" s="69">
        <f>IF(_epmOfflineCondition_,0,_xll.EVGTS($B$1,1,$B$3,$B$5,$B$7,$B$9,Y$16,Y$17,Y$18,$G$19,$H$19))</f>
        <v>0</v>
      </c>
      <c r="Z19" s="69">
        <f>IF(_epmOfflineCondition_,0,_xll.EVGTS($B$1,1,$B$3,$B$5,$B$7,$B$9,Z$16,Z$17,Z$18,$G$19,$H$19))</f>
        <v>0</v>
      </c>
      <c r="AA19" s="69">
        <f>SUM(O19:Z19)</f>
        <v>37142.850000000006</v>
      </c>
      <c r="AB19" s="67"/>
      <c r="AC19" s="67"/>
      <c r="AD19" s="69">
        <f>IF(_epmOfflineCondition_,0,_xll.EVGTS($B$1,1,$B$3,$B$5,$B$7,$B$9,AD$16,AD$17,AD$18,$G$19,$H$19))</f>
        <v>0</v>
      </c>
      <c r="AE19" s="67"/>
      <c r="AF19" s="67"/>
      <c r="AG19" s="69">
        <f>IF(_epmOfflineCondition_,2611,_xll.EVGTS($B$1,1,$B$3,$B$5,$B$7,$B$9,AG$16,AG$17,AG$18,$G$19,$H$19))</f>
        <v>2611</v>
      </c>
      <c r="AH19" s="67"/>
      <c r="AI19" s="67"/>
    </row>
    <row r="20" spans="1:35" hidden="1" outlineLevel="1" x14ac:dyDescent="0.35">
      <c r="A20" s="65" t="s">
        <v>5</v>
      </c>
      <c r="B20" s="66"/>
      <c r="C20" s="11"/>
      <c r="D20" s="11"/>
      <c r="E20" s="11"/>
      <c r="F20" s="11"/>
      <c r="G20" s="67" t="str">
        <f>$B$6</f>
        <v>D2248</v>
      </c>
      <c r="H20" s="67">
        <v>946000</v>
      </c>
      <c r="I20" s="68"/>
      <c r="J20" s="68"/>
      <c r="K20" s="67"/>
      <c r="L20" s="67"/>
      <c r="M20" s="67"/>
      <c r="N20" s="67" t="str">
        <f>IF(_epmOfflineCondition_,"Total Customers",_xll.EVDES(H20))</f>
        <v>Total Customers</v>
      </c>
      <c r="O20" s="69">
        <f>IF(_epmOfflineCondition_,359,_xll.EVGTS($B$1,1,$B$3,$B$5,$B$7,$B$9,O$16,O$17,O$18,$G$20,$H$20))</f>
        <v>359</v>
      </c>
      <c r="P20" s="69">
        <f>IF(_epmOfflineCondition_,693,_xll.EVGTS($B$1,1,$B$3,$B$5,$B$7,$B$9,P$16,P$17,P$18,$G$20,$H$20))</f>
        <v>693</v>
      </c>
      <c r="Q20" s="69">
        <f>IF(_epmOfflineCondition_,10,_xll.EVGTS($B$1,1,$B$3,$B$5,$B$7,$B$9,Q$16,Q$17,Q$18,$G$20,$H$20))</f>
        <v>10</v>
      </c>
      <c r="R20" s="69">
        <f>IF(_epmOfflineCondition_,0,_xll.EVGTS($B$1,1,$B$3,$B$5,$B$7,$B$9,R$16,R$17,R$18,$G$20,$H$20))</f>
        <v>0</v>
      </c>
      <c r="S20" s="69">
        <f>IF(_epmOfflineCondition_,-280,_xll.EVGTS($B$1,1,$B$3,$B$5,$B$7,$B$9,S$16,S$17,S$18,$G$20,$H$20))</f>
        <v>-280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782</v>
      </c>
      <c r="AB20" s="67"/>
      <c r="AC20" s="67"/>
      <c r="AD20" s="69">
        <f>SUM(R20:AC20)</f>
        <v>502</v>
      </c>
      <c r="AE20" s="67"/>
      <c r="AF20" s="67"/>
      <c r="AG20" s="69">
        <f>SUM(U20:AF20)</f>
        <v>1284</v>
      </c>
      <c r="AH20" s="67"/>
      <c r="AI20" s="67"/>
    </row>
    <row r="21" spans="1:35" hidden="1" outlineLevel="1" x14ac:dyDescent="0.35">
      <c r="A21" s="65" t="s">
        <v>6</v>
      </c>
      <c r="B21" s="66"/>
      <c r="C21" s="11"/>
      <c r="D21" s="11"/>
      <c r="E21" s="11"/>
      <c r="F21" s="11"/>
      <c r="G21" s="67" t="s">
        <v>254</v>
      </c>
      <c r="H21" s="67">
        <v>901000</v>
      </c>
      <c r="I21" s="68"/>
      <c r="J21" s="68"/>
      <c r="K21" s="67"/>
      <c r="L21" s="67"/>
      <c r="M21" s="67"/>
      <c r="N21" s="67" t="str">
        <f>IF(_epmOfflineCondition_,"Total Group Rooms Occupied",_xll.EVDES(H21))</f>
        <v>Total Group Rooms Occupied</v>
      </c>
      <c r="O21" s="69">
        <f>IF(_epmOfflineCondition_,850,_xll.EVGTS($B$1,1,$B$3,$B$5,$B$7,$B$9,O$16,O$17,O$18,$G$21,$H$21))</f>
        <v>850</v>
      </c>
      <c r="P21" s="69">
        <f>IF(_epmOfflineCondition_,594,_xll.EVGTS($B$1,1,$B$3,$B$5,$B$7,$B$9,P$16,P$17,P$18,$G$21,$H$21))</f>
        <v>594</v>
      </c>
      <c r="Q21" s="69">
        <f>IF(_epmOfflineCondition_,5,_xll.EVGTS($B$1,1,$B$3,$B$5,$B$7,$B$9,Q$16,Q$17,Q$18,$G$21,$H$21))</f>
        <v>5</v>
      </c>
      <c r="R21" s="69">
        <f>IF(_epmOfflineCondition_,0,_xll.EVGTS($B$1,1,$B$3,$B$5,$B$7,$B$9,R$16,R$17,R$18,$G$21,$H$21))</f>
        <v>0</v>
      </c>
      <c r="S21" s="69">
        <f>IF(_epmOfflineCondition_,0,_xll.EVGTS($B$1,1,$B$3,$B$5,$B$7,$B$9,S$16,S$17,S$18,$G$21,$H$21))</f>
        <v>0</v>
      </c>
      <c r="T21" s="69">
        <f>IF(_epmOfflineCondition_,0,_xll.EVGTS($B$1,1,$B$3,$B$5,$B$7,$B$9,T$16,T$17,T$18,$G$21,$H$21))</f>
        <v>0</v>
      </c>
      <c r="U21" s="69">
        <f>IF(_epmOfflineCondition_,0,_xll.EVGTS($B$1,1,$B$3,$B$5,$B$7,$B$9,U$16,U$17,U$18,$G$21,$H$21))</f>
        <v>0</v>
      </c>
      <c r="V21" s="69">
        <f>IF(_epmOfflineCondition_,0,_xll.EVGTS($B$1,1,$B$3,$B$5,$B$7,$B$9,V$16,V$17,V$18,$G$21,$H$21))</f>
        <v>0</v>
      </c>
      <c r="W21" s="69">
        <f>IF(_epmOfflineCondition_,0,_xll.EVGTS($B$1,1,$B$3,$B$5,$B$7,$B$9,W$16,W$17,W$18,$G$21,$H$21))</f>
        <v>0</v>
      </c>
      <c r="X21" s="69">
        <f>IF(_epmOfflineCondition_,62,_xll.EVGTS($B$1,1,$B$3,$B$5,$B$7,$B$9,X$16,X$17,X$18,$G$21,$H$21))</f>
        <v>62</v>
      </c>
      <c r="Y21" s="69">
        <f>IF(_epmOfflineCondition_,41,_xll.EVGTS($B$1,1,$B$3,$B$5,$B$7,$B$9,Y$16,Y$17,Y$18,$G$21,$H$21))</f>
        <v>41</v>
      </c>
      <c r="Z21" s="69">
        <f>IF(_epmOfflineCondition_,108,_xll.EVGTS($B$1,1,$B$3,$B$5,$B$7,$B$9,Z$16,Z$17,Z$18,$G$21,$H$21))</f>
        <v>108</v>
      </c>
      <c r="AA21" s="69">
        <f>IF(_epmOfflineCondition_,1660,_xll.EVGTS($B$1,1,$B$3,$B$5,$B$7,$B$9,AA$16,AA$17,AA$18,$G$21,$H$21))</f>
        <v>1660</v>
      </c>
      <c r="AB21" s="67"/>
      <c r="AC21" s="67"/>
      <c r="AD21" s="69">
        <f>IF(_epmOfflineCondition_,4333,_xll.EVGTS($B$1,1,$B$3,$B$5,$B$7,$B$9,AD$16,AD$17,AD$18,$G$21,$H$21))</f>
        <v>4333</v>
      </c>
      <c r="AE21" s="67"/>
      <c r="AF21" s="67"/>
      <c r="AG21" s="69">
        <f>IF(_epmOfflineCondition_,3112,_xll.EVGTS($B$1,1,$B$3,$B$5,$B$7,$B$9,AG$16,AG$17,AG$18,$G$21,$H$21))</f>
        <v>3112</v>
      </c>
      <c r="AH21" s="67"/>
      <c r="AI21" s="67"/>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IF(_epmOfflineCondition_,"'BCC_KPI_Group'!$A$37:$B$58",_xll.EVRNG($A$37:$B$58))</f>
        <v>'BCC_KPI_Group'!$A$37:$B$58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IF(_epmOfflineCondition_,"Banquet CS Group Department",IF($N$1="",IF(_xll.EVDES(B6,$B$1)="#NODATA","",_xll.EVDES(B6,$B$1)&amp;" Department"),$N$1))</f>
        <v>Banquet CS Group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v>8064.89</v>
      </c>
      <c r="P35" s="143">
        <v>6815</v>
      </c>
      <c r="Q35" s="143"/>
      <c r="R35" s="143"/>
      <c r="S35" s="143">
        <v>-4502</v>
      </c>
      <c r="T35" s="143"/>
      <c r="U35" s="143"/>
      <c r="V35" s="143"/>
      <c r="W35" s="143"/>
      <c r="X35" s="143"/>
      <c r="Y35" s="143"/>
      <c r="Z35" s="143"/>
      <c r="AA35" s="143">
        <f t="shared" ref="AA35:AA41" si="0">SUM(O35:Z35)</f>
        <v>10377.89</v>
      </c>
      <c r="AB35" s="144">
        <f>IF(AA35=0,"",IFERROR(AA35/AA$19,""))</f>
        <v>0.27940478450092004</v>
      </c>
      <c r="AC35" s="140"/>
      <c r="AD35" s="143"/>
      <c r="AE35" s="144" t="str">
        <f>IF(AD35=0,"",IFERROR(AD35/AD$19,""))</f>
        <v/>
      </c>
      <c r="AF35" s="145">
        <f t="shared" ref="AF35:AF42" si="1">IF(AND($AA35="",AD35=""),"",$AA35-AD35)</f>
        <v>10377.89</v>
      </c>
      <c r="AG35" s="143">
        <v>1541</v>
      </c>
      <c r="AH35" s="144">
        <f>IF(AG35=0,"",IFERROR(AG35/AG$19,""))</f>
        <v>0.59019532746074299</v>
      </c>
      <c r="AI35" s="145">
        <f t="shared" ref="AI35:AI42" si="2">IF(AND($AA35="",AG35=""),"",$AA35-AG35)</f>
        <v>8836.89</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v>258.99</v>
      </c>
      <c r="Q36" s="143"/>
      <c r="R36" s="143"/>
      <c r="S36" s="143"/>
      <c r="T36" s="143"/>
      <c r="U36" s="143"/>
      <c r="V36" s="143"/>
      <c r="W36" s="143"/>
      <c r="X36" s="143"/>
      <c r="Y36" s="143"/>
      <c r="Z36" s="143"/>
      <c r="AA36" s="143">
        <f t="shared" si="0"/>
        <v>258.99</v>
      </c>
      <c r="AB36" s="144">
        <f>IF(AA36=0,"",IFERROR(AA36/AA$19,""))</f>
        <v>6.9728090332325052E-3</v>
      </c>
      <c r="AC36" s="140"/>
      <c r="AD36" s="143"/>
      <c r="AE36" s="144" t="str">
        <f>IF(AD36=0,"",IFERROR(AD36/AD$19,""))</f>
        <v/>
      </c>
      <c r="AF36" s="145">
        <f t="shared" si="1"/>
        <v>258.99</v>
      </c>
      <c r="AG36" s="143"/>
      <c r="AH36" s="144" t="str">
        <f>IF(AG36=0,"",IFERROR(AG36/AG$19,""))</f>
        <v/>
      </c>
      <c r="AI36" s="145">
        <f t="shared" si="2"/>
        <v>258.99</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c r="AH37" s="144" t="str">
        <f>IF(AG37=0,"",IFERROR(AG37/AG$19,""))</f>
        <v/>
      </c>
      <c r="AI37" s="145">
        <f t="shared" si="2"/>
        <v>0</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c r="AH38" s="219" t="str">
        <f>IF(AG38=0,"",IFERROR(AG38/AG$19,""))</f>
        <v/>
      </c>
      <c r="AI38" s="220">
        <f t="shared" si="2"/>
        <v>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v>8064.89</v>
      </c>
      <c r="P39" s="166">
        <v>7073.99</v>
      </c>
      <c r="Q39" s="166"/>
      <c r="R39" s="166"/>
      <c r="S39" s="166">
        <v>-4502</v>
      </c>
      <c r="T39" s="166"/>
      <c r="U39" s="166"/>
      <c r="V39" s="166"/>
      <c r="W39" s="166"/>
      <c r="X39" s="166"/>
      <c r="Y39" s="166"/>
      <c r="Z39" s="166"/>
      <c r="AA39" s="166">
        <f t="shared" si="0"/>
        <v>10636.880000000001</v>
      </c>
      <c r="AB39" s="167">
        <f>IF(AA39=0,"",IFERROR(AA39/AA$19,""))</f>
        <v>0.2863775935341526</v>
      </c>
      <c r="AC39" s="140"/>
      <c r="AD39" s="166"/>
      <c r="AE39" s="167" t="str">
        <f>IF(AD39=0,"",IFERROR(AD39/AD$19,""))</f>
        <v/>
      </c>
      <c r="AF39" s="168">
        <f t="shared" si="1"/>
        <v>10636.880000000001</v>
      </c>
      <c r="AG39" s="166">
        <v>1541</v>
      </c>
      <c r="AH39" s="167">
        <f>IF(AG39=0,"",IFERROR(AG39/AG$19,""))</f>
        <v>0.59019532746074299</v>
      </c>
      <c r="AI39" s="168">
        <f t="shared" si="2"/>
        <v>9095.880000000001</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v>190</v>
      </c>
      <c r="P41" s="210">
        <v>248</v>
      </c>
      <c r="Q41" s="210"/>
      <c r="R41" s="210"/>
      <c r="S41" s="210">
        <v>-124</v>
      </c>
      <c r="T41" s="210"/>
      <c r="U41" s="210"/>
      <c r="V41" s="210"/>
      <c r="W41" s="210"/>
      <c r="X41" s="210"/>
      <c r="Y41" s="210"/>
      <c r="Z41" s="210"/>
      <c r="AA41" s="210">
        <f t="shared" si="0"/>
        <v>314</v>
      </c>
      <c r="AB41" s="211">
        <f>IF(AA41=0,"",IFERROR(AA41/AA$83,""))</f>
        <v>0.40153452685421998</v>
      </c>
      <c r="AC41" s="140"/>
      <c r="AD41" s="210"/>
      <c r="AE41" s="211" t="str">
        <f>IF(AD41=0,"",IFERROR(AD41/AD$83,""))</f>
        <v/>
      </c>
      <c r="AF41" s="253">
        <f t="shared" si="1"/>
        <v>314</v>
      </c>
      <c r="AG41" s="210">
        <v>58</v>
      </c>
      <c r="AH41" s="211">
        <f>IF(AG41=0,"",IFERROR(AG41/AG$83,""))</f>
        <v>0.65909090909090906</v>
      </c>
      <c r="AI41" s="253">
        <f t="shared" si="2"/>
        <v>256</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42.446789473684198</v>
      </c>
      <c r="P42" s="495">
        <v>28.524153225806501</v>
      </c>
      <c r="Q42" s="495"/>
      <c r="R42" s="495"/>
      <c r="S42" s="495">
        <v>36.306451612903203</v>
      </c>
      <c r="T42" s="495"/>
      <c r="U42" s="495"/>
      <c r="V42" s="495"/>
      <c r="W42" s="495"/>
      <c r="X42" s="495"/>
      <c r="Y42" s="495"/>
      <c r="Z42" s="495"/>
      <c r="AA42" s="495">
        <f>IFERROR(AA39/AA41,"")</f>
        <v>33.875414012738858</v>
      </c>
      <c r="AB42" s="495"/>
      <c r="AC42" s="140"/>
      <c r="AD42" s="495"/>
      <c r="AE42" s="495"/>
      <c r="AF42" s="496">
        <f t="shared" si="1"/>
        <v>33.875414012738858</v>
      </c>
      <c r="AG42" s="495">
        <v>26.568965517241399</v>
      </c>
      <c r="AH42" s="495"/>
      <c r="AI42" s="496">
        <f t="shared" si="2"/>
        <v>7.3064484954974596</v>
      </c>
    </row>
    <row r="43" spans="1:35" x14ac:dyDescent="0.35">
      <c r="A43" s="65" t="s">
        <v>31</v>
      </c>
      <c r="B43" s="66" t="s">
        <v>78</v>
      </c>
      <c r="C43" s="11"/>
      <c r="D43" s="11"/>
      <c r="E43" s="11"/>
      <c r="F43" s="11"/>
      <c r="G43" s="11"/>
      <c r="H43" s="88"/>
      <c r="I43" s="122"/>
      <c r="J43" s="122"/>
      <c r="K43" s="90"/>
      <c r="L43" s="90"/>
      <c r="M43" s="90"/>
      <c r="N43" s="491" t="s">
        <v>345</v>
      </c>
      <c r="O43" s="497">
        <f t="shared" ref="O43:AA43" si="3">ROUND(IFERROR(O39/O41,0),2)</f>
        <v>42.45</v>
      </c>
      <c r="P43" s="498">
        <f t="shared" si="3"/>
        <v>28.52</v>
      </c>
      <c r="Q43" s="498">
        <f t="shared" si="3"/>
        <v>0</v>
      </c>
      <c r="R43" s="498">
        <f t="shared" si="3"/>
        <v>0</v>
      </c>
      <c r="S43" s="498">
        <f t="shared" si="3"/>
        <v>36.31</v>
      </c>
      <c r="T43" s="498">
        <f t="shared" si="3"/>
        <v>0</v>
      </c>
      <c r="U43" s="498">
        <f t="shared" si="3"/>
        <v>0</v>
      </c>
      <c r="V43" s="498">
        <f t="shared" si="3"/>
        <v>0</v>
      </c>
      <c r="W43" s="498">
        <f t="shared" si="3"/>
        <v>0</v>
      </c>
      <c r="X43" s="498">
        <f t="shared" si="3"/>
        <v>0</v>
      </c>
      <c r="Y43" s="498">
        <f t="shared" si="3"/>
        <v>0</v>
      </c>
      <c r="Z43" s="498">
        <f t="shared" si="3"/>
        <v>0</v>
      </c>
      <c r="AA43" s="498">
        <f t="shared" si="3"/>
        <v>33.880000000000003</v>
      </c>
      <c r="AB43" s="499"/>
      <c r="AC43" s="140"/>
      <c r="AD43" s="497">
        <f>ROUND(IFERROR(AD39/AD41,0),2)</f>
        <v>0</v>
      </c>
      <c r="AE43" s="498"/>
      <c r="AF43" s="159"/>
      <c r="AG43" s="497">
        <f>ROUND(IFERROR(AG39/AG41,0),2)</f>
        <v>26.57</v>
      </c>
      <c r="AH43" s="498"/>
      <c r="AI43" s="159"/>
    </row>
    <row r="44" spans="1:35" x14ac:dyDescent="0.3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v>8662</v>
      </c>
      <c r="P45" s="143">
        <v>10367</v>
      </c>
      <c r="Q45" s="143">
        <v>-375</v>
      </c>
      <c r="R45" s="143"/>
      <c r="S45" s="143">
        <v>-3472</v>
      </c>
      <c r="T45" s="143"/>
      <c r="U45" s="143"/>
      <c r="V45" s="143"/>
      <c r="W45" s="143"/>
      <c r="X45" s="143">
        <v>250</v>
      </c>
      <c r="Y45" s="143"/>
      <c r="Z45" s="143"/>
      <c r="AA45" s="143">
        <f t="shared" ref="AA45:AA51" si="5">SUM(O45:Z45)</f>
        <v>15432</v>
      </c>
      <c r="AB45" s="144">
        <f>IF(AA45=0,"",IFERROR(AA45/AA$19,""))</f>
        <v>0.41547700297634665</v>
      </c>
      <c r="AC45" s="140"/>
      <c r="AD45" s="143"/>
      <c r="AE45" s="144" t="str">
        <f>IF(AD45=0,"",IFERROR(AD45/AD$19,""))</f>
        <v/>
      </c>
      <c r="AF45" s="145">
        <f t="shared" ref="AF45:AF52" si="6">IF(AND($AA45="",AD45=""),"",$AA45-AD45)</f>
        <v>15432</v>
      </c>
      <c r="AG45" s="143">
        <v>497</v>
      </c>
      <c r="AH45" s="144">
        <f>IF(AG45=0,"",IFERROR(AG45/AG$19,""))</f>
        <v>0.19034852546916889</v>
      </c>
      <c r="AI45" s="145">
        <f t="shared" ref="AI45:AI52" si="7">IF(AND($AA45="",AG45=""),"",$AA45-AG45)</f>
        <v>14935</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v>7</v>
      </c>
      <c r="Q46" s="143"/>
      <c r="R46" s="143"/>
      <c r="S46" s="143"/>
      <c r="T46" s="143"/>
      <c r="U46" s="143"/>
      <c r="V46" s="143"/>
      <c r="W46" s="143"/>
      <c r="X46" s="143"/>
      <c r="Y46" s="143"/>
      <c r="Z46" s="143"/>
      <c r="AA46" s="143">
        <f t="shared" si="5"/>
        <v>7</v>
      </c>
      <c r="AB46" s="144">
        <f>IF(AA46=0,"",IFERROR(AA46/AA$19,""))</f>
        <v>1.8846157470414895E-4</v>
      </c>
      <c r="AC46" s="140"/>
      <c r="AD46" s="143"/>
      <c r="AE46" s="144" t="str">
        <f>IF(AD46=0,"",IFERROR(AD46/AD$19,""))</f>
        <v/>
      </c>
      <c r="AF46" s="145">
        <f t="shared" si="6"/>
        <v>7</v>
      </c>
      <c r="AG46" s="143"/>
      <c r="AH46" s="144" t="str">
        <f>IF(AG46=0,"",IFERROR(AG46/AG$19,""))</f>
        <v/>
      </c>
      <c r="AI46" s="145">
        <f t="shared" si="7"/>
        <v>7</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v>102</v>
      </c>
      <c r="P47" s="143"/>
      <c r="Q47" s="143"/>
      <c r="R47" s="143"/>
      <c r="S47" s="143"/>
      <c r="T47" s="143"/>
      <c r="U47" s="143"/>
      <c r="V47" s="143"/>
      <c r="W47" s="143"/>
      <c r="X47" s="143"/>
      <c r="Y47" s="143"/>
      <c r="Z47" s="143"/>
      <c r="AA47" s="143">
        <f t="shared" si="5"/>
        <v>102</v>
      </c>
      <c r="AB47" s="144">
        <f>IF(AA47=0,"",IFERROR(AA47/AA$19,""))</f>
        <v>2.7461543742604562E-3</v>
      </c>
      <c r="AC47" s="140"/>
      <c r="AD47" s="143"/>
      <c r="AE47" s="144" t="str">
        <f>IF(AD47=0,"",IFERROR(AD47/AD$19,""))</f>
        <v/>
      </c>
      <c r="AF47" s="145">
        <f t="shared" si="6"/>
        <v>102</v>
      </c>
      <c r="AG47" s="143"/>
      <c r="AH47" s="144" t="str">
        <f>IF(AG47=0,"",IFERROR(AG47/AG$19,""))</f>
        <v/>
      </c>
      <c r="AI47" s="145">
        <f t="shared" si="7"/>
        <v>102</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v>8764</v>
      </c>
      <c r="P49" s="166">
        <v>10374</v>
      </c>
      <c r="Q49" s="166">
        <v>-375</v>
      </c>
      <c r="R49" s="166"/>
      <c r="S49" s="166">
        <v>-3472</v>
      </c>
      <c r="T49" s="166"/>
      <c r="U49" s="166"/>
      <c r="V49" s="166"/>
      <c r="W49" s="166"/>
      <c r="X49" s="166">
        <v>250</v>
      </c>
      <c r="Y49" s="166"/>
      <c r="Z49" s="166"/>
      <c r="AA49" s="166">
        <f t="shared" si="5"/>
        <v>15541</v>
      </c>
      <c r="AB49" s="167">
        <f>IF(AA49=0,"",IFERROR(AA49/AA$19,""))</f>
        <v>0.41841161892531126</v>
      </c>
      <c r="AC49" s="140"/>
      <c r="AD49" s="166"/>
      <c r="AE49" s="167" t="str">
        <f>IF(AD49=0,"",IFERROR(AD49/AD$19,""))</f>
        <v/>
      </c>
      <c r="AF49" s="168">
        <f t="shared" si="6"/>
        <v>15541</v>
      </c>
      <c r="AG49" s="166">
        <v>497</v>
      </c>
      <c r="AH49" s="167">
        <f>IF(AG49=0,"",IFERROR(AG49/AG$19,""))</f>
        <v>0.19034852546916889</v>
      </c>
      <c r="AI49" s="168">
        <f t="shared" si="7"/>
        <v>15044</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v>114</v>
      </c>
      <c r="P51" s="210">
        <v>207</v>
      </c>
      <c r="Q51" s="210">
        <v>10</v>
      </c>
      <c r="R51" s="210"/>
      <c r="S51" s="210">
        <v>-98</v>
      </c>
      <c r="T51" s="210"/>
      <c r="U51" s="210"/>
      <c r="V51" s="210"/>
      <c r="W51" s="210"/>
      <c r="X51" s="210"/>
      <c r="Y51" s="210"/>
      <c r="Z51" s="210"/>
      <c r="AA51" s="210">
        <f t="shared" si="5"/>
        <v>233</v>
      </c>
      <c r="AB51" s="211">
        <f>IF(AA51=0,"",IFERROR(AA51/AA$83,""))</f>
        <v>0.29795396419437342</v>
      </c>
      <c r="AC51" s="140"/>
      <c r="AD51" s="210"/>
      <c r="AE51" s="211" t="str">
        <f>IF(AD51=0,"",IFERROR(AD51/AD$83,""))</f>
        <v/>
      </c>
      <c r="AF51" s="253">
        <f t="shared" si="6"/>
        <v>233</v>
      </c>
      <c r="AG51" s="210">
        <v>14</v>
      </c>
      <c r="AH51" s="211">
        <f>IF(AG51=0,"",IFERROR(AG51/AG$83,""))</f>
        <v>0.15909090909090909</v>
      </c>
      <c r="AI51" s="253">
        <f t="shared" si="7"/>
        <v>219</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76.877192982456094</v>
      </c>
      <c r="P52" s="495">
        <v>50.115942028985501</v>
      </c>
      <c r="Q52" s="495">
        <v>-37.5</v>
      </c>
      <c r="R52" s="495"/>
      <c r="S52" s="495">
        <v>35.428571428571402</v>
      </c>
      <c r="T52" s="495"/>
      <c r="U52" s="495"/>
      <c r="V52" s="495"/>
      <c r="W52" s="495"/>
      <c r="X52" s="495"/>
      <c r="Y52" s="495"/>
      <c r="Z52" s="495"/>
      <c r="AA52" s="495">
        <f>IFERROR(AA49/AA51,"")</f>
        <v>66.699570815450642</v>
      </c>
      <c r="AB52" s="495"/>
      <c r="AC52" s="140"/>
      <c r="AD52" s="495"/>
      <c r="AE52" s="495"/>
      <c r="AF52" s="496">
        <f t="shared" si="6"/>
        <v>66.699570815450642</v>
      </c>
      <c r="AG52" s="495">
        <v>35.5</v>
      </c>
      <c r="AH52" s="495"/>
      <c r="AI52" s="496">
        <f t="shared" si="7"/>
        <v>31.199570815450642</v>
      </c>
    </row>
    <row r="53" spans="1:35" x14ac:dyDescent="0.35">
      <c r="A53" s="65" t="s">
        <v>41</v>
      </c>
      <c r="B53" s="66"/>
      <c r="C53" s="11"/>
      <c r="D53" s="11"/>
      <c r="E53" s="11"/>
      <c r="F53" s="11"/>
      <c r="G53" s="11"/>
      <c r="H53" s="88"/>
      <c r="I53" s="122"/>
      <c r="J53" s="122"/>
      <c r="K53" s="90"/>
      <c r="L53" s="90"/>
      <c r="M53" s="90"/>
      <c r="N53" s="491" t="s">
        <v>345</v>
      </c>
      <c r="O53" s="497">
        <f t="shared" ref="O53:AA53" si="8">ROUND(IFERROR(O49/O51,0),2)</f>
        <v>76.88</v>
      </c>
      <c r="P53" s="498">
        <f t="shared" si="8"/>
        <v>50.12</v>
      </c>
      <c r="Q53" s="498">
        <f t="shared" si="8"/>
        <v>-37.5</v>
      </c>
      <c r="R53" s="498">
        <f t="shared" si="8"/>
        <v>0</v>
      </c>
      <c r="S53" s="498">
        <f t="shared" si="8"/>
        <v>35.43</v>
      </c>
      <c r="T53" s="498">
        <f t="shared" si="8"/>
        <v>0</v>
      </c>
      <c r="U53" s="498">
        <f t="shared" si="8"/>
        <v>0</v>
      </c>
      <c r="V53" s="498">
        <f t="shared" si="8"/>
        <v>0</v>
      </c>
      <c r="W53" s="498">
        <f t="shared" si="8"/>
        <v>0</v>
      </c>
      <c r="X53" s="498">
        <f t="shared" si="8"/>
        <v>0</v>
      </c>
      <c r="Y53" s="498">
        <f t="shared" si="8"/>
        <v>0</v>
      </c>
      <c r="Z53" s="498">
        <f t="shared" si="8"/>
        <v>0</v>
      </c>
      <c r="AA53" s="498">
        <f t="shared" si="8"/>
        <v>66.7</v>
      </c>
      <c r="AB53" s="499"/>
      <c r="AC53" s="140"/>
      <c r="AD53" s="497">
        <f>ROUND(IFERROR(AD49/AD51,0),2)</f>
        <v>0</v>
      </c>
      <c r="AE53" s="498"/>
      <c r="AF53" s="159"/>
      <c r="AG53" s="497">
        <f>ROUND(IFERROR(AG49/AG51,0),2)</f>
        <v>35.5</v>
      </c>
      <c r="AH53" s="498"/>
      <c r="AI53" s="159"/>
    </row>
    <row r="54" spans="1:35" x14ac:dyDescent="0.3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v>3944</v>
      </c>
      <c r="Q55" s="143"/>
      <c r="R55" s="143"/>
      <c r="S55" s="143">
        <v>-3165.03</v>
      </c>
      <c r="T55" s="143"/>
      <c r="U55" s="143"/>
      <c r="V55" s="143"/>
      <c r="W55" s="143"/>
      <c r="X55" s="143"/>
      <c r="Y55" s="143"/>
      <c r="Z55" s="143"/>
      <c r="AA55" s="143">
        <f t="shared" ref="AA55:AA61" si="10">SUM(O55:Z55)</f>
        <v>778.9699999999998</v>
      </c>
      <c r="AB55" s="144">
        <f>IF(AA55=0,"",IFERROR(AA55/AA$19,""))</f>
        <v>2.0972273263898698E-2</v>
      </c>
      <c r="AC55" s="140"/>
      <c r="AD55" s="143"/>
      <c r="AE55" s="144" t="str">
        <f>IF(AD55=0,"",IFERROR(AD55/AD$19,""))</f>
        <v/>
      </c>
      <c r="AF55" s="145">
        <f t="shared" ref="AF55:AF62" si="11">IF(AND($AA55="",AD55=""),"",$AA55-AD55)</f>
        <v>778.9699999999998</v>
      </c>
      <c r="AG55" s="143"/>
      <c r="AH55" s="144" t="str">
        <f>IF(AG55=0,"",IFERROR(AG55/AG$19,""))</f>
        <v/>
      </c>
      <c r="AI55" s="145">
        <f t="shared" ref="AI55:AI62" si="12">IF(AND($AA55="",AG55=""),"",$AA55-AG55)</f>
        <v>778.9699999999998</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v>962</v>
      </c>
      <c r="Q56" s="143"/>
      <c r="R56" s="143"/>
      <c r="S56" s="143"/>
      <c r="T56" s="143"/>
      <c r="U56" s="143"/>
      <c r="V56" s="143"/>
      <c r="W56" s="143"/>
      <c r="X56" s="143"/>
      <c r="Y56" s="143"/>
      <c r="Z56" s="143"/>
      <c r="AA56" s="143">
        <f t="shared" si="10"/>
        <v>962</v>
      </c>
      <c r="AB56" s="144">
        <f>IF(AA56=0,"",IFERROR(AA56/AA$19,""))</f>
        <v>2.5900004980770185E-2</v>
      </c>
      <c r="AC56" s="140"/>
      <c r="AD56" s="143"/>
      <c r="AE56" s="144" t="str">
        <f>IF(AD56=0,"",IFERROR(AD56/AD$19,""))</f>
        <v/>
      </c>
      <c r="AF56" s="145">
        <f t="shared" si="11"/>
        <v>962</v>
      </c>
      <c r="AG56" s="143"/>
      <c r="AH56" s="144" t="str">
        <f>IF(AG56=0,"",IFERROR(AG56/AG$19,""))</f>
        <v/>
      </c>
      <c r="AI56" s="145">
        <f t="shared" si="12"/>
        <v>962</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v>165</v>
      </c>
      <c r="Q57" s="143"/>
      <c r="R57" s="143"/>
      <c r="S57" s="143"/>
      <c r="T57" s="143"/>
      <c r="U57" s="143"/>
      <c r="V57" s="143"/>
      <c r="W57" s="143"/>
      <c r="X57" s="143"/>
      <c r="Y57" s="143"/>
      <c r="Z57" s="143"/>
      <c r="AA57" s="143">
        <f t="shared" si="10"/>
        <v>165</v>
      </c>
      <c r="AB57" s="144">
        <f>IF(AA57=0,"",IFERROR(AA57/AA$19,""))</f>
        <v>4.4423085465977964E-3</v>
      </c>
      <c r="AC57" s="140"/>
      <c r="AD57" s="143"/>
      <c r="AE57" s="144" t="str">
        <f>IF(AD57=0,"",IFERROR(AD57/AD$19,""))</f>
        <v/>
      </c>
      <c r="AF57" s="145">
        <f t="shared" si="11"/>
        <v>165</v>
      </c>
      <c r="AG57" s="143"/>
      <c r="AH57" s="144" t="str">
        <f>IF(AG57=0,"",IFERROR(AG57/AG$19,""))</f>
        <v/>
      </c>
      <c r="AI57" s="145">
        <f t="shared" si="12"/>
        <v>165</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v>670</v>
      </c>
      <c r="Q58" s="217"/>
      <c r="R58" s="217"/>
      <c r="S58" s="217"/>
      <c r="T58" s="217"/>
      <c r="U58" s="217"/>
      <c r="V58" s="217"/>
      <c r="W58" s="217"/>
      <c r="X58" s="217"/>
      <c r="Y58" s="217"/>
      <c r="Z58" s="217"/>
      <c r="AA58" s="217">
        <f t="shared" si="10"/>
        <v>670</v>
      </c>
      <c r="AB58" s="219">
        <f>IF(AA58=0,"",IFERROR(AA58/AA$19,""))</f>
        <v>1.8038465007397114E-2</v>
      </c>
      <c r="AC58" s="140"/>
      <c r="AD58" s="217"/>
      <c r="AE58" s="219" t="str">
        <f>IF(AD58=0,"",IFERROR(AD58/AD$19,""))</f>
        <v/>
      </c>
      <c r="AF58" s="220">
        <f t="shared" si="11"/>
        <v>670</v>
      </c>
      <c r="AG58" s="217"/>
      <c r="AH58" s="219" t="str">
        <f>IF(AG58=0,"",IFERROR(AG58/AG$19,""))</f>
        <v/>
      </c>
      <c r="AI58" s="220">
        <f t="shared" si="12"/>
        <v>670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v>5741</v>
      </c>
      <c r="Q59" s="166"/>
      <c r="R59" s="166"/>
      <c r="S59" s="166">
        <v>-3165.03</v>
      </c>
      <c r="T59" s="166"/>
      <c r="U59" s="166"/>
      <c r="V59" s="166"/>
      <c r="W59" s="166"/>
      <c r="X59" s="166"/>
      <c r="Y59" s="166"/>
      <c r="Z59" s="166"/>
      <c r="AA59" s="166">
        <f t="shared" si="10"/>
        <v>2575.9699999999998</v>
      </c>
      <c r="AB59" s="167">
        <f>IF(AA59=0,"",IFERROR(AA59/AA$19,""))</f>
        <v>6.9353051798663787E-2</v>
      </c>
      <c r="AC59" s="140"/>
      <c r="AD59" s="166"/>
      <c r="AE59" s="167" t="str">
        <f>IF(AD59=0,"",IFERROR(AD59/AD$19,""))</f>
        <v/>
      </c>
      <c r="AF59" s="168">
        <f t="shared" si="11"/>
        <v>2575.9699999999998</v>
      </c>
      <c r="AG59" s="166"/>
      <c r="AH59" s="167" t="str">
        <f>IF(AG59=0,"",IFERROR(AG59/AG$19,""))</f>
        <v/>
      </c>
      <c r="AI59" s="168">
        <f t="shared" si="12"/>
        <v>2575.9699999999998</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v>116</v>
      </c>
      <c r="Q61" s="210"/>
      <c r="R61" s="210"/>
      <c r="S61" s="210">
        <v>-58</v>
      </c>
      <c r="T61" s="210"/>
      <c r="U61" s="210"/>
      <c r="V61" s="210"/>
      <c r="W61" s="210"/>
      <c r="X61" s="210"/>
      <c r="Y61" s="210"/>
      <c r="Z61" s="210"/>
      <c r="AA61" s="210">
        <f t="shared" si="10"/>
        <v>58</v>
      </c>
      <c r="AB61" s="211">
        <f>IF(AA61=0,"",IFERROR(AA61/AA$83,""))</f>
        <v>7.4168797953964194E-2</v>
      </c>
      <c r="AC61" s="140"/>
      <c r="AD61" s="210"/>
      <c r="AE61" s="211" t="str">
        <f>IF(AD61=0,"",IFERROR(AD61/AD$83,""))</f>
        <v/>
      </c>
      <c r="AF61" s="253">
        <f t="shared" si="11"/>
        <v>58</v>
      </c>
      <c r="AG61" s="210"/>
      <c r="AH61" s="211" t="str">
        <f>IF(AG61=0,"",IFERROR(AG61/AG$83,""))</f>
        <v/>
      </c>
      <c r="AI61" s="253">
        <f t="shared" si="12"/>
        <v>58</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v>49.491379310344797</v>
      </c>
      <c r="Q62" s="495"/>
      <c r="R62" s="495"/>
      <c r="S62" s="495">
        <v>54.569482758620701</v>
      </c>
      <c r="T62" s="495"/>
      <c r="U62" s="495"/>
      <c r="V62" s="495"/>
      <c r="W62" s="495"/>
      <c r="X62" s="495"/>
      <c r="Y62" s="495"/>
      <c r="Z62" s="495"/>
      <c r="AA62" s="495">
        <f>IFERROR(AA59/AA61,"")</f>
        <v>44.413275862068964</v>
      </c>
      <c r="AB62" s="495"/>
      <c r="AC62" s="140"/>
      <c r="AD62" s="495"/>
      <c r="AE62" s="495"/>
      <c r="AF62" s="496">
        <f t="shared" si="11"/>
        <v>44.413275862068964</v>
      </c>
      <c r="AG62" s="495"/>
      <c r="AH62" s="495"/>
      <c r="AI62" s="496">
        <f t="shared" si="12"/>
        <v>44.413275862068964</v>
      </c>
    </row>
    <row r="63" spans="1:35" x14ac:dyDescent="0.35">
      <c r="A63" s="11"/>
      <c r="B63" s="11"/>
      <c r="C63" s="11"/>
      <c r="D63" s="11"/>
      <c r="E63" s="11"/>
      <c r="F63" s="11"/>
      <c r="G63" s="11"/>
      <c r="H63" s="88"/>
      <c r="I63" s="122"/>
      <c r="J63" s="122"/>
      <c r="K63" s="90"/>
      <c r="L63" s="90"/>
      <c r="M63" s="90"/>
      <c r="N63" s="491" t="s">
        <v>345</v>
      </c>
      <c r="O63" s="497">
        <f t="shared" ref="O63:AA63" si="13">ROUND(IFERROR(O59/O61,0),2)</f>
        <v>0</v>
      </c>
      <c r="P63" s="498">
        <f t="shared" si="13"/>
        <v>49.49</v>
      </c>
      <c r="Q63" s="498">
        <f t="shared" si="13"/>
        <v>0</v>
      </c>
      <c r="R63" s="498">
        <f t="shared" si="13"/>
        <v>0</v>
      </c>
      <c r="S63" s="498">
        <f t="shared" si="13"/>
        <v>54.57</v>
      </c>
      <c r="T63" s="498">
        <f t="shared" si="13"/>
        <v>0</v>
      </c>
      <c r="U63" s="498">
        <f t="shared" si="13"/>
        <v>0</v>
      </c>
      <c r="V63" s="498">
        <f t="shared" si="13"/>
        <v>0</v>
      </c>
      <c r="W63" s="498">
        <f t="shared" si="13"/>
        <v>0</v>
      </c>
      <c r="X63" s="498">
        <f t="shared" si="13"/>
        <v>0</v>
      </c>
      <c r="Y63" s="498">
        <f t="shared" si="13"/>
        <v>0</v>
      </c>
      <c r="Z63" s="498">
        <f t="shared" si="13"/>
        <v>0</v>
      </c>
      <c r="AA63" s="498">
        <f t="shared" si="13"/>
        <v>44.41</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43">
        <v>2790</v>
      </c>
      <c r="P65" s="143">
        <v>975</v>
      </c>
      <c r="Q65" s="143"/>
      <c r="R65" s="143"/>
      <c r="S65" s="143"/>
      <c r="T65" s="143"/>
      <c r="U65" s="143"/>
      <c r="V65" s="143"/>
      <c r="W65" s="143"/>
      <c r="X65" s="143"/>
      <c r="Y65" s="143"/>
      <c r="Z65" s="143"/>
      <c r="AA65" s="143">
        <f t="shared" ref="AA65:AA70" si="15">SUM(O65:Z65)</f>
        <v>3765</v>
      </c>
      <c r="AB65" s="144">
        <f>IF(AA65=0,"",IFERROR(AA65/AA$19,""))</f>
        <v>0.10136540410873154</v>
      </c>
      <c r="AC65" s="140"/>
      <c r="AD65" s="143"/>
      <c r="AE65" s="144" t="str">
        <f>IF(AD65=0,"",IFERROR(AD65/AD$19,""))</f>
        <v/>
      </c>
      <c r="AF65" s="145">
        <f t="shared" ref="AF65:AF71" si="16">IF(AND($AA65="",AD65=""),"",$AA65-AD65)</f>
        <v>3765</v>
      </c>
      <c r="AG65" s="143"/>
      <c r="AH65" s="144" t="str">
        <f>IF(AG65=0,"",IFERROR(AG65/AG$19,""))</f>
        <v/>
      </c>
      <c r="AI65" s="145">
        <f t="shared" ref="AI65:AI71" si="17">IF(AND($AA65="",AG65=""),"",$AA65-AG65)</f>
        <v>3765</v>
      </c>
    </row>
    <row r="66" spans="1:35" x14ac:dyDescent="0.3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43">
        <v>689</v>
      </c>
      <c r="P66" s="143"/>
      <c r="Q66" s="143"/>
      <c r="R66" s="143"/>
      <c r="S66" s="143"/>
      <c r="T66" s="143"/>
      <c r="U66" s="143"/>
      <c r="V66" s="143"/>
      <c r="W66" s="143"/>
      <c r="X66" s="143"/>
      <c r="Y66" s="143"/>
      <c r="Z66" s="143"/>
      <c r="AA66" s="143">
        <f t="shared" si="15"/>
        <v>689</v>
      </c>
      <c r="AB66" s="144">
        <f>IF(AA66=0,"",IFERROR(AA66/AA$19,""))</f>
        <v>1.8550003567308376E-2</v>
      </c>
      <c r="AC66" s="140"/>
      <c r="AD66" s="143"/>
      <c r="AE66" s="144" t="str">
        <f>IF(AD66=0,"",IFERROR(AD66/AD$19,""))</f>
        <v/>
      </c>
      <c r="AF66" s="145">
        <f t="shared" si="16"/>
        <v>689</v>
      </c>
      <c r="AG66" s="143"/>
      <c r="AH66" s="144" t="str">
        <f>IF(AG66=0,"",IFERROR(AG66/AG$19,""))</f>
        <v/>
      </c>
      <c r="AI66" s="145">
        <f t="shared" si="17"/>
        <v>689</v>
      </c>
    </row>
    <row r="67" spans="1:35" x14ac:dyDescent="0.3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43">
        <v>125</v>
      </c>
      <c r="P67" s="143"/>
      <c r="Q67" s="143"/>
      <c r="R67" s="143"/>
      <c r="S67" s="143"/>
      <c r="T67" s="143"/>
      <c r="U67" s="143"/>
      <c r="V67" s="143"/>
      <c r="W67" s="143"/>
      <c r="X67" s="143"/>
      <c r="Y67" s="143"/>
      <c r="Z67" s="143"/>
      <c r="AA67" s="143">
        <f t="shared" si="15"/>
        <v>125</v>
      </c>
      <c r="AB67" s="144">
        <f>IF(AA67=0,"",IFERROR(AA67/AA$19,""))</f>
        <v>3.3653852625740886E-3</v>
      </c>
      <c r="AC67" s="140"/>
      <c r="AD67" s="143"/>
      <c r="AE67" s="144" t="str">
        <f>IF(AD67=0,"",IFERROR(AD67/AD$19,""))</f>
        <v/>
      </c>
      <c r="AF67" s="145">
        <f t="shared" si="16"/>
        <v>125</v>
      </c>
      <c r="AG67" s="143"/>
      <c r="AH67" s="144" t="str">
        <f>IF(AG67=0,"",IFERROR(AG67/AG$19,""))</f>
        <v/>
      </c>
      <c r="AI67" s="145">
        <f t="shared" si="17"/>
        <v>125</v>
      </c>
    </row>
    <row r="68" spans="1:35" x14ac:dyDescent="0.3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7">
        <v>104</v>
      </c>
      <c r="P68" s="217">
        <v>1500</v>
      </c>
      <c r="Q68" s="217"/>
      <c r="R68" s="217"/>
      <c r="S68" s="217"/>
      <c r="T68" s="217"/>
      <c r="U68" s="217"/>
      <c r="V68" s="217"/>
      <c r="W68" s="217">
        <v>504</v>
      </c>
      <c r="X68" s="217"/>
      <c r="Y68" s="217"/>
      <c r="Z68" s="217"/>
      <c r="AA68" s="217">
        <f t="shared" si="15"/>
        <v>2108</v>
      </c>
      <c r="AB68" s="219">
        <f>IF(AA68=0,"",IFERROR(AA68/AA$19,""))</f>
        <v>5.6753857068049425E-2</v>
      </c>
      <c r="AC68" s="140"/>
      <c r="AD68" s="217"/>
      <c r="AE68" s="219" t="str">
        <f>IF(AD68=0,"",IFERROR(AD68/AD$19,""))</f>
        <v/>
      </c>
      <c r="AF68" s="220">
        <f t="shared" si="16"/>
        <v>2108</v>
      </c>
      <c r="AG68" s="217"/>
      <c r="AH68" s="219" t="str">
        <f>IF(AG68=0,"",IFERROR(AG68/AG$19,""))</f>
        <v/>
      </c>
      <c r="AI68" s="220">
        <f t="shared" si="17"/>
        <v>2108</v>
      </c>
    </row>
    <row r="69" spans="1:35" x14ac:dyDescent="0.3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6">
        <v>3708</v>
      </c>
      <c r="P69" s="166">
        <v>2475</v>
      </c>
      <c r="Q69" s="166"/>
      <c r="R69" s="166"/>
      <c r="S69" s="166"/>
      <c r="T69" s="166"/>
      <c r="U69" s="166"/>
      <c r="V69" s="166"/>
      <c r="W69" s="166">
        <v>504</v>
      </c>
      <c r="X69" s="166"/>
      <c r="Y69" s="166"/>
      <c r="Z69" s="166"/>
      <c r="AA69" s="166">
        <f t="shared" si="15"/>
        <v>6687</v>
      </c>
      <c r="AB69" s="167">
        <f>IF(AA69=0,"",IFERROR(AA69/AA$19,""))</f>
        <v>0.18003465000666344</v>
      </c>
      <c r="AC69" s="140"/>
      <c r="AD69" s="166"/>
      <c r="AE69" s="167" t="str">
        <f>IF(AD69=0,"",IFERROR(AD69/AD$19,""))</f>
        <v/>
      </c>
      <c r="AF69" s="168">
        <f t="shared" si="16"/>
        <v>6687</v>
      </c>
      <c r="AG69" s="166"/>
      <c r="AH69" s="167" t="str">
        <f>IF(AG69=0,"",IFERROR(AG69/AG$19,""))</f>
        <v/>
      </c>
      <c r="AI69" s="168">
        <f t="shared" si="17"/>
        <v>6687</v>
      </c>
    </row>
    <row r="70" spans="1:35" x14ac:dyDescent="0.3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10">
        <v>30</v>
      </c>
      <c r="P70" s="210">
        <v>75</v>
      </c>
      <c r="Q70" s="210"/>
      <c r="R70" s="210"/>
      <c r="S70" s="210"/>
      <c r="T70" s="210"/>
      <c r="U70" s="210"/>
      <c r="V70" s="210"/>
      <c r="W70" s="210"/>
      <c r="X70" s="210"/>
      <c r="Y70" s="210"/>
      <c r="Z70" s="210"/>
      <c r="AA70" s="210">
        <f t="shared" si="15"/>
        <v>105</v>
      </c>
      <c r="AB70" s="211">
        <f>IF(AA70=0,"",IFERROR(AA70/AA$83,""))</f>
        <v>0.13427109974424553</v>
      </c>
      <c r="AC70" s="140"/>
      <c r="AD70" s="210"/>
      <c r="AE70" s="211" t="str">
        <f>IF(AD70=0,"",IFERROR(AD70/AD$83,""))</f>
        <v/>
      </c>
      <c r="AF70" s="253">
        <f t="shared" si="16"/>
        <v>105</v>
      </c>
      <c r="AG70" s="210"/>
      <c r="AH70" s="211" t="str">
        <f>IF(AG70=0,"",IFERROR(AG70/AG$83,""))</f>
        <v/>
      </c>
      <c r="AI70" s="253">
        <f t="shared" si="17"/>
        <v>105</v>
      </c>
    </row>
    <row r="71" spans="1:35" x14ac:dyDescent="0.3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v>123.6</v>
      </c>
      <c r="P71" s="495">
        <v>33</v>
      </c>
      <c r="Q71" s="495"/>
      <c r="R71" s="495"/>
      <c r="S71" s="495"/>
      <c r="T71" s="495"/>
      <c r="U71" s="495"/>
      <c r="V71" s="495"/>
      <c r="W71" s="495"/>
      <c r="X71" s="495"/>
      <c r="Y71" s="495"/>
      <c r="Z71" s="495"/>
      <c r="AA71" s="495">
        <f>IFERROR(AA69/AA70,"")</f>
        <v>63.685714285714283</v>
      </c>
      <c r="AB71" s="495"/>
      <c r="AC71" s="140"/>
      <c r="AD71" s="495"/>
      <c r="AE71" s="495"/>
      <c r="AF71" s="496">
        <f t="shared" si="16"/>
        <v>63.685714285714283</v>
      </c>
      <c r="AG71" s="495"/>
      <c r="AH71" s="495"/>
      <c r="AI71" s="496">
        <f t="shared" si="17"/>
        <v>63.685714285714283</v>
      </c>
    </row>
    <row r="72" spans="1:35" x14ac:dyDescent="0.35">
      <c r="A72" s="11"/>
      <c r="B72" s="11"/>
      <c r="C72" s="11"/>
      <c r="D72" s="11"/>
      <c r="E72" s="11"/>
      <c r="F72" s="11"/>
      <c r="G72" s="11"/>
      <c r="H72" s="88"/>
      <c r="I72" s="122"/>
      <c r="J72" s="122"/>
      <c r="K72" s="90"/>
      <c r="L72" s="90"/>
      <c r="M72" s="90"/>
      <c r="N72" s="491" t="s">
        <v>345</v>
      </c>
      <c r="O72" s="497">
        <f t="shared" ref="O72:AA72" si="18">ROUND(IFERROR(O69/O70,0),2)</f>
        <v>123.6</v>
      </c>
      <c r="P72" s="498">
        <f t="shared" si="18"/>
        <v>33</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0</v>
      </c>
      <c r="Z72" s="498">
        <f t="shared" si="18"/>
        <v>0</v>
      </c>
      <c r="AA72" s="498">
        <f t="shared" si="18"/>
        <v>63.69</v>
      </c>
      <c r="AB72" s="499"/>
      <c r="AC72" s="140"/>
      <c r="AD72" s="497">
        <f>ROUND(IFERROR(AD69/AD70,0),2)</f>
        <v>0</v>
      </c>
      <c r="AE72" s="498"/>
      <c r="AF72" s="159"/>
      <c r="AG72" s="497">
        <f>ROUND(IFERROR(AG69/AG70,0),2)</f>
        <v>0</v>
      </c>
      <c r="AH72" s="498"/>
      <c r="AI72" s="159"/>
    </row>
    <row r="73" spans="1:35" x14ac:dyDescent="0.3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b">
        <f t="shared" si="19"/>
        <v>1</v>
      </c>
      <c r="AB73" s="502"/>
      <c r="AC73" s="503"/>
      <c r="AD73" s="500"/>
      <c r="AE73" s="501" t="b">
        <f>ROUND(AD71,2)=ROUND(AD72,2)</f>
        <v>1</v>
      </c>
      <c r="AF73" s="502"/>
      <c r="AG73" s="500"/>
      <c r="AH73" s="501" t="b">
        <f>ROUND(AG71,2)=ROUND(AG72,2)</f>
        <v>1</v>
      </c>
      <c r="AI73" s="502"/>
    </row>
    <row r="74" spans="1:35" x14ac:dyDescent="0.3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43">
        <v>575</v>
      </c>
      <c r="P74" s="143">
        <v>1127</v>
      </c>
      <c r="Q74" s="143"/>
      <c r="R74" s="143"/>
      <c r="S74" s="143"/>
      <c r="T74" s="143"/>
      <c r="U74" s="143"/>
      <c r="V74" s="143"/>
      <c r="W74" s="143"/>
      <c r="X74" s="143"/>
      <c r="Y74" s="143"/>
      <c r="Z74" s="143"/>
      <c r="AA74" s="143">
        <f>SUM(O74:Z74)</f>
        <v>1702</v>
      </c>
      <c r="AB74" s="144">
        <f>IF(AA74=0,"",IFERROR(AA74/AA$19,""))</f>
        <v>4.5823085735208789E-2</v>
      </c>
      <c r="AC74" s="140"/>
      <c r="AD74" s="143"/>
      <c r="AE74" s="144" t="str">
        <f>IF(AD74=0,"",IFERROR(AD74/AD$19,""))</f>
        <v/>
      </c>
      <c r="AF74" s="145">
        <f>IF(AND($AA74="",AD74=""),"",$AA74-AD74)</f>
        <v>1702</v>
      </c>
      <c r="AG74" s="143">
        <v>573</v>
      </c>
      <c r="AH74" s="144">
        <f>IF(AG74=0,"",IFERROR(AG74/AG$19,""))</f>
        <v>0.21945614707008809</v>
      </c>
      <c r="AI74" s="145">
        <f>IF(AND($AA74="",AG74=""),"",$AA74-AG74)</f>
        <v>1129</v>
      </c>
    </row>
    <row r="75" spans="1:35" x14ac:dyDescent="0.3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6">
        <v>575</v>
      </c>
      <c r="P75" s="166">
        <v>1127</v>
      </c>
      <c r="Q75" s="166"/>
      <c r="R75" s="166"/>
      <c r="S75" s="166"/>
      <c r="T75" s="166"/>
      <c r="U75" s="166"/>
      <c r="V75" s="166"/>
      <c r="W75" s="166"/>
      <c r="X75" s="166"/>
      <c r="Y75" s="166"/>
      <c r="Z75" s="166"/>
      <c r="AA75" s="166">
        <f>SUM(O75:Z75)</f>
        <v>1702</v>
      </c>
      <c r="AB75" s="167">
        <f>IF(AA75=0,"",IFERROR(AA75/AA$19,""))</f>
        <v>4.5823085735208789E-2</v>
      </c>
      <c r="AC75" s="140"/>
      <c r="AD75" s="166"/>
      <c r="AE75" s="167" t="str">
        <f>IF(AD75=0,"",IFERROR(AD75/AD$19,""))</f>
        <v/>
      </c>
      <c r="AF75" s="168">
        <f>IF(AND($AA75="",AD75=""),"",$AA75-AD75)</f>
        <v>1702</v>
      </c>
      <c r="AG75" s="166">
        <v>573</v>
      </c>
      <c r="AH75" s="167">
        <f>IF(AG75=0,"",IFERROR(AG75/AG$19,""))</f>
        <v>0.21945614707008809</v>
      </c>
      <c r="AI75" s="168">
        <f>IF(AND($AA75="",AG75=""),"",$AA75-AG75)</f>
        <v>1129</v>
      </c>
    </row>
    <row r="76" spans="1:35" x14ac:dyDescent="0.3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10">
        <v>25</v>
      </c>
      <c r="P76" s="210">
        <v>47</v>
      </c>
      <c r="Q76" s="210"/>
      <c r="R76" s="210"/>
      <c r="S76" s="210"/>
      <c r="T76" s="210"/>
      <c r="U76" s="210"/>
      <c r="V76" s="210"/>
      <c r="W76" s="210"/>
      <c r="X76" s="210"/>
      <c r="Y76" s="210"/>
      <c r="Z76" s="210"/>
      <c r="AA76" s="210">
        <f>SUM(O76:Z76)</f>
        <v>72</v>
      </c>
      <c r="AB76" s="211">
        <f>IF(AA76=0,"",IFERROR(AA76/AA$83,""))</f>
        <v>9.2071611253196933E-2</v>
      </c>
      <c r="AC76" s="140"/>
      <c r="AD76" s="210"/>
      <c r="AE76" s="211" t="str">
        <f>IF(AD76=0,"",IFERROR(AD76/AD$83,""))</f>
        <v/>
      </c>
      <c r="AF76" s="253">
        <f>IF(AND($AA76="",AD76=""),"",$AA76-AD76)</f>
        <v>72</v>
      </c>
      <c r="AG76" s="210">
        <v>16</v>
      </c>
      <c r="AH76" s="211">
        <f>IF(AG76=0,"",IFERROR(AG76/AG$83,""))</f>
        <v>0.18181818181818182</v>
      </c>
      <c r="AI76" s="253">
        <f>IF(AND($AA76="",AG76=""),"",$AA76-AG76)</f>
        <v>56</v>
      </c>
    </row>
    <row r="77" spans="1:35" x14ac:dyDescent="0.3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v>23</v>
      </c>
      <c r="P77" s="495">
        <v>23.978723404255302</v>
      </c>
      <c r="Q77" s="495"/>
      <c r="R77" s="495"/>
      <c r="S77" s="495"/>
      <c r="T77" s="495"/>
      <c r="U77" s="495"/>
      <c r="V77" s="495"/>
      <c r="W77" s="495"/>
      <c r="X77" s="495"/>
      <c r="Y77" s="495"/>
      <c r="Z77" s="495"/>
      <c r="AA77" s="495">
        <f>IFERROR(AA75/AA76,"")</f>
        <v>23.638888888888889</v>
      </c>
      <c r="AB77" s="495"/>
      <c r="AC77" s="140"/>
      <c r="AD77" s="495"/>
      <c r="AE77" s="495"/>
      <c r="AF77" s="496">
        <f>IF(AND($AA77="",AD77=""),"",$AA77-AD77)</f>
        <v>23.638888888888889</v>
      </c>
      <c r="AG77" s="495">
        <v>35.8125</v>
      </c>
      <c r="AH77" s="495"/>
      <c r="AI77" s="496">
        <f>IF(AND($AA77="",AG77=""),"",$AA77-AG77)</f>
        <v>-12.173611111111111</v>
      </c>
    </row>
    <row r="78" spans="1:35" x14ac:dyDescent="0.35">
      <c r="A78" s="11"/>
      <c r="B78" s="11"/>
      <c r="C78" s="208"/>
      <c r="D78" s="11"/>
      <c r="E78" s="11"/>
      <c r="F78" s="11"/>
      <c r="G78" s="11"/>
      <c r="H78" s="88"/>
      <c r="I78" s="122"/>
      <c r="J78" s="122"/>
      <c r="K78" s="90"/>
      <c r="L78" s="90"/>
      <c r="M78" s="90"/>
      <c r="N78" s="491" t="s">
        <v>345</v>
      </c>
      <c r="O78" s="497">
        <f t="shared" ref="O78:AA78" si="20">ROUND(IFERROR(O75/O76,0),2)</f>
        <v>23</v>
      </c>
      <c r="P78" s="498">
        <f t="shared" si="20"/>
        <v>23.98</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23.64</v>
      </c>
      <c r="AB78" s="499"/>
      <c r="AC78" s="140"/>
      <c r="AD78" s="497">
        <f>ROUND(IFERROR(AD75/AD76,0),2)</f>
        <v>0</v>
      </c>
      <c r="AE78" s="498"/>
      <c r="AF78" s="159"/>
      <c r="AG78" s="497">
        <f>ROUND(IFERROR(AG75/AG76,0),2)</f>
        <v>35.81</v>
      </c>
      <c r="AH78" s="498"/>
      <c r="AI78" s="159"/>
    </row>
    <row r="79" spans="1:35" x14ac:dyDescent="0.3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b">
        <f t="shared" si="21"/>
        <v>1</v>
      </c>
      <c r="AB79" s="502"/>
      <c r="AC79" s="503"/>
      <c r="AD79" s="500"/>
      <c r="AE79" s="501" t="b">
        <f>ROUND(AD77,2)=ROUND(AD78,2)</f>
        <v>1</v>
      </c>
      <c r="AF79" s="502"/>
      <c r="AG79" s="500"/>
      <c r="AH79" s="501" t="b">
        <f>ROUND(AG77,2)=ROUND(AG78,2)</f>
        <v>1</v>
      </c>
      <c r="AI79" s="502"/>
    </row>
    <row r="80" spans="1:35" x14ac:dyDescent="0.3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43"/>
      <c r="P80" s="143"/>
      <c r="Q80" s="143"/>
      <c r="R80" s="143"/>
      <c r="S80" s="143"/>
      <c r="T80" s="143"/>
      <c r="U80" s="143"/>
      <c r="V80" s="143"/>
      <c r="W80" s="143"/>
      <c r="X80" s="143"/>
      <c r="Y80" s="143"/>
      <c r="Z80" s="143"/>
      <c r="AA80" s="143">
        <f>SUM(O80:Z80)</f>
        <v>0</v>
      </c>
      <c r="AB80" s="144" t="str">
        <f>IF(AA80=0,"",IFERROR(AA80/AA$19,""))</f>
        <v/>
      </c>
      <c r="AC80" s="140"/>
      <c r="AD80" s="143"/>
      <c r="AE80" s="144" t="str">
        <f>IF(AD80=0,"",IFERROR(AD80/AD$19,""))</f>
        <v/>
      </c>
      <c r="AF80" s="145">
        <f>IF(AND($AA80="",AD80=""),"",$AA80-AD80)</f>
        <v>0</v>
      </c>
      <c r="AG80" s="143"/>
      <c r="AH80" s="144" t="str">
        <f>IF(AG80=0,"",IFERROR(AG80/AG$19,""))</f>
        <v/>
      </c>
      <c r="AI80" s="145">
        <f>IF(AND($AA80="",AG80=""),"",$AA80-AG80)</f>
        <v>0</v>
      </c>
    </row>
    <row r="81" spans="1:35" x14ac:dyDescent="0.3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3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v>21111.89</v>
      </c>
      <c r="P82" s="507">
        <v>26790.99</v>
      </c>
      <c r="Q82" s="507">
        <v>-375</v>
      </c>
      <c r="R82" s="507"/>
      <c r="S82" s="507">
        <v>-11139.03</v>
      </c>
      <c r="T82" s="507"/>
      <c r="U82" s="507"/>
      <c r="V82" s="507"/>
      <c r="W82" s="507">
        <v>504</v>
      </c>
      <c r="X82" s="507">
        <v>250</v>
      </c>
      <c r="Y82" s="507"/>
      <c r="Z82" s="507"/>
      <c r="AA82" s="507">
        <f>SUM(O82:Z82)</f>
        <v>37142.850000000006</v>
      </c>
      <c r="AB82" s="508">
        <f>IF(AA82=0,"",IFERROR(AA82/AA$19,""))</f>
        <v>1</v>
      </c>
      <c r="AC82" s="140"/>
      <c r="AD82" s="507"/>
      <c r="AE82" s="508" t="str">
        <f>IF(AD82=0,"",IFERROR(AD82/AD$19,""))</f>
        <v/>
      </c>
      <c r="AF82" s="509">
        <f>IF(AND($AA82="",AD82=""),"",$AA82-AD82)</f>
        <v>37142.850000000006</v>
      </c>
      <c r="AG82" s="507">
        <v>2611</v>
      </c>
      <c r="AH82" s="508">
        <f>IF(AG82=0,"",IFERROR(AG82/AG$19,""))</f>
        <v>1</v>
      </c>
      <c r="AI82" s="509">
        <f>IF(AND($AA82="",AG82=""),"",$AA82-AG82)</f>
        <v>34531.850000000006</v>
      </c>
    </row>
    <row r="83" spans="1:35" x14ac:dyDescent="0.35">
      <c r="A83" s="11"/>
      <c r="B83" s="11"/>
      <c r="C83" s="208"/>
      <c r="D83" s="11"/>
      <c r="E83" s="11"/>
      <c r="F83" s="11"/>
      <c r="G83" s="11"/>
      <c r="H83" s="185" t="s">
        <v>331</v>
      </c>
      <c r="I83" s="122" t="str">
        <f>IF(_epmOfflineCondition_,"T2",_xll.EVPRO($B$1,$H83,"STYLE"))</f>
        <v>T2</v>
      </c>
      <c r="J83" s="122" t="str">
        <f>IF(_epmOfflineCondition_,"Y",_xll.EVPRO($B$1,$H83,"CALC"))</f>
        <v>Y</v>
      </c>
      <c r="K83" s="11"/>
      <c r="L83" s="90" t="str">
        <f>IF(_epmOfflineCondition_,"946000",_xll.EVPRO($B$1,H83,"JDEID"))</f>
        <v>946000</v>
      </c>
      <c r="M83" s="90" t="str">
        <f>IF(_epmOfflineCondition_,"",IF(AND(I83="N",J83="N"),_xll.EVPRO($B$1,H83,"PSFTID"),""))</f>
        <v/>
      </c>
      <c r="N83" s="90" t="str">
        <f>IF(_epmOfflineCondition_,"Total Customers",IF(_xll.EVDES(H83,$B$1)="#NODATA","",_xll.EVDES(H83,$B$1)))</f>
        <v>Total Customers</v>
      </c>
      <c r="O83" s="507">
        <v>359</v>
      </c>
      <c r="P83" s="507">
        <v>693</v>
      </c>
      <c r="Q83" s="507">
        <v>10</v>
      </c>
      <c r="R83" s="507"/>
      <c r="S83" s="507">
        <v>-280</v>
      </c>
      <c r="T83" s="507"/>
      <c r="U83" s="507"/>
      <c r="V83" s="507"/>
      <c r="W83" s="507"/>
      <c r="X83" s="507"/>
      <c r="Y83" s="507"/>
      <c r="Z83" s="507"/>
      <c r="AA83" s="507">
        <f>SUM(O83:Z83)</f>
        <v>782</v>
      </c>
      <c r="AB83" s="508">
        <f>IF(AA83=0,"",IFERROR(AA83/AA$20,""))</f>
        <v>1</v>
      </c>
      <c r="AC83" s="140"/>
      <c r="AD83" s="507"/>
      <c r="AE83" s="508" t="str">
        <f>IF(AD83=0,"",IFERROR(AD83/AD$20,""))</f>
        <v/>
      </c>
      <c r="AF83" s="509">
        <f>IF(AND($AA83="",AD83=""),"",$AA83-AD83)</f>
        <v>782</v>
      </c>
      <c r="AG83" s="507">
        <v>88</v>
      </c>
      <c r="AH83" s="508">
        <f>IF(AG83=0,"",IFERROR(AG83/AG$20,""))</f>
        <v>6.8535825545171333E-2</v>
      </c>
      <c r="AI83" s="509">
        <f>IF(AND($AA83="",AG83=""),"",$AA83-AG83)</f>
        <v>694</v>
      </c>
    </row>
    <row r="84" spans="1:35" x14ac:dyDescent="0.35">
      <c r="A84" s="11"/>
      <c r="B84" s="11"/>
      <c r="C84" s="208"/>
      <c r="D84" s="11"/>
      <c r="E84" s="11"/>
      <c r="F84" s="11"/>
      <c r="G84" s="11"/>
      <c r="H84" s="185" t="s">
        <v>311</v>
      </c>
      <c r="I84" s="122" t="str">
        <f>IF(_epmOfflineCondition_,"N",_xll.EVPRO($B$1,$H84,"STYLE"))</f>
        <v>N</v>
      </c>
      <c r="J84" s="122" t="str">
        <f>IF(_epmOfflineCondition_,"Y",_xll.EVPRO($B$1,$H84,"CALC"))</f>
        <v>Y</v>
      </c>
      <c r="K84" s="11"/>
      <c r="L84" s="90"/>
      <c r="M84" s="90"/>
      <c r="N84" s="90" t="str">
        <f>IF(_epmOfflineCondition_,"Total Average Check",IF(_xll.EVDES(H84,$B$1)="#NODATA","",_xll.EVDES(H84,$B$1)))</f>
        <v>Total Average Check</v>
      </c>
      <c r="O84" s="495">
        <v>58.807493036211703</v>
      </c>
      <c r="P84" s="495">
        <v>38.659437229437202</v>
      </c>
      <c r="Q84" s="495">
        <v>-37.5</v>
      </c>
      <c r="R84" s="495"/>
      <c r="S84" s="495">
        <v>39.782249999999998</v>
      </c>
      <c r="T84" s="495"/>
      <c r="U84" s="495"/>
      <c r="V84" s="495"/>
      <c r="W84" s="495"/>
      <c r="X84" s="495"/>
      <c r="Y84" s="495"/>
      <c r="Z84" s="495"/>
      <c r="AA84" s="495">
        <f>IFERROR(AA82/AA83,"")</f>
        <v>47.497250639386195</v>
      </c>
      <c r="AB84" s="495"/>
      <c r="AC84" s="140"/>
      <c r="AD84" s="495"/>
      <c r="AE84" s="495"/>
      <c r="AF84" s="496">
        <f>IF(AND($AA84="",AD84=""),"",$AA84-AD84)</f>
        <v>47.497250639386195</v>
      </c>
      <c r="AG84" s="495">
        <v>29.670454545454501</v>
      </c>
      <c r="AH84" s="495"/>
      <c r="AI84" s="496">
        <f>IF(AND($AA84="",AG84=""),"",$AA84-AG84)</f>
        <v>17.826796093931694</v>
      </c>
    </row>
    <row r="85" spans="1:35" x14ac:dyDescent="0.35">
      <c r="A85" s="11"/>
      <c r="B85" s="11"/>
      <c r="C85" s="208"/>
      <c r="D85" s="11"/>
      <c r="E85" s="11"/>
      <c r="F85" s="11"/>
      <c r="G85" s="11"/>
      <c r="H85" s="185"/>
      <c r="I85" s="122"/>
      <c r="J85" s="122"/>
      <c r="K85" s="11"/>
      <c r="L85" s="90"/>
      <c r="M85" s="90"/>
      <c r="N85" s="90"/>
      <c r="O85" s="174"/>
      <c r="P85" s="175"/>
      <c r="Q85" s="175"/>
      <c r="R85" s="175"/>
      <c r="S85" s="175"/>
      <c r="T85" s="175"/>
      <c r="U85" s="175"/>
      <c r="V85" s="175"/>
      <c r="W85" s="175"/>
      <c r="X85" s="175"/>
      <c r="Y85" s="175"/>
      <c r="Z85" s="175"/>
      <c r="AA85" s="175"/>
      <c r="AB85" s="176"/>
      <c r="AC85" s="140"/>
      <c r="AD85" s="174"/>
      <c r="AE85" s="175"/>
      <c r="AF85" s="176"/>
      <c r="AG85" s="174"/>
      <c r="AH85" s="175"/>
      <c r="AI85" s="176"/>
    </row>
    <row r="86" spans="1:35" x14ac:dyDescent="0.35">
      <c r="A86" s="11"/>
      <c r="B86" s="11"/>
      <c r="C86" s="208"/>
      <c r="D86" s="11"/>
      <c r="E86" s="11"/>
      <c r="F86" s="11"/>
      <c r="G86" s="11"/>
      <c r="H86" s="185"/>
      <c r="I86" s="122"/>
      <c r="J86" s="122"/>
      <c r="K86" s="11"/>
      <c r="L86" s="90"/>
      <c r="M86" s="90"/>
      <c r="N86" s="53" t="s">
        <v>343</v>
      </c>
      <c r="O86" s="514"/>
      <c r="P86" s="459"/>
      <c r="Q86" s="459"/>
      <c r="R86" s="459"/>
      <c r="S86" s="459"/>
      <c r="T86" s="459"/>
      <c r="U86" s="459"/>
      <c r="V86" s="459"/>
      <c r="W86" s="459"/>
      <c r="X86" s="459"/>
      <c r="Y86" s="459"/>
      <c r="Z86" s="459"/>
      <c r="AA86" s="459"/>
      <c r="AB86" s="515"/>
      <c r="AC86" s="140"/>
      <c r="AD86" s="516"/>
      <c r="AE86" s="517"/>
      <c r="AF86" s="161"/>
      <c r="AG86" s="459"/>
      <c r="AH86" s="517"/>
      <c r="AI86" s="161"/>
    </row>
    <row r="87" spans="1:35" x14ac:dyDescent="0.35">
      <c r="A87" s="11"/>
      <c r="B87" s="11"/>
      <c r="C87" s="208"/>
      <c r="D87" s="11"/>
      <c r="E87" s="11"/>
      <c r="F87" s="11"/>
      <c r="G87" s="11"/>
      <c r="H87" s="185"/>
      <c r="I87" s="122"/>
      <c r="J87" s="122"/>
      <c r="K87" s="11"/>
      <c r="L87" s="90"/>
      <c r="M87" s="90"/>
      <c r="N87" s="53" t="s">
        <v>337</v>
      </c>
      <c r="O87" s="162"/>
      <c r="P87" s="163"/>
      <c r="Q87" s="163"/>
      <c r="R87" s="163"/>
      <c r="S87" s="163"/>
      <c r="T87" s="163"/>
      <c r="U87" s="163"/>
      <c r="V87" s="163"/>
      <c r="W87" s="163"/>
      <c r="X87" s="163"/>
      <c r="Y87" s="163"/>
      <c r="Z87" s="163"/>
      <c r="AA87" s="163"/>
      <c r="AB87" s="164"/>
      <c r="AC87" s="140"/>
      <c r="AD87" s="162"/>
      <c r="AE87" s="163"/>
      <c r="AF87" s="164"/>
      <c r="AG87" s="163"/>
      <c r="AH87" s="163"/>
      <c r="AI87" s="164"/>
    </row>
    <row r="88" spans="1:35" x14ac:dyDescent="0.35">
      <c r="A88" s="11"/>
      <c r="B88" s="11"/>
      <c r="C88" s="208"/>
      <c r="D88" s="11"/>
      <c r="E88" s="11"/>
      <c r="F88" s="11"/>
      <c r="G88" s="11"/>
      <c r="H88" s="185" t="s">
        <v>294</v>
      </c>
      <c r="I88" s="122"/>
      <c r="J88" s="122"/>
      <c r="K88" s="11"/>
      <c r="L88" s="90" t="str">
        <f>IF(_epmOfflineCondition_,"461200",_xll.EVPRO($B$1,H88,"JDEID"))</f>
        <v>461200</v>
      </c>
      <c r="M88" s="90" t="str">
        <f>IF(_epmOfflineCondition_,"",IF(AND(I88="N",J88="N"),_xll.EVPRO($B$1,H88,"PSFTID"),""))</f>
        <v/>
      </c>
      <c r="N88" s="90" t="str">
        <f>IF(_epmOfflineCondition_,"Breakfast Liquor",IF(_xll.EVDES(H88,$B$1)="#NODATA","",_xll.EVDES(H88,$B$1)))</f>
        <v>Breakfast Liquor</v>
      </c>
      <c r="O88" s="143"/>
      <c r="P88" s="143">
        <v>258.99</v>
      </c>
      <c r="Q88" s="143"/>
      <c r="R88" s="143"/>
      <c r="S88" s="143"/>
      <c r="T88" s="143"/>
      <c r="U88" s="143"/>
      <c r="V88" s="143"/>
      <c r="W88" s="143"/>
      <c r="X88" s="143"/>
      <c r="Y88" s="143"/>
      <c r="Z88" s="143"/>
      <c r="AA88" s="143">
        <f>SUM(O88:Z88)</f>
        <v>258.99</v>
      </c>
      <c r="AB88" s="144">
        <f>IF(AA88=0,"",IFERROR(AA88/AA$19,""))</f>
        <v>6.9728090332325052E-3</v>
      </c>
      <c r="AC88" s="140"/>
      <c r="AD88" s="143"/>
      <c r="AE88" s="144" t="str">
        <f>IF(AD88=0,"",IFERROR(AD88/AD$19,""))</f>
        <v/>
      </c>
      <c r="AF88" s="145">
        <f>IF(AND($AA88="",AD88=""),"",$AA88-AD88)</f>
        <v>258.99</v>
      </c>
      <c r="AG88" s="143"/>
      <c r="AH88" s="144" t="str">
        <f>IF(AG88=0,"",IFERROR(AG88/AG$19,""))</f>
        <v/>
      </c>
      <c r="AI88" s="145">
        <f>IF(AND($AA88="",AG88=""),"",$AA88-AG88)</f>
        <v>258.99</v>
      </c>
    </row>
    <row r="89" spans="1:35" x14ac:dyDescent="0.35">
      <c r="A89" s="11"/>
      <c r="B89" s="11"/>
      <c r="C89" s="208"/>
      <c r="D89" s="11"/>
      <c r="E89" s="11"/>
      <c r="F89" s="11"/>
      <c r="G89" s="11"/>
      <c r="H89" s="185" t="s">
        <v>301</v>
      </c>
      <c r="I89" s="122"/>
      <c r="J89" s="122"/>
      <c r="K89" s="11"/>
      <c r="L89" s="90" t="str">
        <f>IF(_epmOfflineCondition_,"462200",_xll.EVPRO($B$1,H89,"JDEID"))</f>
        <v>462200</v>
      </c>
      <c r="M89" s="90" t="str">
        <f>IF(_epmOfflineCondition_,"",IF(AND(I89="N",J89="N"),_xll.EVPRO($B$1,H89,"PSFTID"),""))</f>
        <v/>
      </c>
      <c r="N89" s="90" t="str">
        <f>IF(_epmOfflineCondition_,"Lunch Liquor",IF(_xll.EVDES(H89,$B$1)="#NODATA","",_xll.EVDES(H89,$B$1)))</f>
        <v>Lunch Liquor</v>
      </c>
      <c r="O89" s="143"/>
      <c r="P89" s="143">
        <v>7</v>
      </c>
      <c r="Q89" s="143"/>
      <c r="R89" s="143"/>
      <c r="S89" s="143"/>
      <c r="T89" s="143"/>
      <c r="U89" s="143"/>
      <c r="V89" s="143"/>
      <c r="W89" s="143"/>
      <c r="X89" s="143"/>
      <c r="Y89" s="143"/>
      <c r="Z89" s="143"/>
      <c r="AA89" s="143">
        <f>SUM(O89:Z89)</f>
        <v>7</v>
      </c>
      <c r="AB89" s="144">
        <f>IF(AA89=0,"",IFERROR(AA89/AA$19,""))</f>
        <v>1.8846157470414895E-4</v>
      </c>
      <c r="AC89" s="140"/>
      <c r="AD89" s="143"/>
      <c r="AE89" s="144" t="str">
        <f>IF(AD89=0,"",IFERROR(AD89/AD$19,""))</f>
        <v/>
      </c>
      <c r="AF89" s="145">
        <f>IF(AND($AA89="",AD89=""),"",$AA89-AD89)</f>
        <v>7</v>
      </c>
      <c r="AG89" s="143"/>
      <c r="AH89" s="144" t="str">
        <f>IF(AG89=0,"",IFERROR(AG89/AG$19,""))</f>
        <v/>
      </c>
      <c r="AI89" s="145">
        <f>IF(AND($AA89="",AG89=""),"",$AA89-AG89)</f>
        <v>7</v>
      </c>
    </row>
    <row r="90" spans="1:35" x14ac:dyDescent="0.35">
      <c r="A90" s="11"/>
      <c r="B90" s="11"/>
      <c r="C90" s="208"/>
      <c r="D90" s="11"/>
      <c r="E90" s="11"/>
      <c r="F90" s="11"/>
      <c r="G90" s="11"/>
      <c r="H90" s="185" t="s">
        <v>302</v>
      </c>
      <c r="I90" s="122"/>
      <c r="J90" s="122"/>
      <c r="K90" s="11"/>
      <c r="L90" s="90" t="str">
        <f>IF(_epmOfflineCondition_,"463200",_xll.EVPRO($B$1,H90,"JDEID"))</f>
        <v>463200</v>
      </c>
      <c r="M90" s="90" t="str">
        <f>IF(_epmOfflineCondition_,"",IF(AND(I90="N",J90="N"),_xll.EVPRO($B$1,H90,"PSFTID"),""))</f>
        <v/>
      </c>
      <c r="N90" s="90" t="str">
        <f>IF(_epmOfflineCondition_,"Dinner Liquor",IF(_xll.EVDES(H90,$B$1)="#NODATA","",_xll.EVDES(H90,$B$1)))</f>
        <v>Dinner Liquor</v>
      </c>
      <c r="O90" s="143"/>
      <c r="P90" s="143">
        <v>962</v>
      </c>
      <c r="Q90" s="143"/>
      <c r="R90" s="143"/>
      <c r="S90" s="143"/>
      <c r="T90" s="143"/>
      <c r="U90" s="143"/>
      <c r="V90" s="143"/>
      <c r="W90" s="143"/>
      <c r="X90" s="143"/>
      <c r="Y90" s="143"/>
      <c r="Z90" s="143"/>
      <c r="AA90" s="143">
        <f>SUM(O90:Z90)</f>
        <v>962</v>
      </c>
      <c r="AB90" s="144">
        <f>IF(AA90=0,"",IFERROR(AA90/AA$19,""))</f>
        <v>2.5900004980770185E-2</v>
      </c>
      <c r="AC90" s="140"/>
      <c r="AD90" s="143"/>
      <c r="AE90" s="144" t="str">
        <f>IF(AD90=0,"",IFERROR(AD90/AD$19,""))</f>
        <v/>
      </c>
      <c r="AF90" s="145">
        <f>IF(AND($AA90="",AD90=""),"",$AA90-AD90)</f>
        <v>962</v>
      </c>
      <c r="AG90" s="143"/>
      <c r="AH90" s="144" t="str">
        <f>IF(AG90=0,"",IFERROR(AG90/AG$19,""))</f>
        <v/>
      </c>
      <c r="AI90" s="145">
        <f>IF(AND($AA90="",AG90=""),"",$AA90-AG90)</f>
        <v>962</v>
      </c>
    </row>
    <row r="91" spans="1:35" x14ac:dyDescent="0.35">
      <c r="A91" s="11"/>
      <c r="B91" s="11"/>
      <c r="C91" s="208"/>
      <c r="D91" s="11"/>
      <c r="E91" s="11"/>
      <c r="F91" s="11"/>
      <c r="G91" s="11"/>
      <c r="H91" s="185" t="s">
        <v>808</v>
      </c>
      <c r="I91" s="122"/>
      <c r="J91" s="122"/>
      <c r="K91" s="11"/>
      <c r="L91" s="90" t="str">
        <f>IF(_epmOfflineCondition_,"471210",_xll.EVPRO($B$1,H91,"JDEID"))</f>
        <v>471210</v>
      </c>
      <c r="M91" s="90" t="str">
        <f>IF(_epmOfflineCondition_,"",IF(AND(I91="N",J91="N"),_xll.EVPRO($B$1,H91,"PSFTID"),""))</f>
        <v/>
      </c>
      <c r="N91" s="90" t="str">
        <f>IF(_epmOfflineCondition_,"Reception Liquor",IF(_xll.EVDES(H91,$B$1)="#NODATA","",_xll.EVDES(H91,$B$1)))</f>
        <v>Reception Liquor</v>
      </c>
      <c r="O91" s="143">
        <v>689</v>
      </c>
      <c r="P91" s="143"/>
      <c r="Q91" s="143"/>
      <c r="R91" s="143"/>
      <c r="S91" s="143"/>
      <c r="T91" s="143"/>
      <c r="U91" s="143"/>
      <c r="V91" s="143"/>
      <c r="W91" s="143"/>
      <c r="X91" s="143"/>
      <c r="Y91" s="143"/>
      <c r="Z91" s="143"/>
      <c r="AA91" s="143">
        <f>SUM(O91:Z91)</f>
        <v>689</v>
      </c>
      <c r="AB91" s="144">
        <f>IF(AA91=0,"",IFERROR(AA91/AA$19,""))</f>
        <v>1.8550003567308376E-2</v>
      </c>
      <c r="AC91" s="140"/>
      <c r="AD91" s="143"/>
      <c r="AE91" s="144" t="str">
        <f>IF(AD91=0,"",IFERROR(AD91/AD$19,""))</f>
        <v/>
      </c>
      <c r="AF91" s="145">
        <f>IF(AND($AA91="",AD91=""),"",$AA91-AD91)</f>
        <v>689</v>
      </c>
      <c r="AG91" s="143"/>
      <c r="AH91" s="144" t="str">
        <f>IF(AG91=0,"",IFERROR(AG91/AG$19,""))</f>
        <v/>
      </c>
      <c r="AI91" s="145">
        <f>IF(AND($AA91="",AG91=""),"",$AA91-AG91)</f>
        <v>689</v>
      </c>
    </row>
    <row r="92" spans="1:35" x14ac:dyDescent="0.35">
      <c r="A92" s="11"/>
      <c r="B92" s="11"/>
      <c r="C92" s="208"/>
      <c r="D92" s="11"/>
      <c r="E92" s="11"/>
      <c r="F92" s="11"/>
      <c r="G92" s="11"/>
      <c r="H92" s="185" t="s">
        <v>340</v>
      </c>
      <c r="I92" s="122"/>
      <c r="J92" s="122"/>
      <c r="K92" s="11"/>
      <c r="L92" s="90" t="str">
        <f>IF(_epmOfflineCondition_,"",_xll.EVPRO($B$1,H92,"JDEID"))</f>
        <v/>
      </c>
      <c r="M92" s="90" t="str">
        <f>IF(_epmOfflineCondition_,"",IF(AND(I92="N",J92="N"),_xll.EVPRO($B$1,H92,"PSFTID"),""))</f>
        <v/>
      </c>
      <c r="N92" s="106" t="str">
        <f>IF(_epmOfflineCondition_,"Liquor Revenue ",IF(_xll.EVDES(H92,$B$1)="#NODATA","",_xll.EVDES(H92,$B$1)))</f>
        <v xml:space="preserve">Liquor Revenue </v>
      </c>
      <c r="O92" s="166">
        <v>689</v>
      </c>
      <c r="P92" s="166">
        <v>1227.99</v>
      </c>
      <c r="Q92" s="166"/>
      <c r="R92" s="166"/>
      <c r="S92" s="166"/>
      <c r="T92" s="166"/>
      <c r="U92" s="166"/>
      <c r="V92" s="166"/>
      <c r="W92" s="166"/>
      <c r="X92" s="166"/>
      <c r="Y92" s="166"/>
      <c r="Z92" s="166"/>
      <c r="AA92" s="166">
        <f>SUM(O92:Z92)</f>
        <v>1916.99</v>
      </c>
      <c r="AB92" s="167">
        <f>IF(AA92=0,"",IFERROR(AA92/AA$19,""))</f>
        <v>5.1611279156015218E-2</v>
      </c>
      <c r="AC92" s="140"/>
      <c r="AD92" s="166"/>
      <c r="AE92" s="167" t="str">
        <f>IF(AD92=0,"",IFERROR(AD92/AD$19,""))</f>
        <v/>
      </c>
      <c r="AF92" s="168">
        <f>IF(AND($AA92="",AD92=""),"",$AA92-AD92)</f>
        <v>1916.99</v>
      </c>
      <c r="AG92" s="166"/>
      <c r="AH92" s="167" t="str">
        <f>IF(AG92=0,"",IFERROR(AG92/AG$19,""))</f>
        <v/>
      </c>
      <c r="AI92" s="168">
        <f>IF(AND($AA92="",AG92=""),"",$AA92-AG92)</f>
        <v>1916.99</v>
      </c>
    </row>
    <row r="93" spans="1:35" x14ac:dyDescent="0.35">
      <c r="A93" s="11"/>
      <c r="B93" s="11"/>
      <c r="C93" s="208"/>
      <c r="D93" s="11"/>
      <c r="E93" s="11"/>
      <c r="F93" s="11"/>
      <c r="G93" s="11"/>
      <c r="H93" s="185"/>
      <c r="I93" s="122"/>
      <c r="J93" s="122"/>
      <c r="K93" s="11"/>
      <c r="L93" s="90"/>
      <c r="M93" s="90"/>
      <c r="N93" s="53"/>
      <c r="O93" s="174"/>
      <c r="P93" s="175"/>
      <c r="Q93" s="175"/>
      <c r="R93" s="175"/>
      <c r="S93" s="175"/>
      <c r="T93" s="175"/>
      <c r="U93" s="175"/>
      <c r="V93" s="175"/>
      <c r="W93" s="175"/>
      <c r="X93" s="175"/>
      <c r="Y93" s="175"/>
      <c r="Z93" s="175"/>
      <c r="AA93" s="175"/>
      <c r="AB93" s="176"/>
      <c r="AC93" s="140"/>
      <c r="AD93" s="174"/>
      <c r="AE93" s="175"/>
      <c r="AF93" s="176"/>
      <c r="AG93" s="174"/>
      <c r="AH93" s="175"/>
      <c r="AI93" s="176"/>
    </row>
    <row r="94" spans="1:35" x14ac:dyDescent="0.35">
      <c r="A94" s="11"/>
      <c r="B94" s="11"/>
      <c r="C94" s="208"/>
      <c r="D94" s="11"/>
      <c r="E94" s="11"/>
      <c r="F94" s="11"/>
      <c r="G94" s="11"/>
      <c r="H94" s="185"/>
      <c r="I94" s="122"/>
      <c r="J94" s="122"/>
      <c r="K94" s="11"/>
      <c r="L94" s="90"/>
      <c r="M94" s="90"/>
      <c r="N94" s="53" t="s">
        <v>339</v>
      </c>
      <c r="O94" s="162"/>
      <c r="P94" s="163"/>
      <c r="Q94" s="163"/>
      <c r="R94" s="163"/>
      <c r="S94" s="163"/>
      <c r="T94" s="163"/>
      <c r="U94" s="163"/>
      <c r="V94" s="163"/>
      <c r="W94" s="163"/>
      <c r="X94" s="163"/>
      <c r="Y94" s="163"/>
      <c r="Z94" s="163"/>
      <c r="AA94" s="163"/>
      <c r="AB94" s="164"/>
      <c r="AC94" s="140"/>
      <c r="AD94" s="162"/>
      <c r="AE94" s="163"/>
      <c r="AF94" s="164"/>
      <c r="AG94" s="162"/>
      <c r="AH94" s="163"/>
      <c r="AI94" s="164"/>
    </row>
    <row r="95" spans="1:35" x14ac:dyDescent="0.35">
      <c r="A95" s="11"/>
      <c r="B95" s="11"/>
      <c r="C95" s="208"/>
      <c r="D95" s="11"/>
      <c r="E95" s="11"/>
      <c r="F95" s="11"/>
      <c r="G95" s="11"/>
      <c r="H95" s="185" t="s">
        <v>295</v>
      </c>
      <c r="I95" s="122"/>
      <c r="J95" s="122"/>
      <c r="K95" s="11"/>
      <c r="L95" s="90" t="str">
        <f>IF(_epmOfflineCondition_,"461300",_xll.EVPRO($B$1,H95,"JDEID"))</f>
        <v>461300</v>
      </c>
      <c r="M95" s="90" t="str">
        <f>IF(_epmOfflineCondition_,"",IF(AND(I95="N",J95="N"),_xll.EVPRO($B$1,H95,"PSFTID"),""))</f>
        <v/>
      </c>
      <c r="N95" s="90" t="str">
        <f>IF(_epmOfflineCondition_,"Breakfast Beer",IF(_xll.EVDES(H95,$B$1)="#NODATA","",_xll.EVDES(H95,$B$1)))</f>
        <v>Breakfast Beer</v>
      </c>
      <c r="O95" s="143"/>
      <c r="P95" s="143"/>
      <c r="Q95" s="143"/>
      <c r="R95" s="143"/>
      <c r="S95" s="143"/>
      <c r="T95" s="143"/>
      <c r="U95" s="143"/>
      <c r="V95" s="143"/>
      <c r="W95" s="143"/>
      <c r="X95" s="143"/>
      <c r="Y95" s="143"/>
      <c r="Z95" s="143"/>
      <c r="AA95" s="143">
        <f>SUM(O95:Z95)</f>
        <v>0</v>
      </c>
      <c r="AB95" s="144" t="str">
        <f>IF(AA95=0,"",IFERROR(AA95/AA$19,""))</f>
        <v/>
      </c>
      <c r="AC95" s="140"/>
      <c r="AD95" s="143"/>
      <c r="AE95" s="144" t="str">
        <f>IF(AD95=0,"",IFERROR(AD95/AD$19,""))</f>
        <v/>
      </c>
      <c r="AF95" s="145">
        <f>IF(AND($AA95="",AD95=""),"",$AA95-AD95)</f>
        <v>0</v>
      </c>
      <c r="AG95" s="143"/>
      <c r="AH95" s="144" t="str">
        <f>IF(AG95=0,"",IFERROR(AG95/AG$19,""))</f>
        <v/>
      </c>
      <c r="AI95" s="145">
        <f>IF(AND($AA95="",AG95=""),"",$AA95-AG95)</f>
        <v>0</v>
      </c>
    </row>
    <row r="96" spans="1:35" x14ac:dyDescent="0.35">
      <c r="A96" s="11"/>
      <c r="B96" s="11"/>
      <c r="C96" s="208"/>
      <c r="D96" s="11"/>
      <c r="E96" s="11"/>
      <c r="F96" s="11"/>
      <c r="G96" s="11"/>
      <c r="H96" s="185" t="s">
        <v>305</v>
      </c>
      <c r="I96" s="122"/>
      <c r="J96" s="122"/>
      <c r="K96" s="11"/>
      <c r="L96" s="90" t="str">
        <f>IF(_epmOfflineCondition_,"462300",_xll.EVPRO($B$1,H96,"JDEID"))</f>
        <v>462300</v>
      </c>
      <c r="M96" s="90" t="str">
        <f>IF(_epmOfflineCondition_,"",IF(AND(I96="N",J96="N"),_xll.EVPRO($B$1,H96,"PSFTID"),""))</f>
        <v/>
      </c>
      <c r="N96" s="90" t="str">
        <f>IF(_epmOfflineCondition_,"Lunch Beer",IF(_xll.EVDES(H96,$B$1)="#NODATA","",_xll.EVDES(H96,$B$1)))</f>
        <v>Lunch Beer</v>
      </c>
      <c r="O96" s="143">
        <v>102</v>
      </c>
      <c r="P96" s="143"/>
      <c r="Q96" s="143"/>
      <c r="R96" s="143"/>
      <c r="S96" s="143"/>
      <c r="T96" s="143"/>
      <c r="U96" s="143"/>
      <c r="V96" s="143"/>
      <c r="W96" s="143"/>
      <c r="X96" s="143"/>
      <c r="Y96" s="143"/>
      <c r="Z96" s="143"/>
      <c r="AA96" s="143">
        <f>SUM(O96:Z96)</f>
        <v>102</v>
      </c>
      <c r="AB96" s="144">
        <f>IF(AA96=0,"",IFERROR(AA96/AA$19,""))</f>
        <v>2.7461543742604562E-3</v>
      </c>
      <c r="AC96" s="140"/>
      <c r="AD96" s="143"/>
      <c r="AE96" s="144" t="str">
        <f>IF(AD96=0,"",IFERROR(AD96/AD$19,""))</f>
        <v/>
      </c>
      <c r="AF96" s="145">
        <f>IF(AND($AA96="",AD96=""),"",$AA96-AD96)</f>
        <v>102</v>
      </c>
      <c r="AG96" s="143"/>
      <c r="AH96" s="144" t="str">
        <f>IF(AG96=0,"",IFERROR(AG96/AG$19,""))</f>
        <v/>
      </c>
      <c r="AI96" s="145">
        <f>IF(AND($AA96="",AG96=""),"",$AA96-AG96)</f>
        <v>102</v>
      </c>
    </row>
    <row r="97" spans="1:35" x14ac:dyDescent="0.35">
      <c r="A97" s="11"/>
      <c r="B97" s="11"/>
      <c r="C97" s="208"/>
      <c r="D97" s="11"/>
      <c r="E97" s="11"/>
      <c r="F97" s="11"/>
      <c r="G97" s="11"/>
      <c r="H97" s="185" t="s">
        <v>306</v>
      </c>
      <c r="I97" s="122"/>
      <c r="J97" s="122"/>
      <c r="K97" s="11"/>
      <c r="L97" s="90" t="str">
        <f>IF(_epmOfflineCondition_,"463300",_xll.EVPRO($B$1,H97,"JDEID"))</f>
        <v>463300</v>
      </c>
      <c r="M97" s="90" t="str">
        <f>IF(_epmOfflineCondition_,"",IF(AND(I97="N",J97="N"),_xll.EVPRO($B$1,H97,"PSFTID"),""))</f>
        <v/>
      </c>
      <c r="N97" s="90" t="str">
        <f>IF(_epmOfflineCondition_,"Dinner Beer",IF(_xll.EVDES(H97,$B$1)="#NODATA","",_xll.EVDES(H97,$B$1)))</f>
        <v>Dinner Beer</v>
      </c>
      <c r="O97" s="143"/>
      <c r="P97" s="143">
        <v>165</v>
      </c>
      <c r="Q97" s="143"/>
      <c r="R97" s="143"/>
      <c r="S97" s="143"/>
      <c r="T97" s="143"/>
      <c r="U97" s="143"/>
      <c r="V97" s="143"/>
      <c r="W97" s="143"/>
      <c r="X97" s="143"/>
      <c r="Y97" s="143"/>
      <c r="Z97" s="143"/>
      <c r="AA97" s="143">
        <f>SUM(O97:Z97)</f>
        <v>165</v>
      </c>
      <c r="AB97" s="144">
        <f>IF(AA97=0,"",IFERROR(AA97/AA$19,""))</f>
        <v>4.4423085465977964E-3</v>
      </c>
      <c r="AC97" s="140"/>
      <c r="AD97" s="143"/>
      <c r="AE97" s="144" t="str">
        <f>IF(AD97=0,"",IFERROR(AD97/AD$19,""))</f>
        <v/>
      </c>
      <c r="AF97" s="145">
        <f>IF(AND($AA97="",AD97=""),"",$AA97-AD97)</f>
        <v>165</v>
      </c>
      <c r="AG97" s="143"/>
      <c r="AH97" s="144" t="str">
        <f>IF(AG97=0,"",IFERROR(AG97/AG$19,""))</f>
        <v/>
      </c>
      <c r="AI97" s="145">
        <f>IF(AND($AA97="",AG97=""),"",$AA97-AG97)</f>
        <v>165</v>
      </c>
    </row>
    <row r="98" spans="1:35" x14ac:dyDescent="0.35">
      <c r="A98" s="11"/>
      <c r="B98" s="11"/>
      <c r="C98" s="208"/>
      <c r="D98" s="11"/>
      <c r="E98" s="11"/>
      <c r="F98" s="11"/>
      <c r="G98" s="11"/>
      <c r="H98" s="185" t="s">
        <v>809</v>
      </c>
      <c r="I98" s="122"/>
      <c r="J98" s="122"/>
      <c r="K98" s="11"/>
      <c r="L98" s="90" t="str">
        <f>IF(_epmOfflineCondition_,"471310",_xll.EVPRO($B$1,H98,"JDEID"))</f>
        <v>471310</v>
      </c>
      <c r="M98" s="90" t="str">
        <f>IF(_epmOfflineCondition_,"",IF(AND(I98="N",J98="N"),_xll.EVPRO($B$1,H98,"PSFTID"),""))</f>
        <v/>
      </c>
      <c r="N98" s="90" t="str">
        <f>IF(_epmOfflineCondition_,"Reception Beer",IF(_xll.EVDES(H98,$B$1)="#NODATA","",_xll.EVDES(H98,$B$1)))</f>
        <v>Reception Beer</v>
      </c>
      <c r="O98" s="143">
        <v>125</v>
      </c>
      <c r="P98" s="143"/>
      <c r="Q98" s="143"/>
      <c r="R98" s="143"/>
      <c r="S98" s="143"/>
      <c r="T98" s="143"/>
      <c r="U98" s="143"/>
      <c r="V98" s="143"/>
      <c r="W98" s="143"/>
      <c r="X98" s="143"/>
      <c r="Y98" s="143"/>
      <c r="Z98" s="143"/>
      <c r="AA98" s="143">
        <f>SUM(O98:Z98)</f>
        <v>125</v>
      </c>
      <c r="AB98" s="144">
        <f>IF(AA98=0,"",IFERROR(AA98/AA$19,""))</f>
        <v>3.3653852625740886E-3</v>
      </c>
      <c r="AC98" s="140"/>
      <c r="AD98" s="143"/>
      <c r="AE98" s="144" t="str">
        <f>IF(AD98=0,"",IFERROR(AD98/AD$19,""))</f>
        <v/>
      </c>
      <c r="AF98" s="145">
        <f>IF(AND($AA98="",AD98=""),"",$AA98-AD98)</f>
        <v>125</v>
      </c>
      <c r="AG98" s="143"/>
      <c r="AH98" s="144" t="str">
        <f>IF(AG98=0,"",IFERROR(AG98/AG$19,""))</f>
        <v/>
      </c>
      <c r="AI98" s="145">
        <f>IF(AND($AA98="",AG98=""),"",$AA98-AG98)</f>
        <v>125</v>
      </c>
    </row>
    <row r="99" spans="1:35" x14ac:dyDescent="0.35">
      <c r="A99" s="11"/>
      <c r="B99" s="11"/>
      <c r="C99" s="208"/>
      <c r="D99" s="11"/>
      <c r="E99" s="11"/>
      <c r="F99" s="11"/>
      <c r="G99" s="11"/>
      <c r="H99" s="185" t="s">
        <v>342</v>
      </c>
      <c r="I99" s="122"/>
      <c r="J99" s="122"/>
      <c r="K99" s="11"/>
      <c r="L99" s="90" t="str">
        <f>IF(_epmOfflineCondition_,"",_xll.EVPRO($B$1,H99,"JDEID"))</f>
        <v/>
      </c>
      <c r="M99" s="90" t="str">
        <f>IF(_epmOfflineCondition_,"",IF(AND(I99="N",J99="N"),_xll.EVPRO($B$1,H99,"PSFTID"),""))</f>
        <v/>
      </c>
      <c r="N99" s="106" t="str">
        <f>IF(_epmOfflineCondition_,"Beer Revenue",IF(_xll.EVDES(H99,$B$1)="#NODATA","",_xll.EVDES(H99,$B$1)))</f>
        <v>Beer Revenue</v>
      </c>
      <c r="O99" s="166">
        <v>227</v>
      </c>
      <c r="P99" s="166">
        <v>165</v>
      </c>
      <c r="Q99" s="166"/>
      <c r="R99" s="166"/>
      <c r="S99" s="166"/>
      <c r="T99" s="166"/>
      <c r="U99" s="166"/>
      <c r="V99" s="166"/>
      <c r="W99" s="166"/>
      <c r="X99" s="166"/>
      <c r="Y99" s="166"/>
      <c r="Z99" s="166"/>
      <c r="AA99" s="166">
        <f>SUM(O99:Z99)</f>
        <v>392</v>
      </c>
      <c r="AB99" s="167">
        <f>IF(AA99=0,"",IFERROR(AA99/AA$19,""))</f>
        <v>1.0553848183432342E-2</v>
      </c>
      <c r="AC99" s="140"/>
      <c r="AD99" s="166"/>
      <c r="AE99" s="167" t="str">
        <f>IF(AD99=0,"",IFERROR(AD99/AD$19,""))</f>
        <v/>
      </c>
      <c r="AF99" s="168">
        <f>IF(AND($AA99="",AD99=""),"",$AA99-AD99)</f>
        <v>392</v>
      </c>
      <c r="AG99" s="166"/>
      <c r="AH99" s="167" t="str">
        <f>IF(AG99=0,"",IFERROR(AG99/AG$19,""))</f>
        <v/>
      </c>
      <c r="AI99" s="168">
        <f>IF(AND($AA99="",AG99=""),"",$AA99-AG99)</f>
        <v>392</v>
      </c>
    </row>
    <row r="100" spans="1:35" x14ac:dyDescent="0.35">
      <c r="A100" s="11"/>
      <c r="B100" s="11"/>
      <c r="C100" s="208"/>
      <c r="D100" s="11"/>
      <c r="E100" s="11"/>
      <c r="F100" s="11"/>
      <c r="G100" s="11"/>
      <c r="H100" s="185"/>
      <c r="I100" s="122"/>
      <c r="J100" s="122"/>
      <c r="K100" s="11"/>
      <c r="L100" s="90"/>
      <c r="M100" s="90"/>
      <c r="N100" s="53"/>
      <c r="O100" s="174"/>
      <c r="P100" s="175"/>
      <c r="Q100" s="175"/>
      <c r="R100" s="175"/>
      <c r="S100" s="175"/>
      <c r="T100" s="175"/>
      <c r="U100" s="175"/>
      <c r="V100" s="175"/>
      <c r="W100" s="175"/>
      <c r="X100" s="175"/>
      <c r="Y100" s="175"/>
      <c r="Z100" s="175"/>
      <c r="AA100" s="175"/>
      <c r="AB100" s="176"/>
      <c r="AC100" s="140"/>
      <c r="AD100" s="174"/>
      <c r="AE100" s="175"/>
      <c r="AF100" s="176"/>
      <c r="AG100" s="174"/>
      <c r="AH100" s="175"/>
      <c r="AI100" s="176"/>
    </row>
    <row r="101" spans="1:35" x14ac:dyDescent="0.35">
      <c r="A101" s="11"/>
      <c r="B101" s="11"/>
      <c r="C101" s="208"/>
      <c r="D101" s="11"/>
      <c r="E101" s="11"/>
      <c r="F101" s="11"/>
      <c r="G101" s="11"/>
      <c r="H101" s="185"/>
      <c r="I101" s="122"/>
      <c r="J101" s="122"/>
      <c r="K101" s="11"/>
      <c r="L101" s="90"/>
      <c r="M101" s="90"/>
      <c r="N101" s="53" t="s">
        <v>338</v>
      </c>
      <c r="O101" s="162"/>
      <c r="P101" s="163"/>
      <c r="Q101" s="163"/>
      <c r="R101" s="163"/>
      <c r="S101" s="163"/>
      <c r="T101" s="163"/>
      <c r="U101" s="163"/>
      <c r="V101" s="163"/>
      <c r="W101" s="163"/>
      <c r="X101" s="163"/>
      <c r="Y101" s="163"/>
      <c r="Z101" s="163"/>
      <c r="AA101" s="163"/>
      <c r="AB101" s="164"/>
      <c r="AC101" s="140"/>
      <c r="AD101" s="162"/>
      <c r="AE101" s="163"/>
      <c r="AF101" s="164"/>
      <c r="AG101" s="162"/>
      <c r="AH101" s="163"/>
      <c r="AI101" s="164"/>
    </row>
    <row r="102" spans="1:35" x14ac:dyDescent="0.35">
      <c r="A102" s="11"/>
      <c r="B102" s="11"/>
      <c r="C102" s="208"/>
      <c r="D102" s="11"/>
      <c r="E102" s="11"/>
      <c r="F102" s="11"/>
      <c r="G102" s="11"/>
      <c r="H102" s="185" t="s">
        <v>296</v>
      </c>
      <c r="I102" s="122"/>
      <c r="J102" s="122"/>
      <c r="K102" s="11"/>
      <c r="L102" s="90" t="str">
        <f>IF(_epmOfflineCondition_,"461400",_xll.EVPRO($B$1,H102,"JDEID"))</f>
        <v>461400</v>
      </c>
      <c r="M102" s="90" t="str">
        <f>IF(_epmOfflineCondition_,"",IF(AND(I102="N",J102="N"),_xll.EVPRO($B$1,H102,"PSFTID"),""))</f>
        <v/>
      </c>
      <c r="N102" s="90" t="str">
        <f>IF(_epmOfflineCondition_,"Breakfast Wine",IF(_xll.EVDES(H102,$B$1)="#NODATA","",_xll.EVDES(H102,$B$1)))</f>
        <v>Breakfast Wine</v>
      </c>
      <c r="O102" s="143"/>
      <c r="P102" s="143"/>
      <c r="Q102" s="143"/>
      <c r="R102" s="143"/>
      <c r="S102" s="143"/>
      <c r="T102" s="143"/>
      <c r="U102" s="143"/>
      <c r="V102" s="143"/>
      <c r="W102" s="143"/>
      <c r="X102" s="143"/>
      <c r="Y102" s="143"/>
      <c r="Z102" s="143"/>
      <c r="AA102" s="143">
        <f>SUM(O102:Z102)</f>
        <v>0</v>
      </c>
      <c r="AB102" s="144" t="str">
        <f>IF(AA102=0,"",IFERROR(AA102/AA$19,""))</f>
        <v/>
      </c>
      <c r="AC102" s="140"/>
      <c r="AD102" s="143"/>
      <c r="AE102" s="144" t="str">
        <f>IF(AD102=0,"",IFERROR(AD102/AD$19,""))</f>
        <v/>
      </c>
      <c r="AF102" s="145">
        <f>IF(AND($AA102="",AD102=""),"",$AA102-AD102)</f>
        <v>0</v>
      </c>
      <c r="AG102" s="143"/>
      <c r="AH102" s="144" t="str">
        <f>IF(AG102=0,"",IFERROR(AG102/AG$19,""))</f>
        <v/>
      </c>
      <c r="AI102" s="145">
        <f>IF(AND($AA102="",AG102=""),"",$AA102-AG102)</f>
        <v>0</v>
      </c>
    </row>
    <row r="103" spans="1:35" x14ac:dyDescent="0.35">
      <c r="A103" s="11"/>
      <c r="B103" s="11"/>
      <c r="C103" s="208"/>
      <c r="D103" s="11"/>
      <c r="E103" s="11"/>
      <c r="F103" s="11"/>
      <c r="G103" s="11"/>
      <c r="H103" s="185" t="s">
        <v>303</v>
      </c>
      <c r="I103" s="122"/>
      <c r="J103" s="122"/>
      <c r="K103" s="11"/>
      <c r="L103" s="90" t="str">
        <f>IF(_epmOfflineCondition_,"462400",_xll.EVPRO($B$1,H103,"JDEID"))</f>
        <v>462400</v>
      </c>
      <c r="M103" s="90" t="str">
        <f>IF(_epmOfflineCondition_,"",IF(AND(I103="N",J103="N"),_xll.EVPRO($B$1,H103,"PSFTID"),""))</f>
        <v/>
      </c>
      <c r="N103" s="90" t="str">
        <f>IF(_epmOfflineCondition_,"Lunch Wine",IF(_xll.EVDES(H103,$B$1)="#NODATA","",_xll.EVDES(H103,$B$1)))</f>
        <v>Lunch Wine</v>
      </c>
      <c r="O103" s="143"/>
      <c r="P103" s="143"/>
      <c r="Q103" s="143"/>
      <c r="R103" s="143"/>
      <c r="S103" s="143"/>
      <c r="T103" s="143"/>
      <c r="U103" s="143"/>
      <c r="V103" s="143"/>
      <c r="W103" s="143"/>
      <c r="X103" s="143"/>
      <c r="Y103" s="143"/>
      <c r="Z103" s="143"/>
      <c r="AA103" s="143">
        <f>SUM(O103:Z103)</f>
        <v>0</v>
      </c>
      <c r="AB103" s="144" t="str">
        <f>IF(AA103=0,"",IFERROR(AA103/AA$19,""))</f>
        <v/>
      </c>
      <c r="AC103" s="140"/>
      <c r="AD103" s="143"/>
      <c r="AE103" s="144" t="str">
        <f>IF(AD103=0,"",IFERROR(AD103/AD$19,""))</f>
        <v/>
      </c>
      <c r="AF103" s="145">
        <f>IF(AND($AA103="",AD103=""),"",$AA103-AD103)</f>
        <v>0</v>
      </c>
      <c r="AG103" s="143"/>
      <c r="AH103" s="144" t="str">
        <f>IF(AG103=0,"",IFERROR(AG103/AG$19,""))</f>
        <v/>
      </c>
      <c r="AI103" s="145">
        <f>IF(AND($AA103="",AG103=""),"",$AA103-AG103)</f>
        <v>0</v>
      </c>
    </row>
    <row r="104" spans="1:35" x14ac:dyDescent="0.35">
      <c r="A104" s="11"/>
      <c r="B104" s="11"/>
      <c r="C104" s="208"/>
      <c r="D104" s="11"/>
      <c r="E104" s="11"/>
      <c r="F104" s="11"/>
      <c r="G104" s="11"/>
      <c r="H104" s="185" t="s">
        <v>304</v>
      </c>
      <c r="I104" s="122"/>
      <c r="J104" s="122"/>
      <c r="K104" s="11"/>
      <c r="L104" s="90" t="str">
        <f>IF(_epmOfflineCondition_,"463400",_xll.EVPRO($B$1,H104,"JDEID"))</f>
        <v>463400</v>
      </c>
      <c r="M104" s="90" t="str">
        <f>IF(_epmOfflineCondition_,"",IF(AND(I104="N",J104="N"),_xll.EVPRO($B$1,H104,"PSFTID"),""))</f>
        <v/>
      </c>
      <c r="N104" s="90" t="str">
        <f>IF(_epmOfflineCondition_,"Dinner Wine",IF(_xll.EVDES(H104,$B$1)="#NODATA","",_xll.EVDES(H104,$B$1)))</f>
        <v>Dinner Wine</v>
      </c>
      <c r="O104" s="143"/>
      <c r="P104" s="143">
        <v>670</v>
      </c>
      <c r="Q104" s="143"/>
      <c r="R104" s="143"/>
      <c r="S104" s="143"/>
      <c r="T104" s="143"/>
      <c r="U104" s="143"/>
      <c r="V104" s="143"/>
      <c r="W104" s="143"/>
      <c r="X104" s="143"/>
      <c r="Y104" s="143"/>
      <c r="Z104" s="143"/>
      <c r="AA104" s="143">
        <f>SUM(O104:Z104)</f>
        <v>670</v>
      </c>
      <c r="AB104" s="144">
        <f>IF(AA104=0,"",IFERROR(AA104/AA$19,""))</f>
        <v>1.8038465007397114E-2</v>
      </c>
      <c r="AC104" s="140"/>
      <c r="AD104" s="143"/>
      <c r="AE104" s="144" t="str">
        <f>IF(AD104=0,"",IFERROR(AD104/AD$19,""))</f>
        <v/>
      </c>
      <c r="AF104" s="145">
        <f>IF(AND($AA104="",AD104=""),"",$AA104-AD104)</f>
        <v>670</v>
      </c>
      <c r="AG104" s="143"/>
      <c r="AH104" s="144" t="str">
        <f>IF(AG104=0,"",IFERROR(AG104/AG$19,""))</f>
        <v/>
      </c>
      <c r="AI104" s="145">
        <f>IF(AND($AA104="",AG104=""),"",$AA104-AG104)</f>
        <v>670</v>
      </c>
    </row>
    <row r="105" spans="1:35" x14ac:dyDescent="0.35">
      <c r="A105" s="11"/>
      <c r="B105" s="11"/>
      <c r="C105" s="208"/>
      <c r="D105" s="11"/>
      <c r="E105" s="11"/>
      <c r="F105" s="11"/>
      <c r="G105" s="11"/>
      <c r="H105" s="185" t="s">
        <v>810</v>
      </c>
      <c r="I105" s="122"/>
      <c r="J105" s="122"/>
      <c r="K105" s="11"/>
      <c r="L105" s="90" t="str">
        <f>IF(_epmOfflineCondition_,"471410",_xll.EVPRO($B$1,H105,"JDEID"))</f>
        <v>471410</v>
      </c>
      <c r="M105" s="90" t="str">
        <f>IF(_epmOfflineCondition_,"",IF(AND(I105="N",J105="N"),_xll.EVPRO($B$1,H105,"PSFTID"),""))</f>
        <v/>
      </c>
      <c r="N105" s="90" t="str">
        <f>IF(_epmOfflineCondition_,"Reception Wine",IF(_xll.EVDES(H105,$B$1)="#NODATA","",_xll.EVDES(H105,$B$1)))</f>
        <v>Reception Wine</v>
      </c>
      <c r="O105" s="143">
        <v>104</v>
      </c>
      <c r="P105" s="143">
        <v>1500</v>
      </c>
      <c r="Q105" s="143"/>
      <c r="R105" s="143"/>
      <c r="S105" s="143"/>
      <c r="T105" s="143"/>
      <c r="U105" s="143"/>
      <c r="V105" s="143"/>
      <c r="W105" s="143">
        <v>504</v>
      </c>
      <c r="X105" s="143"/>
      <c r="Y105" s="143"/>
      <c r="Z105" s="143"/>
      <c r="AA105" s="143">
        <f>SUM(O105:Z105)</f>
        <v>2108</v>
      </c>
      <c r="AB105" s="144">
        <f>IF(AA105=0,"",IFERROR(AA105/AA$19,""))</f>
        <v>5.6753857068049425E-2</v>
      </c>
      <c r="AC105" s="140"/>
      <c r="AD105" s="143"/>
      <c r="AE105" s="144" t="str">
        <f>IF(AD105=0,"",IFERROR(AD105/AD$19,""))</f>
        <v/>
      </c>
      <c r="AF105" s="145">
        <f>IF(AND($AA105="",AD105=""),"",$AA105-AD105)</f>
        <v>2108</v>
      </c>
      <c r="AG105" s="143"/>
      <c r="AH105" s="144" t="str">
        <f>IF(AG105=0,"",IFERROR(AG105/AG$19,""))</f>
        <v/>
      </c>
      <c r="AI105" s="145">
        <f>IF(AND($AA105="",AG105=""),"",$AA105-AG105)</f>
        <v>2108</v>
      </c>
    </row>
    <row r="106" spans="1:35" x14ac:dyDescent="0.35">
      <c r="A106" s="11"/>
      <c r="B106" s="11"/>
      <c r="C106" s="208"/>
      <c r="D106" s="11"/>
      <c r="E106" s="11"/>
      <c r="F106" s="11"/>
      <c r="G106" s="11"/>
      <c r="H106" s="185" t="s">
        <v>341</v>
      </c>
      <c r="I106" s="122"/>
      <c r="J106" s="122"/>
      <c r="K106" s="11"/>
      <c r="L106" s="90" t="str">
        <f>IF(_epmOfflineCondition_,"",_xll.EVPRO($B$1,H106,"JDEID"))</f>
        <v/>
      </c>
      <c r="M106" s="90" t="str">
        <f>IF(_epmOfflineCondition_,"",IF(AND(I106="N",J106="N"),_xll.EVPRO($B$1,H106,"PSFTID"),""))</f>
        <v/>
      </c>
      <c r="N106" s="106" t="str">
        <f>IF(_epmOfflineCondition_,"Wine Revenue",IF(_xll.EVDES(H106,$B$1)="#NODATA","",_xll.EVDES(H106,$B$1)))</f>
        <v>Wine Revenue</v>
      </c>
      <c r="O106" s="166">
        <v>104</v>
      </c>
      <c r="P106" s="166">
        <v>2170</v>
      </c>
      <c r="Q106" s="166"/>
      <c r="R106" s="166"/>
      <c r="S106" s="166"/>
      <c r="T106" s="166"/>
      <c r="U106" s="166"/>
      <c r="V106" s="166"/>
      <c r="W106" s="166">
        <v>504</v>
      </c>
      <c r="X106" s="166"/>
      <c r="Y106" s="166"/>
      <c r="Z106" s="166"/>
      <c r="AA106" s="166">
        <f>SUM(O106:Z106)</f>
        <v>2778</v>
      </c>
      <c r="AB106" s="167">
        <f>IF(AA106=0,"",IFERROR(AA106/AA$19,""))</f>
        <v>7.4792322075446546E-2</v>
      </c>
      <c r="AC106" s="140"/>
      <c r="AD106" s="166"/>
      <c r="AE106" s="167" t="str">
        <f>IF(AD106=0,"",IFERROR(AD106/AD$19,""))</f>
        <v/>
      </c>
      <c r="AF106" s="168">
        <f>IF(AND($AA106="",AD106=""),"",$AA106-AD106)</f>
        <v>2778</v>
      </c>
      <c r="AG106" s="166"/>
      <c r="AH106" s="167" t="str">
        <f>IF(AG106=0,"",IFERROR(AG106/AG$19,""))</f>
        <v/>
      </c>
      <c r="AI106" s="168">
        <f>IF(AND($AA106="",AG106=""),"",$AA106-AG106)</f>
        <v>2778</v>
      </c>
    </row>
    <row r="107" spans="1:35" x14ac:dyDescent="0.35">
      <c r="A107" s="11"/>
      <c r="B107" s="11"/>
      <c r="C107" s="208"/>
      <c r="D107" s="11"/>
      <c r="E107" s="11"/>
      <c r="F107" s="11"/>
      <c r="G107" s="11"/>
      <c r="H107" s="185"/>
      <c r="I107" s="122"/>
      <c r="J107" s="122"/>
      <c r="K107" s="11"/>
      <c r="L107" s="90"/>
      <c r="M107" s="90"/>
      <c r="N107" s="11"/>
      <c r="O107" s="174"/>
      <c r="P107" s="175"/>
      <c r="Q107" s="175"/>
      <c r="R107" s="175"/>
      <c r="S107" s="175"/>
      <c r="T107" s="175"/>
      <c r="U107" s="175"/>
      <c r="V107" s="175"/>
      <c r="W107" s="175"/>
      <c r="X107" s="175"/>
      <c r="Y107" s="175"/>
      <c r="Z107" s="175"/>
      <c r="AA107" s="175"/>
      <c r="AB107" s="176"/>
      <c r="AC107" s="140"/>
      <c r="AD107" s="174"/>
      <c r="AE107" s="175"/>
      <c r="AF107" s="176"/>
      <c r="AG107" s="174"/>
      <c r="AH107" s="175"/>
      <c r="AI107" s="176"/>
    </row>
    <row r="108" spans="1:35" x14ac:dyDescent="0.35">
      <c r="A108" s="11"/>
      <c r="B108" s="11"/>
      <c r="C108" s="208"/>
      <c r="D108" s="11"/>
      <c r="E108" s="11"/>
      <c r="F108" s="11"/>
      <c r="G108" s="11"/>
      <c r="H108" s="88" t="s">
        <v>267</v>
      </c>
      <c r="I108" s="122"/>
      <c r="J108" s="122"/>
      <c r="K108" s="11"/>
      <c r="L108" s="90" t="str">
        <f>IF(_epmOfflineCondition_,"",_xll.EVPRO($B$1,H108,"JDEID"))</f>
        <v/>
      </c>
      <c r="M108" s="90" t="str">
        <f>IF(_epmOfflineCondition_,"",IF(AND(I108="N",J108="N"),_xll.EVPRO($B$1,H108,"PSFTID"),""))</f>
        <v/>
      </c>
      <c r="N108" s="90" t="str">
        <f>IF(_epmOfflineCondition_,"Breakfast  Beverage Revenue",IF(_xll.EVDES(H108,$B$1)="#NODATA","",_xll.EVDES(H108,$B$1)))</f>
        <v>Breakfast  Beverage Revenue</v>
      </c>
      <c r="O108" s="143">
        <f t="shared" ref="O108:Z108" si="22">O88+O95+O102</f>
        <v>0</v>
      </c>
      <c r="P108" s="143">
        <f t="shared" si="22"/>
        <v>258.99</v>
      </c>
      <c r="Q108" s="143">
        <f t="shared" si="22"/>
        <v>0</v>
      </c>
      <c r="R108" s="143">
        <f t="shared" si="22"/>
        <v>0</v>
      </c>
      <c r="S108" s="143">
        <f t="shared" si="22"/>
        <v>0</v>
      </c>
      <c r="T108" s="143">
        <f t="shared" si="22"/>
        <v>0</v>
      </c>
      <c r="U108" s="143">
        <f t="shared" si="22"/>
        <v>0</v>
      </c>
      <c r="V108" s="143">
        <f t="shared" si="22"/>
        <v>0</v>
      </c>
      <c r="W108" s="143">
        <f t="shared" si="22"/>
        <v>0</v>
      </c>
      <c r="X108" s="143">
        <f t="shared" si="22"/>
        <v>0</v>
      </c>
      <c r="Y108" s="143">
        <f t="shared" si="22"/>
        <v>0</v>
      </c>
      <c r="Z108" s="143">
        <f t="shared" si="22"/>
        <v>0</v>
      </c>
      <c r="AA108" s="143">
        <f>SUM(O108:Z108)</f>
        <v>258.99</v>
      </c>
      <c r="AB108" s="144">
        <f>IF(AA108=0,"",IFERROR(AA108/AA$19,""))</f>
        <v>6.9728090332325052E-3</v>
      </c>
      <c r="AC108" s="140"/>
      <c r="AD108" s="143">
        <f>AD88+AD95+AD102</f>
        <v>0</v>
      </c>
      <c r="AE108" s="144" t="str">
        <f>IF(AD108=0,"",IFERROR(AD108/AD$19,""))</f>
        <v/>
      </c>
      <c r="AF108" s="145">
        <f>IF(AND($AA108="",AD108=""),"",$AA108-AD108)</f>
        <v>258.99</v>
      </c>
      <c r="AG108" s="143">
        <f>AG88+AG95+AG102</f>
        <v>0</v>
      </c>
      <c r="AH108" s="144" t="str">
        <f>IF(AG108=0,"",IFERROR(AG108/AG$19,""))</f>
        <v/>
      </c>
      <c r="AI108" s="145">
        <f>IF(AND($AA108="",AG108=""),"",$AA108-AG108)</f>
        <v>258.99</v>
      </c>
    </row>
    <row r="109" spans="1:35" x14ac:dyDescent="0.35">
      <c r="A109" s="11"/>
      <c r="B109" s="11"/>
      <c r="C109" s="208"/>
      <c r="D109" s="11"/>
      <c r="E109" s="11"/>
      <c r="F109" s="11"/>
      <c r="G109" s="11"/>
      <c r="H109" s="88" t="s">
        <v>268</v>
      </c>
      <c r="I109" s="122"/>
      <c r="J109" s="122"/>
      <c r="K109" s="11"/>
      <c r="L109" s="90" t="str">
        <f>IF(_epmOfflineCondition_,"",_xll.EVPRO($B$1,H109,"JDEID"))</f>
        <v/>
      </c>
      <c r="M109" s="90" t="str">
        <f>IF(_epmOfflineCondition_,"",IF(AND(I109="N",J109="N"),_xll.EVPRO($B$1,H109,"PSFTID"),""))</f>
        <v/>
      </c>
      <c r="N109" s="90" t="str">
        <f>IF(_epmOfflineCondition_,"Lunch Beverage Revenue",IF(_xll.EVDES(H109,$B$1)="#NODATA","",_xll.EVDES(H109,$B$1)))</f>
        <v>Lunch Beverage Revenue</v>
      </c>
      <c r="O109" s="143">
        <f t="shared" ref="O109:Z109" si="23">O89+O96+O103</f>
        <v>102</v>
      </c>
      <c r="P109" s="143">
        <f t="shared" si="23"/>
        <v>7</v>
      </c>
      <c r="Q109" s="143">
        <f t="shared" si="23"/>
        <v>0</v>
      </c>
      <c r="R109" s="143">
        <f t="shared" si="23"/>
        <v>0</v>
      </c>
      <c r="S109" s="143">
        <f t="shared" si="23"/>
        <v>0</v>
      </c>
      <c r="T109" s="143">
        <f t="shared" si="23"/>
        <v>0</v>
      </c>
      <c r="U109" s="143">
        <f t="shared" si="23"/>
        <v>0</v>
      </c>
      <c r="V109" s="143">
        <f t="shared" si="23"/>
        <v>0</v>
      </c>
      <c r="W109" s="143">
        <f t="shared" si="23"/>
        <v>0</v>
      </c>
      <c r="X109" s="143">
        <f t="shared" si="23"/>
        <v>0</v>
      </c>
      <c r="Y109" s="143">
        <f t="shared" si="23"/>
        <v>0</v>
      </c>
      <c r="Z109" s="143">
        <f t="shared" si="23"/>
        <v>0</v>
      </c>
      <c r="AA109" s="143">
        <f>SUM(O109:Z109)</f>
        <v>109</v>
      </c>
      <c r="AB109" s="144">
        <f>IF(AA109=0,"",IFERROR(AA109/AA$19,""))</f>
        <v>2.934615948964605E-3</v>
      </c>
      <c r="AC109" s="140"/>
      <c r="AD109" s="143">
        <f>AD89+AD96+AD103</f>
        <v>0</v>
      </c>
      <c r="AE109" s="144" t="str">
        <f>IF(AD109=0,"",IFERROR(AD109/AD$19,""))</f>
        <v/>
      </c>
      <c r="AF109" s="145">
        <f>IF(AND($AA109="",AD109=""),"",$AA109-AD109)</f>
        <v>109</v>
      </c>
      <c r="AG109" s="143">
        <f>AG89+AG96+AG103</f>
        <v>0</v>
      </c>
      <c r="AH109" s="144" t="str">
        <f>IF(AG109=0,"",IFERROR(AG109/AG$19,""))</f>
        <v/>
      </c>
      <c r="AI109" s="145">
        <f>IF(AND($AA109="",AG109=""),"",$AA109-AG109)</f>
        <v>109</v>
      </c>
    </row>
    <row r="110" spans="1:35" x14ac:dyDescent="0.35">
      <c r="A110" s="11"/>
      <c r="B110" s="11"/>
      <c r="C110" s="208"/>
      <c r="D110" s="11"/>
      <c r="E110" s="11"/>
      <c r="F110" s="11"/>
      <c r="G110" s="11"/>
      <c r="H110" s="185" t="s">
        <v>269</v>
      </c>
      <c r="I110" s="122"/>
      <c r="J110" s="122"/>
      <c r="K110" s="11"/>
      <c r="L110" s="90" t="str">
        <f>IF(_epmOfflineCondition_,"",_xll.EVPRO($B$1,H110,"JDEID"))</f>
        <v/>
      </c>
      <c r="M110" s="90" t="str">
        <f>IF(_epmOfflineCondition_,"",IF(AND(I110="N",J110="N"),_xll.EVPRO($B$1,H110,"PSFTID"),""))</f>
        <v/>
      </c>
      <c r="N110" s="90" t="str">
        <f>IF(_epmOfflineCondition_,"Dinner Beverage Revenue",IF(_xll.EVDES(H110,$B$1)="#NODATA","",_xll.EVDES(H110,$B$1)))</f>
        <v>Dinner Beverage Revenue</v>
      </c>
      <c r="O110" s="143">
        <f t="shared" ref="O110:Z110" si="24">O90+O97+O104</f>
        <v>0</v>
      </c>
      <c r="P110" s="143">
        <f t="shared" si="24"/>
        <v>1797</v>
      </c>
      <c r="Q110" s="143">
        <f t="shared" si="24"/>
        <v>0</v>
      </c>
      <c r="R110" s="143">
        <f t="shared" si="24"/>
        <v>0</v>
      </c>
      <c r="S110" s="143">
        <f t="shared" si="24"/>
        <v>0</v>
      </c>
      <c r="T110" s="143">
        <f t="shared" si="24"/>
        <v>0</v>
      </c>
      <c r="U110" s="143">
        <f t="shared" si="24"/>
        <v>0</v>
      </c>
      <c r="V110" s="143">
        <f t="shared" si="24"/>
        <v>0</v>
      </c>
      <c r="W110" s="143">
        <f t="shared" si="24"/>
        <v>0</v>
      </c>
      <c r="X110" s="143">
        <f t="shared" si="24"/>
        <v>0</v>
      </c>
      <c r="Y110" s="143">
        <f t="shared" si="24"/>
        <v>0</v>
      </c>
      <c r="Z110" s="143">
        <f t="shared" si="24"/>
        <v>0</v>
      </c>
      <c r="AA110" s="143">
        <f>SUM(O110:Z110)</f>
        <v>1797</v>
      </c>
      <c r="AB110" s="144">
        <f>IF(AA110=0,"",IFERROR(AA110/AA$19,""))</f>
        <v>4.8380778534765093E-2</v>
      </c>
      <c r="AC110" s="140"/>
      <c r="AD110" s="143">
        <f>AD90+AD97+AD104</f>
        <v>0</v>
      </c>
      <c r="AE110" s="144" t="str">
        <f>IF(AD110=0,"",IFERROR(AD110/AD$19,""))</f>
        <v/>
      </c>
      <c r="AF110" s="145">
        <f>IF(AND($AA110="",AD110=""),"",$AA110-AD110)</f>
        <v>1797</v>
      </c>
      <c r="AG110" s="143">
        <f>AG90+AG97+AG104</f>
        <v>0</v>
      </c>
      <c r="AH110" s="144" t="str">
        <f>IF(AG110=0,"",IFERROR(AG110/AG$19,""))</f>
        <v/>
      </c>
      <c r="AI110" s="145">
        <f>IF(AND($AA110="",AG110=""),"",$AA110-AG110)</f>
        <v>1797</v>
      </c>
    </row>
    <row r="111" spans="1:35" x14ac:dyDescent="0.35">
      <c r="A111" s="11"/>
      <c r="B111" s="11"/>
      <c r="C111" s="208"/>
      <c r="D111" s="11"/>
      <c r="E111" s="11"/>
      <c r="F111" s="11"/>
      <c r="G111" s="11"/>
      <c r="H111" s="185" t="s">
        <v>791</v>
      </c>
      <c r="I111" s="122"/>
      <c r="J111" s="122"/>
      <c r="K111" s="11"/>
      <c r="L111" s="90" t="str">
        <f>IF(_epmOfflineCondition_,"",_xll.EVPRO($B$1,H111,"JDEID"))</f>
        <v/>
      </c>
      <c r="M111" s="90" t="str">
        <f>IF(_epmOfflineCondition_,"",IF(AND(I111="N",J111="N"),_xll.EVPRO($B$1,H111,"PSFTID"),""))</f>
        <v/>
      </c>
      <c r="N111" s="90" t="str">
        <f>IF(_epmOfflineCondition_,"Reception Beverage Revenue",IF(_xll.EVDES(H111,$B$1)="#NODATA","",_xll.EVDES(H111,$B$1)))</f>
        <v>Reception Beverage Revenue</v>
      </c>
      <c r="O111" s="143">
        <f t="shared" ref="O111:Z111" si="25">O91+O98+O105</f>
        <v>918</v>
      </c>
      <c r="P111" s="143">
        <f t="shared" si="25"/>
        <v>1500</v>
      </c>
      <c r="Q111" s="143">
        <f t="shared" si="25"/>
        <v>0</v>
      </c>
      <c r="R111" s="143">
        <f t="shared" si="25"/>
        <v>0</v>
      </c>
      <c r="S111" s="143">
        <f t="shared" si="25"/>
        <v>0</v>
      </c>
      <c r="T111" s="143">
        <f t="shared" si="25"/>
        <v>0</v>
      </c>
      <c r="U111" s="143">
        <f t="shared" si="25"/>
        <v>0</v>
      </c>
      <c r="V111" s="143">
        <f t="shared" si="25"/>
        <v>0</v>
      </c>
      <c r="W111" s="143">
        <f t="shared" si="25"/>
        <v>504</v>
      </c>
      <c r="X111" s="143">
        <f t="shared" si="25"/>
        <v>0</v>
      </c>
      <c r="Y111" s="143">
        <f t="shared" si="25"/>
        <v>0</v>
      </c>
      <c r="Z111" s="143">
        <f t="shared" si="25"/>
        <v>0</v>
      </c>
      <c r="AA111" s="143">
        <f>SUM(O111:Z111)</f>
        <v>2922</v>
      </c>
      <c r="AB111" s="144">
        <f>IF(AA111=0,"",IFERROR(AA111/AA$19,""))</f>
        <v>7.8669245897931894E-2</v>
      </c>
      <c r="AC111" s="140"/>
      <c r="AD111" s="143">
        <f>AD91+AD98+AD105</f>
        <v>0</v>
      </c>
      <c r="AE111" s="144" t="str">
        <f>IF(AD111=0,"",IFERROR(AD111/AD$19,""))</f>
        <v/>
      </c>
      <c r="AF111" s="145">
        <f>IF(AND($AA111="",AD111=""),"",$AA111-AD111)</f>
        <v>2922</v>
      </c>
      <c r="AG111" s="143">
        <f>AG91+AG98+AG105</f>
        <v>0</v>
      </c>
      <c r="AH111" s="144" t="str">
        <f>IF(AG111=0,"",IFERROR(AG111/AG$19,""))</f>
        <v/>
      </c>
      <c r="AI111" s="145">
        <f>IF(AND($AA111="",AG111=""),"",$AA111-AG111)</f>
        <v>2922</v>
      </c>
    </row>
    <row r="112" spans="1:35" x14ac:dyDescent="0.35">
      <c r="A112" s="11"/>
      <c r="B112" s="11"/>
      <c r="C112" s="208"/>
      <c r="D112" s="11"/>
      <c r="E112" s="11"/>
      <c r="F112" s="11"/>
      <c r="G112" s="11"/>
      <c r="H112" s="88" t="s">
        <v>272</v>
      </c>
      <c r="I112" s="122"/>
      <c r="J112" s="122"/>
      <c r="K112" s="11"/>
      <c r="L112" s="90" t="str">
        <f>IF(_epmOfflineCondition_,"",_xll.EVPRO($B$1,H112,"JDEID"))</f>
        <v/>
      </c>
      <c r="M112" s="90" t="str">
        <f>IF(_epmOfflineCondition_,"",IF(AND(I112="N",J112="N"),_xll.EVPRO($B$1,H112,"PSFTID"),""))</f>
        <v/>
      </c>
      <c r="N112" s="106" t="str">
        <f>IF(_epmOfflineCondition_,"Total Beverage Revenue",IF(_xll.EVDES(H112,$B$1)="#NODATA","",_xll.EVDES(H112,$B$1)))</f>
        <v>Total Beverage Revenue</v>
      </c>
      <c r="O112" s="166">
        <f t="shared" ref="O112:Z112" si="26">SUM(O108:O111)</f>
        <v>1020</v>
      </c>
      <c r="P112" s="166">
        <f t="shared" si="26"/>
        <v>3562.99</v>
      </c>
      <c r="Q112" s="166">
        <f t="shared" si="26"/>
        <v>0</v>
      </c>
      <c r="R112" s="166">
        <f t="shared" si="26"/>
        <v>0</v>
      </c>
      <c r="S112" s="166">
        <f t="shared" si="26"/>
        <v>0</v>
      </c>
      <c r="T112" s="166">
        <f t="shared" si="26"/>
        <v>0</v>
      </c>
      <c r="U112" s="166">
        <f t="shared" si="26"/>
        <v>0</v>
      </c>
      <c r="V112" s="166">
        <f t="shared" si="26"/>
        <v>0</v>
      </c>
      <c r="W112" s="166">
        <f t="shared" si="26"/>
        <v>504</v>
      </c>
      <c r="X112" s="166">
        <f t="shared" si="26"/>
        <v>0</v>
      </c>
      <c r="Y112" s="166">
        <f t="shared" si="26"/>
        <v>0</v>
      </c>
      <c r="Z112" s="166">
        <f t="shared" si="26"/>
        <v>0</v>
      </c>
      <c r="AA112" s="166">
        <f>SUM(O112:Z112)</f>
        <v>5086.99</v>
      </c>
      <c r="AB112" s="167">
        <f>IF(AA112=0,"",IFERROR(AA112/AA$19,""))</f>
        <v>0.1369574494148941</v>
      </c>
      <c r="AC112" s="140"/>
      <c r="AD112" s="166">
        <f>SUM(AD108:AD111)</f>
        <v>0</v>
      </c>
      <c r="AE112" s="167" t="str">
        <f>IF(AD112=0,"",IFERROR(AD112/AD$19,""))</f>
        <v/>
      </c>
      <c r="AF112" s="168">
        <f>IF(AND($AA112="",AD112=""),"",$AA112-AD112)</f>
        <v>5086.99</v>
      </c>
      <c r="AG112" s="166">
        <f>SUM(AG108:AG111)</f>
        <v>0</v>
      </c>
      <c r="AH112" s="167" t="str">
        <f>IF(AG112=0,"",IFERROR(AG112/AG$19,""))</f>
        <v/>
      </c>
      <c r="AI112" s="168">
        <f>IF(AND($AA112="",AG112=""),"",$AA112-AG112)</f>
        <v>5086.99</v>
      </c>
    </row>
    <row r="113" spans="1:35" x14ac:dyDescent="0.35">
      <c r="A113" s="11"/>
      <c r="B113" s="11"/>
      <c r="C113" s="208"/>
      <c r="D113" s="11"/>
      <c r="E113" s="11"/>
      <c r="F113" s="11"/>
      <c r="G113" s="11"/>
      <c r="H113" s="185"/>
      <c r="I113" s="122"/>
      <c r="J113" s="122"/>
      <c r="K113" s="11"/>
      <c r="L113" s="11"/>
      <c r="M113" s="11"/>
      <c r="N113" s="11"/>
      <c r="O113" s="209">
        <f t="shared" ref="O113:AA113" si="27">O92+O99+O106-O112</f>
        <v>0</v>
      </c>
      <c r="P113" s="209">
        <f t="shared" si="27"/>
        <v>0</v>
      </c>
      <c r="Q113" s="209">
        <f t="shared" si="27"/>
        <v>0</v>
      </c>
      <c r="R113" s="209">
        <f t="shared" si="27"/>
        <v>0</v>
      </c>
      <c r="S113" s="209">
        <f t="shared" si="27"/>
        <v>0</v>
      </c>
      <c r="T113" s="209">
        <f t="shared" si="27"/>
        <v>0</v>
      </c>
      <c r="U113" s="209">
        <f t="shared" si="27"/>
        <v>0</v>
      </c>
      <c r="V113" s="209">
        <f t="shared" si="27"/>
        <v>0</v>
      </c>
      <c r="W113" s="209">
        <f t="shared" si="27"/>
        <v>0</v>
      </c>
      <c r="X113" s="209">
        <f t="shared" si="27"/>
        <v>0</v>
      </c>
      <c r="Y113" s="209">
        <f t="shared" si="27"/>
        <v>0</v>
      </c>
      <c r="Z113" s="209">
        <f t="shared" si="27"/>
        <v>0</v>
      </c>
      <c r="AA113" s="209">
        <f t="shared" si="27"/>
        <v>0</v>
      </c>
      <c r="AB113" s="100"/>
      <c r="AC113" s="11"/>
      <c r="AD113" s="209">
        <f>AD92+AD99+AD106-AD112</f>
        <v>0</v>
      </c>
      <c r="AE113" s="100"/>
      <c r="AF113" s="91"/>
      <c r="AG113" s="209">
        <f>AG92+AG99+AG106-AG112</f>
        <v>0</v>
      </c>
      <c r="AH113" s="100"/>
      <c r="AI113" s="91"/>
    </row>
    <row r="114" spans="1:35" x14ac:dyDescent="0.35">
      <c r="A114" s="11"/>
      <c r="B114" s="11"/>
      <c r="C114" s="208"/>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35">
      <c r="A115" s="11"/>
      <c r="B115" s="11"/>
      <c r="C115" s="208"/>
      <c r="D115" s="11"/>
      <c r="E115" s="11"/>
      <c r="F115" s="11"/>
      <c r="G115" s="11"/>
      <c r="H115" s="88"/>
      <c r="I115" s="122"/>
      <c r="J115" s="122"/>
      <c r="K115" s="11"/>
      <c r="L115" s="90" t="str">
        <f>IF(_epmOfflineCondition_,"",_xll.EVPRO($B$1,H115,"JDEID"))</f>
        <v/>
      </c>
      <c r="M115" s="90" t="str">
        <f>IF(_epmOfflineCondition_,"",IF(AND(I115="N",J115="N"),_xll.EVPRO($B$1,H115,"PSFTID"),""))</f>
        <v/>
      </c>
      <c r="N115" s="106" t="s">
        <v>820</v>
      </c>
      <c r="O115" s="586">
        <f t="shared" ref="O115:AA115" si="28">IFERROR(O19/O21,0)</f>
        <v>24.837517647058824</v>
      </c>
      <c r="P115" s="586">
        <f t="shared" si="28"/>
        <v>45.102676767676769</v>
      </c>
      <c r="Q115" s="586">
        <f t="shared" si="28"/>
        <v>-75</v>
      </c>
      <c r="R115" s="586">
        <f t="shared" si="28"/>
        <v>0</v>
      </c>
      <c r="S115" s="586">
        <f t="shared" si="28"/>
        <v>0</v>
      </c>
      <c r="T115" s="586">
        <f t="shared" si="28"/>
        <v>0</v>
      </c>
      <c r="U115" s="586">
        <f t="shared" si="28"/>
        <v>0</v>
      </c>
      <c r="V115" s="586">
        <f t="shared" si="28"/>
        <v>0</v>
      </c>
      <c r="W115" s="586">
        <f t="shared" si="28"/>
        <v>0</v>
      </c>
      <c r="X115" s="586">
        <f t="shared" si="28"/>
        <v>4.032258064516129</v>
      </c>
      <c r="Y115" s="586">
        <f t="shared" si="28"/>
        <v>0</v>
      </c>
      <c r="Z115" s="586">
        <f t="shared" si="28"/>
        <v>0</v>
      </c>
      <c r="AA115" s="586">
        <f t="shared" si="28"/>
        <v>22.375210843373498</v>
      </c>
      <c r="AB115" s="124"/>
      <c r="AC115" s="11"/>
      <c r="AD115" s="586">
        <f>IFERROR(AD19/AD21,0)</f>
        <v>0</v>
      </c>
      <c r="AE115" s="124"/>
      <c r="AF115" s="372">
        <f>IFERROR(AF19/AF21,0)</f>
        <v>0</v>
      </c>
      <c r="AG115" s="586">
        <f>IFERROR(AG19/AG21,0)</f>
        <v>0.83901028277634959</v>
      </c>
      <c r="AH115" s="124"/>
      <c r="AI115" s="372">
        <f>IFERROR(AI19/AI21,0)</f>
        <v>0</v>
      </c>
    </row>
    <row r="116" spans="1:35" x14ac:dyDescent="0.35">
      <c r="A116" s="11"/>
      <c r="B116" s="11"/>
      <c r="C116" s="208"/>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35">
      <c r="A117" s="11"/>
      <c r="B117" s="11"/>
      <c r="C117" s="208"/>
      <c r="D117" s="11"/>
      <c r="E117" s="11"/>
      <c r="F117" s="11"/>
      <c r="G117" s="11"/>
      <c r="H117" s="185"/>
      <c r="I117" s="122"/>
      <c r="J117" s="122"/>
      <c r="K117" s="11"/>
      <c r="L117" s="11"/>
      <c r="M117" s="11"/>
      <c r="N117" s="11"/>
      <c r="O117" s="129"/>
      <c r="P117" s="130"/>
      <c r="Q117" s="130"/>
      <c r="R117" s="130"/>
      <c r="S117" s="130"/>
      <c r="T117" s="130"/>
      <c r="U117" s="130"/>
      <c r="V117" s="130"/>
      <c r="W117" s="130"/>
      <c r="X117" s="130"/>
      <c r="Y117" s="130"/>
      <c r="Z117" s="130"/>
      <c r="AA117" s="130"/>
      <c r="AB117" s="131"/>
      <c r="AC117" s="11"/>
      <c r="AD117" s="129"/>
      <c r="AE117" s="130"/>
      <c r="AF117" s="131"/>
      <c r="AG117" s="129"/>
      <c r="AH117" s="130"/>
      <c r="AI117" s="131"/>
    </row>
    <row r="118" spans="1:35" x14ac:dyDescent="0.35">
      <c r="A118" s="11"/>
      <c r="B118" s="11"/>
      <c r="C118" s="208"/>
      <c r="D118" s="11"/>
      <c r="E118" s="11"/>
      <c r="F118" s="11"/>
      <c r="G118" s="11"/>
      <c r="H118" s="185"/>
      <c r="I118" s="122"/>
      <c r="J118" s="122"/>
      <c r="K118" s="11"/>
      <c r="L118" s="11"/>
      <c r="M118" s="11"/>
      <c r="N118" s="104" t="str">
        <f>N82&amp;" - Check"</f>
        <v>Total Food &amp; Beverage Revenue - Check</v>
      </c>
      <c r="O118" s="209">
        <f t="shared" ref="O118:AA118" si="29">O39+O49+O59+O69+O75+O80-O82</f>
        <v>0</v>
      </c>
      <c r="P118" s="209">
        <f t="shared" si="29"/>
        <v>0</v>
      </c>
      <c r="Q118" s="209">
        <f t="shared" si="29"/>
        <v>0</v>
      </c>
      <c r="R118" s="209">
        <f t="shared" si="29"/>
        <v>0</v>
      </c>
      <c r="S118" s="209">
        <f t="shared" si="29"/>
        <v>0</v>
      </c>
      <c r="T118" s="209">
        <f t="shared" si="29"/>
        <v>0</v>
      </c>
      <c r="U118" s="209">
        <f t="shared" si="29"/>
        <v>0</v>
      </c>
      <c r="V118" s="209">
        <f t="shared" si="29"/>
        <v>0</v>
      </c>
      <c r="W118" s="209">
        <f t="shared" si="29"/>
        <v>0</v>
      </c>
      <c r="X118" s="209">
        <f t="shared" si="29"/>
        <v>0</v>
      </c>
      <c r="Y118" s="209">
        <f t="shared" si="29"/>
        <v>0</v>
      </c>
      <c r="Z118" s="209">
        <f t="shared" si="29"/>
        <v>0</v>
      </c>
      <c r="AA118" s="209">
        <f t="shared" si="29"/>
        <v>0</v>
      </c>
      <c r="AB118" s="100"/>
      <c r="AC118" s="11"/>
      <c r="AD118" s="209">
        <f>AD39+AD49+AD59+AD69+AD75+AD80-AD82</f>
        <v>0</v>
      </c>
      <c r="AE118" s="100"/>
      <c r="AF118" s="91"/>
      <c r="AG118" s="209">
        <f>AG39+AG49+AG59+AG69+AG75+AG80-AG82</f>
        <v>0</v>
      </c>
      <c r="AH118" s="100"/>
      <c r="AI118" s="91"/>
    </row>
    <row r="119" spans="1:35" x14ac:dyDescent="0.35">
      <c r="A119" s="11"/>
      <c r="B119" s="11"/>
      <c r="C119" s="208"/>
      <c r="D119" s="11"/>
      <c r="E119" s="11"/>
      <c r="F119" s="11"/>
      <c r="G119" s="11"/>
      <c r="H119" s="185"/>
      <c r="I119" s="122"/>
      <c r="J119" s="122"/>
      <c r="K119" s="11"/>
      <c r="L119" s="11"/>
      <c r="M119" s="11"/>
      <c r="N119" s="104" t="str">
        <f>N83&amp;" - Check"</f>
        <v>Total Customers - Check</v>
      </c>
      <c r="O119" s="209">
        <f t="shared" ref="O119:AA119" si="30">O41+O51+O61+O70+O76-O83</f>
        <v>0</v>
      </c>
      <c r="P119" s="209">
        <f t="shared" si="30"/>
        <v>0</v>
      </c>
      <c r="Q119" s="209">
        <f t="shared" si="30"/>
        <v>0</v>
      </c>
      <c r="R119" s="209">
        <f t="shared" si="30"/>
        <v>0</v>
      </c>
      <c r="S119" s="209">
        <f t="shared" si="30"/>
        <v>0</v>
      </c>
      <c r="T119" s="209">
        <f t="shared" si="30"/>
        <v>0</v>
      </c>
      <c r="U119" s="209">
        <f t="shared" si="30"/>
        <v>0</v>
      </c>
      <c r="V119" s="209">
        <f t="shared" si="30"/>
        <v>0</v>
      </c>
      <c r="W119" s="209">
        <f t="shared" si="30"/>
        <v>0</v>
      </c>
      <c r="X119" s="209">
        <f t="shared" si="30"/>
        <v>0</v>
      </c>
      <c r="Y119" s="209">
        <f t="shared" si="30"/>
        <v>0</v>
      </c>
      <c r="Z119" s="209">
        <f t="shared" si="30"/>
        <v>0</v>
      </c>
      <c r="AA119" s="209">
        <f t="shared" si="30"/>
        <v>0</v>
      </c>
      <c r="AB119" s="100"/>
      <c r="AC119" s="11"/>
      <c r="AD119" s="209">
        <f>AD41+AD51+AD61+AD70+AD76-AD83</f>
        <v>0</v>
      </c>
      <c r="AE119" s="100"/>
      <c r="AF119" s="91"/>
      <c r="AG119" s="209">
        <f>AG41+AG51+AG61+AG70+AG76-AG83</f>
        <v>0</v>
      </c>
      <c r="AH119" s="100"/>
      <c r="AI119" s="91"/>
    </row>
    <row r="120" spans="1:35" x14ac:dyDescent="0.35">
      <c r="A120" s="11"/>
      <c r="B120" s="11"/>
      <c r="C120" s="208"/>
      <c r="D120" s="11"/>
      <c r="E120" s="11"/>
      <c r="F120" s="11"/>
      <c r="G120" s="11"/>
      <c r="H120" s="185"/>
      <c r="I120" s="122"/>
      <c r="J120" s="122"/>
      <c r="K120" s="11"/>
      <c r="L120" s="11"/>
      <c r="M120" s="11"/>
      <c r="N120" s="104" t="str">
        <f>N84&amp;" - Check"</f>
        <v>Total Average Check - Check</v>
      </c>
      <c r="O120" s="492">
        <f t="shared" ref="O120:AA120" si="31">IFERROR(O$82/O83,"")-O84</f>
        <v>0</v>
      </c>
      <c r="P120" s="492">
        <f t="shared" si="31"/>
        <v>0</v>
      </c>
      <c r="Q120" s="492">
        <f t="shared" si="31"/>
        <v>0</v>
      </c>
      <c r="R120" s="492" t="e">
        <f t="shared" si="31"/>
        <v>#VALUE!</v>
      </c>
      <c r="S120" s="492">
        <f t="shared" si="31"/>
        <v>0</v>
      </c>
      <c r="T120" s="492" t="e">
        <f t="shared" si="31"/>
        <v>#VALUE!</v>
      </c>
      <c r="U120" s="492" t="e">
        <f t="shared" si="31"/>
        <v>#VALUE!</v>
      </c>
      <c r="V120" s="492" t="e">
        <f t="shared" si="31"/>
        <v>#VALUE!</v>
      </c>
      <c r="W120" s="492" t="e">
        <f t="shared" si="31"/>
        <v>#VALUE!</v>
      </c>
      <c r="X120" s="492" t="e">
        <f t="shared" si="31"/>
        <v>#VALUE!</v>
      </c>
      <c r="Y120" s="492" t="e">
        <f t="shared" si="31"/>
        <v>#VALUE!</v>
      </c>
      <c r="Z120" s="492" t="e">
        <f t="shared" si="31"/>
        <v>#VALUE!</v>
      </c>
      <c r="AA120" s="492">
        <f t="shared" si="31"/>
        <v>0</v>
      </c>
      <c r="AB120" s="100"/>
      <c r="AC120" s="11"/>
      <c r="AD120" s="492" t="e">
        <f>IFERROR(AD$82/AD83,"")-AD84</f>
        <v>#VALUE!</v>
      </c>
      <c r="AE120" s="100"/>
      <c r="AF120" s="91"/>
      <c r="AG120" s="492">
        <f>IFERROR(AG$82/AG83,"")-AG84</f>
        <v>4.6185277824406512E-14</v>
      </c>
      <c r="AH120" s="100"/>
      <c r="AI120" s="91"/>
    </row>
    <row r="121" spans="1:35" x14ac:dyDescent="0.35">
      <c r="A121" s="11"/>
      <c r="B121" s="11"/>
      <c r="C121" s="208"/>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35">
      <c r="A122" s="11"/>
      <c r="B122" s="11"/>
      <c r="C122" s="208"/>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35">
      <c r="A123" s="11"/>
      <c r="B123" s="11"/>
      <c r="C123" s="208"/>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35">
      <c r="A124" s="11"/>
      <c r="B124" s="11"/>
      <c r="C124" s="208"/>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35">
      <c r="A125" s="11"/>
      <c r="B125" s="11"/>
      <c r="C125" s="208"/>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35">
      <c r="A126" s="11"/>
      <c r="B126" s="11"/>
      <c r="C126" s="208"/>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35">
      <c r="A127" s="11"/>
      <c r="B127" s="11"/>
      <c r="C127" s="208"/>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35">
      <c r="A128" s="11"/>
      <c r="B128" s="11"/>
      <c r="C128" s="208"/>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35">
      <c r="A129" s="11"/>
      <c r="B129" s="11"/>
      <c r="C129" s="208"/>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35">
      <c r="A130" s="11"/>
      <c r="B130" s="11"/>
      <c r="C130" s="208"/>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35">
      <c r="A131" s="11"/>
      <c r="B131" s="11"/>
      <c r="C131" s="208"/>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35">
      <c r="A132" s="11"/>
      <c r="B132" s="11"/>
      <c r="C132" s="208"/>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35">
      <c r="A133" s="11"/>
      <c r="B133" s="11"/>
      <c r="C133" s="208"/>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35">
      <c r="A135" s="11"/>
      <c r="B135" s="11"/>
      <c r="C135" s="208"/>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35">
      <c r="A136" s="11"/>
      <c r="B136" s="11"/>
      <c r="C136" s="208"/>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35">
      <c r="A137" s="11"/>
      <c r="B137" s="11"/>
      <c r="C137" s="208"/>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35">
      <c r="A138" s="11"/>
      <c r="B138" s="11"/>
      <c r="C138" s="208"/>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35">
      <c r="A139" s="11"/>
      <c r="B139" s="11"/>
      <c r="C139" s="208"/>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35">
      <c r="A140" s="11"/>
      <c r="B140" s="11"/>
      <c r="C140" s="208"/>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35">
      <c r="A141" s="11"/>
      <c r="B141" s="11"/>
      <c r="C141" s="208"/>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35">
      <c r="A142" s="11"/>
      <c r="B142" s="11"/>
      <c r="C142" s="208"/>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35">
      <c r="A143" s="11"/>
      <c r="B143" s="11"/>
      <c r="C143" s="208"/>
      <c r="D143" s="11"/>
      <c r="E143" s="11"/>
      <c r="F143" s="11"/>
      <c r="G143" s="11"/>
      <c r="H143" s="11"/>
      <c r="I143" s="267"/>
      <c r="J143" s="11"/>
      <c r="K143" s="267"/>
      <c r="L143" s="267"/>
      <c r="M143" s="267"/>
      <c r="N143" s="11"/>
      <c r="O143" s="267"/>
      <c r="P143" s="267"/>
      <c r="Q143" s="267"/>
      <c r="R143" s="267"/>
      <c r="S143" s="267"/>
      <c r="T143" s="267"/>
      <c r="U143" s="267"/>
      <c r="V143" s="267"/>
      <c r="W143" s="267"/>
      <c r="X143" s="267"/>
      <c r="Y143" s="267"/>
      <c r="Z143" s="267"/>
      <c r="AA143" s="267"/>
      <c r="AB143" s="11"/>
      <c r="AC143" s="11"/>
      <c r="AD143" s="267"/>
      <c r="AE143" s="11"/>
      <c r="AF143" s="267"/>
      <c r="AG143" s="11"/>
      <c r="AH143" s="267"/>
      <c r="AI143" s="11"/>
    </row>
    <row r="144" spans="1:35" x14ac:dyDescent="0.3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208"/>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3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208"/>
      <c r="D147" s="11"/>
      <c r="E147" s="11"/>
      <c r="F147" s="11"/>
      <c r="G147" s="11"/>
      <c r="H147" s="11"/>
      <c r="I147" s="267"/>
      <c r="J147" s="11"/>
      <c r="K147" s="267"/>
      <c r="L147" s="267"/>
      <c r="M147" s="267"/>
      <c r="N147" s="11"/>
      <c r="O147" s="267"/>
      <c r="P147" s="267"/>
      <c r="Q147" s="267"/>
      <c r="R147" s="267"/>
      <c r="S147" s="267"/>
      <c r="T147" s="267"/>
      <c r="U147" s="267"/>
      <c r="V147" s="267"/>
      <c r="W147" s="267"/>
      <c r="X147" s="267"/>
      <c r="Y147" s="267"/>
      <c r="Z147" s="267"/>
      <c r="AA147" s="267"/>
      <c r="AB147" s="11"/>
      <c r="AC147" s="11"/>
      <c r="AD147" s="267"/>
      <c r="AE147" s="11"/>
      <c r="AF147" s="267"/>
      <c r="AG147" s="11"/>
      <c r="AH147" s="267"/>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267"/>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3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sheetData>
  <sheetProtection algorithmName="SHA-512" hashValue="j2I8s9FXXfdNufDMAJh0XAxP1Ux6m+ds+vxQxkGGYWQ9/9DmxXZJ/cOlnt7WHWwTieVnG5PlnKECSsBj88ky6g==" saltValue="yP1Vzc8Wm5wtHK2r3NcZ0g==" spinCount="100000" sheet="1" scenarios="1"/>
  <mergeCells count="2">
    <mergeCell ref="AD31:AE31"/>
    <mergeCell ref="AG31:AH31"/>
  </mergeCells>
  <conditionalFormatting sqref="AD43 AF43:AG43 O43:AA43">
    <cfRule type="expression" dxfId="23" priority="10">
      <formula>ROUND(O42,2)&lt;&gt;ROUND(O43,2)</formula>
    </cfRule>
  </conditionalFormatting>
  <conditionalFormatting sqref="O53:AA53 AD53 AF53:AG53">
    <cfRule type="expression" dxfId="22" priority="9">
      <formula>ROUND(O52,2)&lt;&gt;ROUND(O53,2)</formula>
    </cfRule>
  </conditionalFormatting>
  <conditionalFormatting sqref="O63:AA63 AD63 AF63:AG63">
    <cfRule type="expression" dxfId="21" priority="8">
      <formula>ROUND(O62,2)&lt;&gt;ROUND(O63,2)</formula>
    </cfRule>
  </conditionalFormatting>
  <conditionalFormatting sqref="O72:AA72 AD72 AF72:AG72">
    <cfRule type="expression" dxfId="20" priority="7">
      <formula>ROUND(O71,2)&lt;&gt;ROUND(O72,2)</formula>
    </cfRule>
  </conditionalFormatting>
  <conditionalFormatting sqref="AD78 AF78:AG78 O78:AA78">
    <cfRule type="expression" dxfId="19" priority="6">
      <formula>ROUND(O77,2)&lt;&gt;ROUND(O78,2)</formula>
    </cfRule>
  </conditionalFormatting>
  <conditionalFormatting sqref="AI43">
    <cfRule type="expression" dxfId="18" priority="5">
      <formula>ROUND(AI42,2)&lt;&gt;ROUND(AI43,2)</formula>
    </cfRule>
  </conditionalFormatting>
  <conditionalFormatting sqref="AI53">
    <cfRule type="expression" dxfId="17" priority="4">
      <formula>ROUND(AI52,2)&lt;&gt;ROUND(AI53,2)</formula>
    </cfRule>
  </conditionalFormatting>
  <conditionalFormatting sqref="AI63">
    <cfRule type="expression" dxfId="16" priority="3">
      <formula>ROUND(AI62,2)&lt;&gt;ROUND(AI63,2)</formula>
    </cfRule>
  </conditionalFormatting>
  <conditionalFormatting sqref="AI72">
    <cfRule type="expression" dxfId="15" priority="2">
      <formula>ROUND(AI71,2)&lt;&gt;ROUND(AI72,2)</formula>
    </cfRule>
  </conditionalFormatting>
  <conditionalFormatting sqref="AI78">
    <cfRule type="expression" dxfId="14" priority="1">
      <formula>ROUND(AI77,2)&lt;&gt;ROUND(AI78,2)</formula>
    </cfRule>
  </conditionalFormatting>
  <conditionalFormatting sqref="N43 N53 N63 N72 N78">
    <cfRule type="expression" dxfId="13" priority="11">
      <formula>$G44&lt;&gt;0</formula>
    </cfRule>
  </conditionalFormatting>
  <conditionalFormatting sqref="N79">
    <cfRule type="expression" dxfId="12" priority="12">
      <formula>#REF!&lt;&gt;0</formula>
    </cfRule>
  </conditionalFormatting>
  <dataValidations count="2">
    <dataValidation type="list" allowBlank="1" sqref="B29" xr:uid="{00000000-0002-0000-1A00-000000000000}">
      <formula1>"SELF,ALL,BAS,DEP,BASMEMBERS,MEMBERS,NOEXPAND,GDEP"</formula1>
    </dataValidation>
    <dataValidation type="list" allowBlank="1" sqref="B28" xr:uid="{00000000-0002-0000-1A00-000001000000}">
      <formula1>"ACCOUNT,BUSINESSUNIT,CATEGORY,DATASRC,DEPARTMENT,INTCO,MEASURES,RPTCURRENCY,TIME"</formula1>
    </dataValidation>
  </dataValidations>
  <pageMargins left="0.25" right="0.25" top="0.5" bottom="0.5" header="0.3" footer="0.3"/>
  <pageSetup scale="48"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7201"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7201" r:id="rId7" name="FPMExcelClientSheetOptionstb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R42" sqref="R42"/>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806</v>
      </c>
      <c r="C6" s="11" t="str">
        <f>IF(_epmOfflineCondition_,"Banquet CS Local",_xll.EVDES(B6,$B$1))</f>
        <v>Banquet CS Local</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IF(_epmOfflineCondition_,"'BCC_Local'!$B$2:$B$10",_xll.EVRNG($B$2:$B$10))</f>
        <v>'BCC_Local'!$B$2:$B$10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IF(_epmOfflineCondition_,"'BCC_Local'!$O$16:$AN$18",_xll.EVRNG($O$16:$AN$18))</f>
        <v>'BCC_Local'!$O$16:$AN$18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IF(_epmOfflineCondition_,"'BCC_Local'!$H$35:$H$56",_xll.EVRNG(H35:H56))</f>
        <v>'BCC_Local'!$H$35:$H$56</v>
      </c>
      <c r="C19" s="11"/>
      <c r="D19" s="11"/>
      <c r="E19" s="11"/>
      <c r="F19" s="11"/>
      <c r="G19" s="67" t="str">
        <f>$B$6</f>
        <v>D2348</v>
      </c>
      <c r="H19" s="67">
        <v>400000</v>
      </c>
      <c r="I19" s="68"/>
      <c r="J19" s="68"/>
      <c r="K19" s="67"/>
      <c r="L19" s="67"/>
      <c r="M19" s="67"/>
      <c r="N19" s="67" t="str">
        <f>IF(_epmOfflineCondition_,"Total Revenue",_xll.EVDES(H19))</f>
        <v>Total Revenue</v>
      </c>
      <c r="O19" s="69">
        <f>IF(_epmOfflineCondition_,3906.22,_xll.EVGTS($B$1,1,$B$3,$B$5,$B$7,$B$9,O$16,O$17,O$18,$G$19,$H$19))</f>
        <v>3906.22</v>
      </c>
      <c r="P19" s="69">
        <f>IF(_epmOfflineCondition_,1000,_xll.EVGTS($B$1,1,$B$3,$B$5,$B$7,$B$9,P$16,P$17,P$18,$G$19,$H$19))</f>
        <v>1000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4906.2199999999993</v>
      </c>
      <c r="AB19" s="67"/>
      <c r="AC19" s="67"/>
      <c r="AD19" s="69">
        <f>IF(_epmOfflineCondition_,0,_xll.EVGTS($B$1,1,$B$3,$B$5,$B$7,$B$9,AD$16,AD$17,AD$18,$G$19,$H$19))</f>
        <v>0</v>
      </c>
      <c r="AE19" s="67"/>
      <c r="AF19" s="67"/>
      <c r="AG19" s="69">
        <f>IF(_epmOfflineCondition_,16676.56,_xll.EVGTS($B$1,1,$B$3,$B$5,$B$7,$B$9,AG$16,AG$17,AG$18,$G$19,$H$19))</f>
        <v>16676.560000000001</v>
      </c>
      <c r="AH19" s="67"/>
      <c r="AI19" s="67"/>
      <c r="AJ19" s="11"/>
      <c r="AK19" s="11"/>
      <c r="AL19" s="11"/>
      <c r="AM19" s="11"/>
      <c r="AN19" s="11"/>
      <c r="AO19" s="11"/>
    </row>
    <row r="20" spans="1:41" hidden="1" outlineLevel="1" x14ac:dyDescent="0.35">
      <c r="A20" s="65" t="s">
        <v>5</v>
      </c>
      <c r="B20" s="66"/>
      <c r="C20" s="11"/>
      <c r="D20" s="11"/>
      <c r="E20" s="11"/>
      <c r="F20" s="11"/>
      <c r="G20" s="67" t="str">
        <f>$B$6</f>
        <v>D2348</v>
      </c>
      <c r="H20" s="67">
        <v>946000</v>
      </c>
      <c r="I20" s="68"/>
      <c r="J20" s="68"/>
      <c r="K20" s="67"/>
      <c r="L20" s="68"/>
      <c r="M20" s="68"/>
      <c r="N20" s="67" t="str">
        <f>IF(_epmOfflineCondition_,"Total Customers",_xll.EVDES(H20))</f>
        <v>Total Customers</v>
      </c>
      <c r="O20" s="69">
        <f>IF(_epmOfflineCondition_,120,_xll.EVGTS($B$1,1,$B$3,$B$5,$B$7,$B$9,O$16,O$17,O$18,$G$20,$H$20))</f>
        <v>120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IF(_epmOfflineCondition_,10,_xll.EVGTS($B$1,1,$B$3,$B$5,$B$7,$B$9,X$16,X$17,X$18,$G$20,$H$20))</f>
        <v>10</v>
      </c>
      <c r="Y20" s="69">
        <f>IF(_epmOfflineCondition_,0,_xll.EVGTS($B$1,1,$B$3,$B$5,$B$7,$B$9,Y$16,Y$17,Y$18,$G$20,$H$20))</f>
        <v>0</v>
      </c>
      <c r="Z20" s="69">
        <f>IF(_epmOfflineCondition_,0,_xll.EVGTS($B$1,1,$B$3,$B$5,$B$7,$B$9,Z$16,Z$17,Z$18,$G$20,$H$20))</f>
        <v>0</v>
      </c>
      <c r="AA20" s="69">
        <f>SUM(O20:Z20)</f>
        <v>130</v>
      </c>
      <c r="AB20" s="67"/>
      <c r="AC20" s="67"/>
      <c r="AD20" s="69">
        <f>IF(_epmOfflineCondition_,0,_xll.EVGTS($B$1,1,$B$3,$B$5,$B$7,$B$9,AD$16,AD$17,AD$18,$G$20,$H$20))</f>
        <v>0</v>
      </c>
      <c r="AE20" s="67"/>
      <c r="AF20" s="67"/>
      <c r="AG20" s="69">
        <f>IF(_epmOfflineCondition_,130,_xll.EVGTS($B$1,1,$B$3,$B$5,$B$7,$B$9,AG$16,AG$17,AG$18,$G$20,$H$20))</f>
        <v>130</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IF(_epmOfflineCondition_,"'BCC_Local'!$A$36:$F$44",_xll.EVRNG(A36:F44))</f>
        <v>'BCC_Local'!$A$36:$F$44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IF(_epmOfflineCondition_,"'BCC_Local'!$A$125:$B$146",_xll.EVRNG($A$125:$B$146))</f>
        <v>'BCC_Local'!$A$125:$B$146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IF(_epmOfflineCondition_,"Banquet CS Local Department",IF(_xll.EVDES(B6,$B$1)="#NODATA","",_xll.EVDES(B6,$B$1)&amp;" Department"))</f>
        <v>Banquet CS Local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3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c r="P35" s="564"/>
      <c r="Q35" s="564"/>
      <c r="R35" s="564"/>
      <c r="S35" s="564"/>
      <c r="T35" s="564"/>
      <c r="U35" s="564"/>
      <c r="V35" s="564"/>
      <c r="W35" s="564"/>
      <c r="X35" s="564"/>
      <c r="Y35" s="564"/>
      <c r="Z35" s="564"/>
      <c r="AA35" s="250">
        <f t="shared" ref="AA35:AA56" si="1">IF($I35="B1","",SUM(O35:Z35))</f>
        <v>0</v>
      </c>
      <c r="AB35" s="565" t="str">
        <f t="shared" ref="AB35:AB56" si="2">IF(AA35=0,"",IFERROR(AA35/AA$19,""))</f>
        <v/>
      </c>
      <c r="AC35" s="437"/>
      <c r="AD35" s="564"/>
      <c r="AE35" s="565" t="str">
        <f t="shared" ref="AE35:AE56" si="3">IF(AD35=0,"",IFERROR(AD35/AD$19,""))</f>
        <v/>
      </c>
      <c r="AF35" s="566">
        <f t="shared" ref="AF35:AF56" si="4">IF(AND($AA35="",AD35=""),"",$AA35-AD35)</f>
        <v>0</v>
      </c>
      <c r="AG35" s="564">
        <v>720</v>
      </c>
      <c r="AH35" s="565">
        <f t="shared" ref="AH35:AH56" si="5">IF(AG35=0,"",IFERROR(AG35/AG$19,""))</f>
        <v>4.3174371692963051E-2</v>
      </c>
      <c r="AI35" s="567">
        <f t="shared" ref="AI35:AI56" si="6">IF(AND($AA35="",AG35=""),"",$AA35-AG35)</f>
        <v>-720</v>
      </c>
      <c r="AJ35" s="440">
        <f t="shared" ref="AJ35:AJ56" si="7">IFERROR(AA35/AA$20,0)</f>
        <v>0</v>
      </c>
      <c r="AK35" s="441">
        <f t="shared" ref="AK35:AK56" si="8">IFERROR(AD35/AD$20,0)</f>
        <v>0</v>
      </c>
      <c r="AL35" s="442">
        <f t="shared" ref="AL35:AL56" si="9">IFERROR(AG35/AG$20,0)</f>
        <v>5.5384615384615383</v>
      </c>
      <c r="AM35" s="443">
        <f t="shared" ref="AM35:AM56" si="10">+IFERROR(ROUND(($AB35-AE35)*100,2)&amp;" pts.",0)</f>
        <v>0</v>
      </c>
      <c r="AN35" s="444">
        <f t="shared" ref="AN35:AN56" si="11">+IFERROR(ROUND(($AB35-AH35)*100,2)&amp;" pts.",0)</f>
        <v>0</v>
      </c>
      <c r="AO35" s="11"/>
    </row>
    <row r="36" spans="1:41" x14ac:dyDescent="0.3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c r="P36" s="564"/>
      <c r="Q36" s="564"/>
      <c r="R36" s="564"/>
      <c r="S36" s="564"/>
      <c r="T36" s="564"/>
      <c r="U36" s="564"/>
      <c r="V36" s="564"/>
      <c r="W36" s="564"/>
      <c r="X36" s="564"/>
      <c r="Y36" s="564"/>
      <c r="Z36" s="564"/>
      <c r="AA36" s="250">
        <f t="shared" si="1"/>
        <v>0</v>
      </c>
      <c r="AB36" s="565" t="str">
        <f t="shared" si="2"/>
        <v/>
      </c>
      <c r="AC36" s="437"/>
      <c r="AD36" s="564"/>
      <c r="AE36" s="565" t="str">
        <f t="shared" si="3"/>
        <v/>
      </c>
      <c r="AF36" s="566">
        <f t="shared" si="4"/>
        <v>0</v>
      </c>
      <c r="AG36" s="564"/>
      <c r="AH36" s="565" t="str">
        <f t="shared" si="5"/>
        <v/>
      </c>
      <c r="AI36" s="567">
        <f t="shared" si="6"/>
        <v>0</v>
      </c>
      <c r="AJ36" s="440">
        <f t="shared" si="7"/>
        <v>0</v>
      </c>
      <c r="AK36" s="441">
        <f t="shared" si="8"/>
        <v>0</v>
      </c>
      <c r="AL36" s="442">
        <f t="shared" si="9"/>
        <v>0</v>
      </c>
      <c r="AM36" s="443">
        <f t="shared" si="10"/>
        <v>0</v>
      </c>
      <c r="AN36" s="444">
        <f t="shared" si="11"/>
        <v>0</v>
      </c>
      <c r="AO36" s="11"/>
    </row>
    <row r="37" spans="1:41" x14ac:dyDescent="0.3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c r="P37" s="564"/>
      <c r="Q37" s="564"/>
      <c r="R37" s="564"/>
      <c r="S37" s="564"/>
      <c r="T37" s="564"/>
      <c r="U37" s="564"/>
      <c r="V37" s="564"/>
      <c r="W37" s="564"/>
      <c r="X37" s="564"/>
      <c r="Y37" s="564"/>
      <c r="Z37" s="564"/>
      <c r="AA37" s="250">
        <f t="shared" si="1"/>
        <v>0</v>
      </c>
      <c r="AB37" s="565" t="str">
        <f t="shared" si="2"/>
        <v/>
      </c>
      <c r="AC37" s="437"/>
      <c r="AD37" s="564"/>
      <c r="AE37" s="565" t="str">
        <f t="shared" si="3"/>
        <v/>
      </c>
      <c r="AF37" s="566">
        <f t="shared" si="4"/>
        <v>0</v>
      </c>
      <c r="AG37" s="564"/>
      <c r="AH37" s="565" t="str">
        <f t="shared" si="5"/>
        <v/>
      </c>
      <c r="AI37" s="567">
        <f t="shared" si="6"/>
        <v>0</v>
      </c>
      <c r="AJ37" s="440">
        <f t="shared" si="7"/>
        <v>0</v>
      </c>
      <c r="AK37" s="441">
        <f t="shared" si="8"/>
        <v>0</v>
      </c>
      <c r="AL37" s="442">
        <f t="shared" si="9"/>
        <v>0</v>
      </c>
      <c r="AM37" s="443">
        <f t="shared" si="10"/>
        <v>0</v>
      </c>
      <c r="AN37" s="444">
        <f t="shared" si="11"/>
        <v>0</v>
      </c>
      <c r="AO37" s="11"/>
    </row>
    <row r="38" spans="1:41" x14ac:dyDescent="0.3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v>2751</v>
      </c>
      <c r="P38" s="564"/>
      <c r="Q38" s="564"/>
      <c r="R38" s="564"/>
      <c r="S38" s="564"/>
      <c r="T38" s="564"/>
      <c r="U38" s="564"/>
      <c r="V38" s="564"/>
      <c r="W38" s="564"/>
      <c r="X38" s="564"/>
      <c r="Y38" s="564"/>
      <c r="Z38" s="564"/>
      <c r="AA38" s="250">
        <f t="shared" si="1"/>
        <v>2751</v>
      </c>
      <c r="AB38" s="565">
        <f t="shared" si="2"/>
        <v>0.56071680438300775</v>
      </c>
      <c r="AC38" s="437"/>
      <c r="AD38" s="564"/>
      <c r="AE38" s="565" t="str">
        <f t="shared" si="3"/>
        <v/>
      </c>
      <c r="AF38" s="566">
        <f t="shared" si="4"/>
        <v>2751</v>
      </c>
      <c r="AG38" s="564"/>
      <c r="AH38" s="565" t="str">
        <f t="shared" si="5"/>
        <v/>
      </c>
      <c r="AI38" s="567">
        <f t="shared" si="6"/>
        <v>2751</v>
      </c>
      <c r="AJ38" s="440">
        <f t="shared" si="7"/>
        <v>21.161538461538463</v>
      </c>
      <c r="AK38" s="441">
        <f t="shared" si="8"/>
        <v>0</v>
      </c>
      <c r="AL38" s="442">
        <f t="shared" si="9"/>
        <v>0</v>
      </c>
      <c r="AM38" s="443">
        <f t="shared" si="10"/>
        <v>0</v>
      </c>
      <c r="AN38" s="444">
        <f t="shared" si="11"/>
        <v>0</v>
      </c>
      <c r="AO38" s="11"/>
    </row>
    <row r="39" spans="1:41" x14ac:dyDescent="0.3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v>7700</v>
      </c>
      <c r="AH39" s="446">
        <f t="shared" si="5"/>
        <v>0.46172591949418823</v>
      </c>
      <c r="AI39" s="448">
        <f t="shared" si="6"/>
        <v>-7700</v>
      </c>
      <c r="AJ39" s="449">
        <f t="shared" si="7"/>
        <v>0</v>
      </c>
      <c r="AK39" s="450">
        <f t="shared" si="8"/>
        <v>0</v>
      </c>
      <c r="AL39" s="451">
        <f t="shared" si="9"/>
        <v>59.230769230769234</v>
      </c>
      <c r="AM39" s="452">
        <f t="shared" si="10"/>
        <v>0</v>
      </c>
      <c r="AN39" s="453">
        <f t="shared" si="11"/>
        <v>0</v>
      </c>
      <c r="AO39" s="11"/>
    </row>
    <row r="40" spans="1:41" x14ac:dyDescent="0.3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54">
        <v>2751</v>
      </c>
      <c r="P40" s="225"/>
      <c r="Q40" s="225"/>
      <c r="R40" s="225"/>
      <c r="S40" s="225"/>
      <c r="T40" s="225"/>
      <c r="U40" s="225"/>
      <c r="V40" s="225"/>
      <c r="W40" s="225"/>
      <c r="X40" s="225"/>
      <c r="Y40" s="225"/>
      <c r="Z40" s="225"/>
      <c r="AA40" s="225">
        <f t="shared" si="1"/>
        <v>2751</v>
      </c>
      <c r="AB40" s="226">
        <f t="shared" si="2"/>
        <v>0.56071680438300775</v>
      </c>
      <c r="AC40" s="227"/>
      <c r="AD40" s="225"/>
      <c r="AE40" s="226" t="str">
        <f t="shared" si="3"/>
        <v/>
      </c>
      <c r="AF40" s="228">
        <f t="shared" si="4"/>
        <v>2751</v>
      </c>
      <c r="AG40" s="225">
        <v>8420</v>
      </c>
      <c r="AH40" s="226">
        <f t="shared" si="5"/>
        <v>0.5049002911871513</v>
      </c>
      <c r="AI40" s="455">
        <f t="shared" si="6"/>
        <v>-5669</v>
      </c>
      <c r="AJ40" s="229">
        <f t="shared" si="7"/>
        <v>21.161538461538463</v>
      </c>
      <c r="AK40" s="230">
        <f t="shared" si="8"/>
        <v>0</v>
      </c>
      <c r="AL40" s="232">
        <f t="shared" si="9"/>
        <v>64.769230769230774</v>
      </c>
      <c r="AM40" s="427">
        <f t="shared" si="10"/>
        <v>0</v>
      </c>
      <c r="AN40" s="456" t="str">
        <f t="shared" si="11"/>
        <v>5.58 pts.</v>
      </c>
      <c r="AO40" s="11"/>
    </row>
    <row r="41" spans="1:41" x14ac:dyDescent="0.3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10"/>
      <c r="Q41" s="210"/>
      <c r="R41" s="210"/>
      <c r="S41" s="210"/>
      <c r="T41" s="210"/>
      <c r="U41" s="210"/>
      <c r="V41" s="210"/>
      <c r="W41" s="210"/>
      <c r="X41" s="210"/>
      <c r="Y41" s="210"/>
      <c r="Z41" s="210"/>
      <c r="AA41" s="252" t="str">
        <f t="shared" si="1"/>
        <v/>
      </c>
      <c r="AB41" s="211" t="str">
        <f t="shared" si="2"/>
        <v/>
      </c>
      <c r="AC41" s="459"/>
      <c r="AD41" s="210"/>
      <c r="AE41" s="211" t="str">
        <f t="shared" si="3"/>
        <v/>
      </c>
      <c r="AF41" s="253" t="str">
        <f t="shared" si="4"/>
        <v/>
      </c>
      <c r="AG41" s="210"/>
      <c r="AH41" s="211" t="str">
        <f t="shared" si="5"/>
        <v/>
      </c>
      <c r="AI41" s="569" t="str">
        <f t="shared" si="6"/>
        <v/>
      </c>
      <c r="AJ41" s="234">
        <f t="shared" si="7"/>
        <v>0</v>
      </c>
      <c r="AK41" s="235">
        <f t="shared" si="8"/>
        <v>0</v>
      </c>
      <c r="AL41" s="237">
        <f t="shared" si="9"/>
        <v>0</v>
      </c>
      <c r="AM41" s="429">
        <f t="shared" si="10"/>
        <v>0</v>
      </c>
      <c r="AN41" s="462">
        <f t="shared" si="11"/>
        <v>0</v>
      </c>
      <c r="AO41" s="11"/>
    </row>
    <row r="42" spans="1:41" x14ac:dyDescent="0.3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c r="Q42" s="564"/>
      <c r="R42" s="564"/>
      <c r="S42" s="564"/>
      <c r="T42" s="564"/>
      <c r="U42" s="564"/>
      <c r="V42" s="564"/>
      <c r="W42" s="564"/>
      <c r="X42" s="564"/>
      <c r="Y42" s="564"/>
      <c r="Z42" s="564"/>
      <c r="AA42" s="250">
        <f t="shared" si="1"/>
        <v>0</v>
      </c>
      <c r="AB42" s="565" t="str">
        <f t="shared" si="2"/>
        <v/>
      </c>
      <c r="AC42" s="437"/>
      <c r="AD42" s="564"/>
      <c r="AE42" s="565" t="str">
        <f t="shared" si="3"/>
        <v/>
      </c>
      <c r="AF42" s="566">
        <f t="shared" si="4"/>
        <v>0</v>
      </c>
      <c r="AG42" s="564">
        <v>1028</v>
      </c>
      <c r="AH42" s="565">
        <f t="shared" si="5"/>
        <v>6.1643408472730581E-2</v>
      </c>
      <c r="AI42" s="567">
        <f t="shared" si="6"/>
        <v>-1028</v>
      </c>
      <c r="AJ42" s="440">
        <f t="shared" si="7"/>
        <v>0</v>
      </c>
      <c r="AK42" s="441">
        <f t="shared" si="8"/>
        <v>0</v>
      </c>
      <c r="AL42" s="442">
        <f t="shared" si="9"/>
        <v>7.907692307692308</v>
      </c>
      <c r="AM42" s="443">
        <f t="shared" si="10"/>
        <v>0</v>
      </c>
      <c r="AN42" s="444">
        <f t="shared" si="11"/>
        <v>0</v>
      </c>
      <c r="AO42" s="11"/>
    </row>
    <row r="43" spans="1:41" ht="15" thickBot="1" x14ac:dyDescent="0.4">
      <c r="A43" s="11" t="s">
        <v>108</v>
      </c>
      <c r="B43" s="11"/>
      <c r="C43" s="574"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c r="P43" s="564"/>
      <c r="Q43" s="564"/>
      <c r="R43" s="564"/>
      <c r="S43" s="564"/>
      <c r="T43" s="564"/>
      <c r="U43" s="564"/>
      <c r="V43" s="564"/>
      <c r="W43" s="564"/>
      <c r="X43" s="564"/>
      <c r="Y43" s="564"/>
      <c r="Z43" s="564"/>
      <c r="AA43" s="250">
        <f t="shared" si="1"/>
        <v>0</v>
      </c>
      <c r="AB43" s="565" t="str">
        <f t="shared" si="2"/>
        <v/>
      </c>
      <c r="AC43" s="437"/>
      <c r="AD43" s="564"/>
      <c r="AE43" s="565" t="str">
        <f t="shared" si="3"/>
        <v/>
      </c>
      <c r="AF43" s="566">
        <f t="shared" si="4"/>
        <v>0</v>
      </c>
      <c r="AG43" s="564"/>
      <c r="AH43" s="565" t="str">
        <f t="shared" si="5"/>
        <v/>
      </c>
      <c r="AI43" s="567">
        <f t="shared" si="6"/>
        <v>0</v>
      </c>
      <c r="AJ43" s="440">
        <f t="shared" si="7"/>
        <v>0</v>
      </c>
      <c r="AK43" s="441">
        <f t="shared" si="8"/>
        <v>0</v>
      </c>
      <c r="AL43" s="442">
        <f t="shared" si="9"/>
        <v>0</v>
      </c>
      <c r="AM43" s="443">
        <f t="shared" si="10"/>
        <v>0</v>
      </c>
      <c r="AN43" s="444">
        <f t="shared" si="11"/>
        <v>0</v>
      </c>
      <c r="AO43" s="11"/>
    </row>
    <row r="44" spans="1:41" ht="15.5" thickTop="1" thickBot="1" x14ac:dyDescent="0.4">
      <c r="A44" s="11" t="s">
        <v>108</v>
      </c>
      <c r="B44" s="11"/>
      <c r="C44" s="574"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c r="P44" s="564"/>
      <c r="Q44" s="564"/>
      <c r="R44" s="564"/>
      <c r="S44" s="564"/>
      <c r="T44" s="564"/>
      <c r="U44" s="564"/>
      <c r="V44" s="564"/>
      <c r="W44" s="564"/>
      <c r="X44" s="564"/>
      <c r="Y44" s="564"/>
      <c r="Z44" s="564"/>
      <c r="AA44" s="250">
        <f t="shared" si="1"/>
        <v>0</v>
      </c>
      <c r="AB44" s="565" t="str">
        <f t="shared" si="2"/>
        <v/>
      </c>
      <c r="AC44" s="437"/>
      <c r="AD44" s="564"/>
      <c r="AE44" s="565" t="str">
        <f t="shared" si="3"/>
        <v/>
      </c>
      <c r="AF44" s="566">
        <f t="shared" si="4"/>
        <v>0</v>
      </c>
      <c r="AG44" s="564"/>
      <c r="AH44" s="565" t="str">
        <f t="shared" si="5"/>
        <v/>
      </c>
      <c r="AI44" s="567">
        <f t="shared" si="6"/>
        <v>0</v>
      </c>
      <c r="AJ44" s="440">
        <f t="shared" si="7"/>
        <v>0</v>
      </c>
      <c r="AK44" s="441">
        <f t="shared" si="8"/>
        <v>0</v>
      </c>
      <c r="AL44" s="442">
        <f t="shared" si="9"/>
        <v>0</v>
      </c>
      <c r="AM44" s="443">
        <f t="shared" si="10"/>
        <v>0</v>
      </c>
      <c r="AN44" s="444">
        <f t="shared" si="11"/>
        <v>0</v>
      </c>
      <c r="AO44" s="11"/>
    </row>
    <row r="45" spans="1:41" ht="15" thickTop="1" x14ac:dyDescent="0.3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45"/>
      <c r="P45" s="251"/>
      <c r="Q45" s="251"/>
      <c r="R45" s="251"/>
      <c r="S45" s="251"/>
      <c r="T45" s="251"/>
      <c r="U45" s="251"/>
      <c r="V45" s="251"/>
      <c r="W45" s="251"/>
      <c r="X45" s="251"/>
      <c r="Y45" s="251"/>
      <c r="Z45" s="251"/>
      <c r="AA45" s="251">
        <f t="shared" si="1"/>
        <v>0</v>
      </c>
      <c r="AB45" s="446" t="str">
        <f t="shared" si="2"/>
        <v/>
      </c>
      <c r="AC45" s="437"/>
      <c r="AD45" s="251"/>
      <c r="AE45" s="446" t="str">
        <f t="shared" si="3"/>
        <v/>
      </c>
      <c r="AF45" s="447">
        <f t="shared" si="4"/>
        <v>0</v>
      </c>
      <c r="AG45" s="251"/>
      <c r="AH45" s="446" t="str">
        <f t="shared" si="5"/>
        <v/>
      </c>
      <c r="AI45" s="448">
        <f t="shared" si="6"/>
        <v>0</v>
      </c>
      <c r="AJ45" s="449">
        <f t="shared" si="7"/>
        <v>0</v>
      </c>
      <c r="AK45" s="450">
        <f t="shared" si="8"/>
        <v>0</v>
      </c>
      <c r="AL45" s="451">
        <f t="shared" si="9"/>
        <v>0</v>
      </c>
      <c r="AM45" s="452">
        <f t="shared" si="10"/>
        <v>0</v>
      </c>
      <c r="AN45" s="453">
        <f t="shared" si="11"/>
        <v>0</v>
      </c>
      <c r="AO45" s="11"/>
    </row>
    <row r="46" spans="1:41" x14ac:dyDescent="0.3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54"/>
      <c r="P46" s="225"/>
      <c r="Q46" s="225"/>
      <c r="R46" s="225"/>
      <c r="S46" s="225"/>
      <c r="T46" s="225"/>
      <c r="U46" s="225"/>
      <c r="V46" s="225"/>
      <c r="W46" s="225"/>
      <c r="X46" s="225"/>
      <c r="Y46" s="225"/>
      <c r="Z46" s="225"/>
      <c r="AA46" s="225">
        <f t="shared" si="1"/>
        <v>0</v>
      </c>
      <c r="AB46" s="226" t="str">
        <f t="shared" si="2"/>
        <v/>
      </c>
      <c r="AC46" s="227"/>
      <c r="AD46" s="225"/>
      <c r="AE46" s="226" t="str">
        <f t="shared" si="3"/>
        <v/>
      </c>
      <c r="AF46" s="228">
        <f t="shared" si="4"/>
        <v>0</v>
      </c>
      <c r="AG46" s="225">
        <v>1028</v>
      </c>
      <c r="AH46" s="226">
        <f t="shared" si="5"/>
        <v>6.1643408472730581E-2</v>
      </c>
      <c r="AI46" s="455">
        <f t="shared" si="6"/>
        <v>-1028</v>
      </c>
      <c r="AJ46" s="229">
        <f t="shared" si="7"/>
        <v>0</v>
      </c>
      <c r="AK46" s="230">
        <f t="shared" si="8"/>
        <v>0</v>
      </c>
      <c r="AL46" s="232">
        <f t="shared" si="9"/>
        <v>7.907692307692308</v>
      </c>
      <c r="AM46" s="427">
        <f t="shared" si="10"/>
        <v>0</v>
      </c>
      <c r="AN46" s="456">
        <f t="shared" si="11"/>
        <v>0</v>
      </c>
      <c r="AO46" s="11"/>
    </row>
    <row r="47" spans="1:41" x14ac:dyDescent="0.35">
      <c r="A47" s="61"/>
      <c r="B47" s="11" t="s">
        <v>821</v>
      </c>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5"/>
      <c r="P47" s="216"/>
      <c r="Q47" s="216"/>
      <c r="R47" s="216"/>
      <c r="S47" s="216"/>
      <c r="T47" s="216"/>
      <c r="U47" s="216"/>
      <c r="V47" s="216"/>
      <c r="W47" s="216"/>
      <c r="X47" s="216"/>
      <c r="Y47" s="216"/>
      <c r="Z47" s="216"/>
      <c r="AA47" s="216">
        <f t="shared" si="1"/>
        <v>0</v>
      </c>
      <c r="AB47" s="218" t="str">
        <f t="shared" si="2"/>
        <v/>
      </c>
      <c r="AC47" s="459"/>
      <c r="AD47" s="216"/>
      <c r="AE47" s="218" t="str">
        <f t="shared" si="3"/>
        <v/>
      </c>
      <c r="AF47" s="233">
        <f t="shared" si="4"/>
        <v>0</v>
      </c>
      <c r="AG47" s="216"/>
      <c r="AH47" s="218" t="str">
        <f t="shared" si="5"/>
        <v/>
      </c>
      <c r="AI47" s="536">
        <f t="shared" si="6"/>
        <v>0</v>
      </c>
      <c r="AJ47" s="537">
        <f t="shared" si="7"/>
        <v>0</v>
      </c>
      <c r="AK47" s="538">
        <f t="shared" si="8"/>
        <v>0</v>
      </c>
      <c r="AL47" s="539">
        <f t="shared" si="9"/>
        <v>0</v>
      </c>
      <c r="AM47" s="540">
        <f t="shared" si="10"/>
        <v>0</v>
      </c>
      <c r="AN47" s="541">
        <f t="shared" si="11"/>
        <v>0</v>
      </c>
      <c r="AO47" s="11"/>
    </row>
    <row r="48" spans="1:41" x14ac:dyDescent="0.3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54">
        <v>2751</v>
      </c>
      <c r="P48" s="225"/>
      <c r="Q48" s="225"/>
      <c r="R48" s="225"/>
      <c r="S48" s="225"/>
      <c r="T48" s="225"/>
      <c r="U48" s="225"/>
      <c r="V48" s="225"/>
      <c r="W48" s="225"/>
      <c r="X48" s="225"/>
      <c r="Y48" s="225"/>
      <c r="Z48" s="225"/>
      <c r="AA48" s="225">
        <f t="shared" si="1"/>
        <v>2751</v>
      </c>
      <c r="AB48" s="226">
        <f t="shared" si="2"/>
        <v>0.56071680438300775</v>
      </c>
      <c r="AC48" s="227"/>
      <c r="AD48" s="225"/>
      <c r="AE48" s="226" t="str">
        <f t="shared" si="3"/>
        <v/>
      </c>
      <c r="AF48" s="228">
        <f t="shared" si="4"/>
        <v>2751</v>
      </c>
      <c r="AG48" s="225">
        <v>9448</v>
      </c>
      <c r="AH48" s="226">
        <f t="shared" si="5"/>
        <v>0.56654369965988183</v>
      </c>
      <c r="AI48" s="455">
        <f t="shared" si="6"/>
        <v>-6697</v>
      </c>
      <c r="AJ48" s="229">
        <f t="shared" si="7"/>
        <v>21.161538461538463</v>
      </c>
      <c r="AK48" s="230">
        <f t="shared" si="8"/>
        <v>0</v>
      </c>
      <c r="AL48" s="232">
        <f t="shared" si="9"/>
        <v>72.676923076923075</v>
      </c>
      <c r="AM48" s="427">
        <f t="shared" si="10"/>
        <v>0</v>
      </c>
      <c r="AN48" s="456" t="str">
        <f t="shared" si="11"/>
        <v>-0.58 pts.</v>
      </c>
      <c r="AO48" s="11"/>
    </row>
    <row r="49" spans="1:41" x14ac:dyDescent="0.3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10"/>
      <c r="Q49" s="210"/>
      <c r="R49" s="210"/>
      <c r="S49" s="210"/>
      <c r="T49" s="210"/>
      <c r="U49" s="210"/>
      <c r="V49" s="210"/>
      <c r="W49" s="210"/>
      <c r="X49" s="210"/>
      <c r="Y49" s="210"/>
      <c r="Z49" s="210"/>
      <c r="AA49" s="252" t="str">
        <f t="shared" si="1"/>
        <v/>
      </c>
      <c r="AB49" s="211" t="str">
        <f t="shared" si="2"/>
        <v/>
      </c>
      <c r="AC49" s="459"/>
      <c r="AD49" s="210"/>
      <c r="AE49" s="211" t="str">
        <f t="shared" si="3"/>
        <v/>
      </c>
      <c r="AF49" s="253" t="str">
        <f t="shared" si="4"/>
        <v/>
      </c>
      <c r="AG49" s="210"/>
      <c r="AH49" s="211" t="str">
        <f t="shared" si="5"/>
        <v/>
      </c>
      <c r="AI49" s="569" t="str">
        <f t="shared" si="6"/>
        <v/>
      </c>
      <c r="AJ49" s="234">
        <f t="shared" si="7"/>
        <v>0</v>
      </c>
      <c r="AK49" s="235">
        <f t="shared" si="8"/>
        <v>0</v>
      </c>
      <c r="AL49" s="237">
        <f t="shared" si="9"/>
        <v>0</v>
      </c>
      <c r="AM49" s="429">
        <f t="shared" si="10"/>
        <v>0</v>
      </c>
      <c r="AN49" s="462">
        <f t="shared" si="11"/>
        <v>0</v>
      </c>
      <c r="AO49" s="11"/>
    </row>
    <row r="50" spans="1:41" x14ac:dyDescent="0.35">
      <c r="A50" s="65" t="s">
        <v>2</v>
      </c>
      <c r="B50" s="66" t="str">
        <f>IF(_epmOfflineCondition_,"'BCC_Local'!$B$2:$B$10",_xll.EVRNG($B$2:$B$10))</f>
        <v>'BCC_Local'!$B$2:$B$10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v>300</v>
      </c>
      <c r="P50" s="564"/>
      <c r="Q50" s="564"/>
      <c r="R50" s="564"/>
      <c r="S50" s="564"/>
      <c r="T50" s="564"/>
      <c r="U50" s="564"/>
      <c r="V50" s="564"/>
      <c r="W50" s="564"/>
      <c r="X50" s="564"/>
      <c r="Y50" s="564"/>
      <c r="Z50" s="564"/>
      <c r="AA50" s="250">
        <f t="shared" si="1"/>
        <v>300</v>
      </c>
      <c r="AB50" s="565">
        <f t="shared" si="2"/>
        <v>6.1146870706980126E-2</v>
      </c>
      <c r="AC50" s="437"/>
      <c r="AD50" s="564"/>
      <c r="AE50" s="565" t="str">
        <f t="shared" si="3"/>
        <v/>
      </c>
      <c r="AF50" s="566">
        <f t="shared" si="4"/>
        <v>300</v>
      </c>
      <c r="AG50" s="564"/>
      <c r="AH50" s="565" t="str">
        <f t="shared" si="5"/>
        <v/>
      </c>
      <c r="AI50" s="567">
        <f t="shared" si="6"/>
        <v>300</v>
      </c>
      <c r="AJ50" s="440">
        <f t="shared" si="7"/>
        <v>2.3076923076923075</v>
      </c>
      <c r="AK50" s="441">
        <f t="shared" si="8"/>
        <v>0</v>
      </c>
      <c r="AL50" s="442">
        <f t="shared" si="9"/>
        <v>0</v>
      </c>
      <c r="AM50" s="443">
        <f t="shared" si="10"/>
        <v>0</v>
      </c>
      <c r="AN50" s="444">
        <f t="shared" si="11"/>
        <v>0</v>
      </c>
      <c r="AO50" s="11"/>
    </row>
    <row r="51" spans="1:41" x14ac:dyDescent="0.35">
      <c r="A51" s="65" t="s">
        <v>3</v>
      </c>
      <c r="B51" s="66" t="str">
        <f>IF(_epmOfflineCondition_,"'BCC_Local'!$O$16:$AN$18",_xll.EVRNG($O$16:$AN$18))</f>
        <v>'BCC_Local'!$O$16:$AN$18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v>250</v>
      </c>
      <c r="P51" s="564">
        <v>1000</v>
      </c>
      <c r="Q51" s="564"/>
      <c r="R51" s="564"/>
      <c r="S51" s="564"/>
      <c r="T51" s="564"/>
      <c r="U51" s="564"/>
      <c r="V51" s="564"/>
      <c r="W51" s="564"/>
      <c r="X51" s="564"/>
      <c r="Y51" s="564"/>
      <c r="Z51" s="564"/>
      <c r="AA51" s="250">
        <f t="shared" si="1"/>
        <v>1250</v>
      </c>
      <c r="AB51" s="565">
        <f t="shared" si="2"/>
        <v>0.25477862794575051</v>
      </c>
      <c r="AC51" s="437"/>
      <c r="AD51" s="564"/>
      <c r="AE51" s="565" t="str">
        <f t="shared" si="3"/>
        <v/>
      </c>
      <c r="AF51" s="566">
        <f t="shared" si="4"/>
        <v>1250</v>
      </c>
      <c r="AG51" s="564">
        <v>5000</v>
      </c>
      <c r="AH51" s="565">
        <f t="shared" si="5"/>
        <v>0.29982202564557675</v>
      </c>
      <c r="AI51" s="567">
        <f t="shared" si="6"/>
        <v>-3750</v>
      </c>
      <c r="AJ51" s="440">
        <f t="shared" si="7"/>
        <v>9.615384615384615</v>
      </c>
      <c r="AK51" s="441">
        <f t="shared" si="8"/>
        <v>0</v>
      </c>
      <c r="AL51" s="442">
        <f t="shared" si="9"/>
        <v>38.46153846153846</v>
      </c>
      <c r="AM51" s="443">
        <f t="shared" si="10"/>
        <v>0</v>
      </c>
      <c r="AN51" s="444" t="str">
        <f t="shared" si="11"/>
        <v>-4.5 pts.</v>
      </c>
      <c r="AO51" s="11"/>
    </row>
    <row r="52" spans="1:41" x14ac:dyDescent="0.35">
      <c r="A52" s="65" t="s">
        <v>4</v>
      </c>
      <c r="B52" s="66" t="str">
        <f>IF(_epmOfflineCondition_,"",_xll.EVRNG(#REF!))</f>
        <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v>605.22</v>
      </c>
      <c r="P52" s="564"/>
      <c r="Q52" s="564"/>
      <c r="R52" s="564"/>
      <c r="S52" s="564"/>
      <c r="T52" s="564"/>
      <c r="U52" s="564"/>
      <c r="V52" s="564"/>
      <c r="W52" s="564"/>
      <c r="X52" s="564"/>
      <c r="Y52" s="564"/>
      <c r="Z52" s="564"/>
      <c r="AA52" s="250">
        <f t="shared" si="1"/>
        <v>605.22</v>
      </c>
      <c r="AB52" s="565">
        <f t="shared" si="2"/>
        <v>0.12335769696426171</v>
      </c>
      <c r="AC52" s="437"/>
      <c r="AD52" s="564"/>
      <c r="AE52" s="565" t="str">
        <f t="shared" si="3"/>
        <v/>
      </c>
      <c r="AF52" s="566">
        <f t="shared" si="4"/>
        <v>605.22</v>
      </c>
      <c r="AG52" s="564">
        <v>2078.56</v>
      </c>
      <c r="AH52" s="565">
        <f t="shared" si="5"/>
        <v>0.124639613925174</v>
      </c>
      <c r="AI52" s="567">
        <f t="shared" si="6"/>
        <v>-1473.34</v>
      </c>
      <c r="AJ52" s="440">
        <f t="shared" si="7"/>
        <v>4.6555384615384616</v>
      </c>
      <c r="AK52" s="441">
        <f t="shared" si="8"/>
        <v>0</v>
      </c>
      <c r="AL52" s="442">
        <f t="shared" si="9"/>
        <v>15.988923076923076</v>
      </c>
      <c r="AM52" s="443">
        <f t="shared" si="10"/>
        <v>0</v>
      </c>
      <c r="AN52" s="444" t="str">
        <f t="shared" si="11"/>
        <v>-0.13 pts.</v>
      </c>
      <c r="AO52" s="11"/>
    </row>
    <row r="53" spans="1:41" x14ac:dyDescent="0.3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c r="P53" s="564"/>
      <c r="Q53" s="564"/>
      <c r="R53" s="564"/>
      <c r="S53" s="564"/>
      <c r="T53" s="564"/>
      <c r="U53" s="564"/>
      <c r="V53" s="564"/>
      <c r="W53" s="564"/>
      <c r="X53" s="564"/>
      <c r="Y53" s="564"/>
      <c r="Z53" s="564"/>
      <c r="AA53" s="250">
        <f t="shared" si="1"/>
        <v>0</v>
      </c>
      <c r="AB53" s="565" t="str">
        <f t="shared" si="2"/>
        <v/>
      </c>
      <c r="AC53" s="437"/>
      <c r="AD53" s="564"/>
      <c r="AE53" s="565" t="str">
        <f t="shared" si="3"/>
        <v/>
      </c>
      <c r="AF53" s="566">
        <f t="shared" si="4"/>
        <v>0</v>
      </c>
      <c r="AG53" s="564">
        <v>150</v>
      </c>
      <c r="AH53" s="565">
        <f t="shared" si="5"/>
        <v>8.9946607693673023E-3</v>
      </c>
      <c r="AI53" s="567">
        <f t="shared" si="6"/>
        <v>-150</v>
      </c>
      <c r="AJ53" s="440">
        <f t="shared" si="7"/>
        <v>0</v>
      </c>
      <c r="AK53" s="441">
        <f t="shared" si="8"/>
        <v>0</v>
      </c>
      <c r="AL53" s="442">
        <f t="shared" si="9"/>
        <v>1.1538461538461537</v>
      </c>
      <c r="AM53" s="443">
        <f t="shared" si="10"/>
        <v>0</v>
      </c>
      <c r="AN53" s="444">
        <f t="shared" si="11"/>
        <v>0</v>
      </c>
      <c r="AO53" s="11"/>
    </row>
    <row r="54" spans="1:41" x14ac:dyDescent="0.3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45"/>
      <c r="P54" s="251"/>
      <c r="Q54" s="251"/>
      <c r="R54" s="251"/>
      <c r="S54" s="251"/>
      <c r="T54" s="251"/>
      <c r="U54" s="251"/>
      <c r="V54" s="251"/>
      <c r="W54" s="251"/>
      <c r="X54" s="251"/>
      <c r="Y54" s="251"/>
      <c r="Z54" s="251"/>
      <c r="AA54" s="251">
        <f t="shared" si="1"/>
        <v>0</v>
      </c>
      <c r="AB54" s="446" t="str">
        <f t="shared" si="2"/>
        <v/>
      </c>
      <c r="AC54" s="437"/>
      <c r="AD54" s="251"/>
      <c r="AE54" s="446" t="str">
        <f t="shared" si="3"/>
        <v/>
      </c>
      <c r="AF54" s="447">
        <f t="shared" si="4"/>
        <v>0</v>
      </c>
      <c r="AG54" s="251"/>
      <c r="AH54" s="446" t="str">
        <f t="shared" si="5"/>
        <v/>
      </c>
      <c r="AI54" s="448">
        <f t="shared" si="6"/>
        <v>0</v>
      </c>
      <c r="AJ54" s="449">
        <f t="shared" si="7"/>
        <v>0</v>
      </c>
      <c r="AK54" s="450">
        <f t="shared" si="8"/>
        <v>0</v>
      </c>
      <c r="AL54" s="451">
        <f t="shared" si="9"/>
        <v>0</v>
      </c>
      <c r="AM54" s="452">
        <f t="shared" si="10"/>
        <v>0</v>
      </c>
      <c r="AN54" s="453">
        <f t="shared" si="11"/>
        <v>0</v>
      </c>
      <c r="AO54" s="11"/>
    </row>
    <row r="55" spans="1:41" ht="15" thickBot="1" x14ac:dyDescent="0.4">
      <c r="A55" s="65" t="s">
        <v>7</v>
      </c>
      <c r="B55" s="66" t="str">
        <f>IF(_epmOfflineCondition_,"'BCC_Local'!$A$69:$F$77",_xll.EVRNG(A69:F77))</f>
        <v>'BCC_Local'!$A$69:$F$77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63">
        <v>1155.22</v>
      </c>
      <c r="P55" s="238">
        <v>1000</v>
      </c>
      <c r="Q55" s="238"/>
      <c r="R55" s="238"/>
      <c r="S55" s="238"/>
      <c r="T55" s="238"/>
      <c r="U55" s="238"/>
      <c r="V55" s="238"/>
      <c r="W55" s="238"/>
      <c r="X55" s="238"/>
      <c r="Y55" s="238"/>
      <c r="Z55" s="238"/>
      <c r="AA55" s="238">
        <f t="shared" si="1"/>
        <v>2155.2200000000003</v>
      </c>
      <c r="AB55" s="239">
        <f t="shared" si="2"/>
        <v>0.43928319561699242</v>
      </c>
      <c r="AC55" s="240"/>
      <c r="AD55" s="238"/>
      <c r="AE55" s="239" t="str">
        <f t="shared" si="3"/>
        <v/>
      </c>
      <c r="AF55" s="241">
        <f t="shared" si="4"/>
        <v>2155.2200000000003</v>
      </c>
      <c r="AG55" s="238">
        <v>7228.56</v>
      </c>
      <c r="AH55" s="239">
        <f t="shared" si="5"/>
        <v>0.43345630034011812</v>
      </c>
      <c r="AI55" s="464">
        <f t="shared" si="6"/>
        <v>-5073.34</v>
      </c>
      <c r="AJ55" s="242">
        <f t="shared" si="7"/>
        <v>16.578615384615386</v>
      </c>
      <c r="AK55" s="243">
        <f t="shared" si="8"/>
        <v>0</v>
      </c>
      <c r="AL55" s="245">
        <f t="shared" si="9"/>
        <v>55.604307692307692</v>
      </c>
      <c r="AM55" s="431">
        <f t="shared" si="10"/>
        <v>0</v>
      </c>
      <c r="AN55" s="465" t="str">
        <f t="shared" si="11"/>
        <v>0.58 pts.</v>
      </c>
      <c r="AO55" s="11"/>
    </row>
    <row r="56" spans="1:41" ht="15.5" thickTop="1" thickBot="1" x14ac:dyDescent="0.4">
      <c r="A56" s="65" t="s">
        <v>47</v>
      </c>
      <c r="B56" s="66" t="str">
        <f>IF(_epmOfflineCondition_,"'BCC_Local'!$A$125:$B$146",_xll.EVRNG($A$125:$B$146))</f>
        <v>'BCC_Local'!$A$125:$B$146</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575">
        <v>3906.22</v>
      </c>
      <c r="P56" s="576">
        <v>1000</v>
      </c>
      <c r="Q56" s="576"/>
      <c r="R56" s="576"/>
      <c r="S56" s="576"/>
      <c r="T56" s="576"/>
      <c r="U56" s="576"/>
      <c r="V56" s="576"/>
      <c r="W56" s="576"/>
      <c r="X56" s="576"/>
      <c r="Y56" s="576"/>
      <c r="Z56" s="576"/>
      <c r="AA56" s="576">
        <f t="shared" si="1"/>
        <v>4906.2199999999993</v>
      </c>
      <c r="AB56" s="577">
        <f t="shared" si="2"/>
        <v>1</v>
      </c>
      <c r="AC56" s="578"/>
      <c r="AD56" s="576"/>
      <c r="AE56" s="577" t="str">
        <f t="shared" si="3"/>
        <v/>
      </c>
      <c r="AF56" s="579">
        <f t="shared" si="4"/>
        <v>4906.2199999999993</v>
      </c>
      <c r="AG56" s="576">
        <v>16676.560000000001</v>
      </c>
      <c r="AH56" s="577">
        <f t="shared" si="5"/>
        <v>1</v>
      </c>
      <c r="AI56" s="580">
        <f t="shared" si="6"/>
        <v>-11770.340000000002</v>
      </c>
      <c r="AJ56" s="581">
        <f t="shared" si="7"/>
        <v>37.740153846153838</v>
      </c>
      <c r="AK56" s="582">
        <f t="shared" si="8"/>
        <v>0</v>
      </c>
      <c r="AL56" s="583">
        <f t="shared" si="9"/>
        <v>128.28123076923077</v>
      </c>
      <c r="AM56" s="584">
        <f t="shared" si="10"/>
        <v>0</v>
      </c>
      <c r="AN56" s="585" t="str">
        <f t="shared" si="11"/>
        <v>0 pts.</v>
      </c>
      <c r="AO56" s="11"/>
    </row>
    <row r="57" spans="1:41" ht="15" thickTop="1" x14ac:dyDescent="0.35">
      <c r="A57" s="65" t="s">
        <v>8</v>
      </c>
      <c r="B57" s="66"/>
      <c r="C57" s="11"/>
      <c r="D57" s="11"/>
      <c r="E57" s="11"/>
      <c r="F57" s="11"/>
      <c r="G57" s="11"/>
      <c r="H57" s="11"/>
      <c r="I57" s="59"/>
      <c r="J57" s="59"/>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11"/>
      <c r="B58" s="11"/>
      <c r="C58" s="11"/>
      <c r="D58" s="11"/>
      <c r="E58" s="11"/>
      <c r="F58" s="11"/>
      <c r="G58" s="76"/>
      <c r="H58" s="11"/>
      <c r="I58" s="59"/>
      <c r="J58" s="59"/>
      <c r="K58" s="11"/>
      <c r="L58" s="11"/>
      <c r="M58" s="11"/>
      <c r="N58" s="11"/>
      <c r="O58" s="137"/>
      <c r="P58" s="137"/>
      <c r="Q58" s="137"/>
      <c r="R58" s="137"/>
      <c r="S58" s="137"/>
      <c r="T58" s="137"/>
      <c r="U58" s="137"/>
      <c r="V58" s="137"/>
      <c r="W58" s="137"/>
      <c r="X58" s="137"/>
      <c r="Y58" s="137"/>
      <c r="Z58" s="137"/>
      <c r="AA58" s="137"/>
      <c r="AB58" s="11"/>
      <c r="AC58" s="11"/>
      <c r="AD58" s="137"/>
      <c r="AE58" s="11"/>
      <c r="AF58" s="11"/>
      <c r="AG58" s="137"/>
      <c r="AH58" s="11"/>
      <c r="AI58" s="11"/>
      <c r="AJ58" s="11"/>
      <c r="AK58" s="11"/>
      <c r="AL58" s="11"/>
      <c r="AM58" s="11"/>
      <c r="AN58" s="11"/>
      <c r="AO58" s="11"/>
    </row>
    <row r="59" spans="1:41" x14ac:dyDescent="0.35">
      <c r="A59" s="62" t="s">
        <v>9</v>
      </c>
      <c r="B59" s="63" t="s">
        <v>10</v>
      </c>
      <c r="C59" s="11"/>
      <c r="D59" s="11"/>
      <c r="E59" s="11"/>
      <c r="F59" s="11"/>
      <c r="G59" s="11"/>
      <c r="H59" s="11"/>
      <c r="I59" s="59"/>
      <c r="J59" s="59"/>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65" t="s">
        <v>11</v>
      </c>
      <c r="B60" s="66" t="s">
        <v>21</v>
      </c>
      <c r="C60" s="11"/>
      <c r="D60" s="11"/>
      <c r="E60" s="11"/>
      <c r="F60" s="11"/>
      <c r="G60" s="11"/>
      <c r="H60" s="11"/>
      <c r="I60" s="59"/>
      <c r="J60" s="59"/>
      <c r="K60" s="11"/>
      <c r="L60" s="11"/>
      <c r="M60" s="11"/>
      <c r="N60" s="11"/>
      <c r="O60" s="137"/>
      <c r="P60" s="137"/>
      <c r="Q60" s="137"/>
      <c r="R60" s="137"/>
      <c r="S60" s="137"/>
      <c r="T60" s="137"/>
      <c r="U60" s="137"/>
      <c r="V60" s="137"/>
      <c r="W60" s="137"/>
      <c r="X60" s="137"/>
      <c r="Y60" s="137"/>
      <c r="Z60" s="137"/>
      <c r="AA60" s="137"/>
      <c r="AB60" s="11"/>
      <c r="AC60" s="11"/>
      <c r="AD60" s="137"/>
      <c r="AE60" s="11"/>
      <c r="AF60" s="11"/>
      <c r="AG60" s="137"/>
      <c r="AH60" s="11"/>
      <c r="AI60" s="11"/>
      <c r="AJ60" s="11"/>
      <c r="AK60" s="11"/>
      <c r="AL60" s="11"/>
      <c r="AM60" s="11"/>
      <c r="AN60" s="11"/>
      <c r="AO60" s="11"/>
    </row>
    <row r="61" spans="1:41" x14ac:dyDescent="0.35">
      <c r="A61" s="65" t="s">
        <v>12</v>
      </c>
      <c r="B61" s="66" t="s">
        <v>22</v>
      </c>
      <c r="C61" s="11"/>
      <c r="D61" s="11"/>
      <c r="E61" s="11"/>
      <c r="F61" s="11"/>
      <c r="G61" s="11"/>
      <c r="H61" s="11"/>
      <c r="I61" s="59"/>
      <c r="J61" s="59"/>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13</v>
      </c>
      <c r="B62" s="66" t="str">
        <f>"DEP(COS_FB) AND "&amp;$E$6&amp;"=Y,COS_FB,COSOTH,DEP(COS_OTHR) AND "&amp;$E$6&amp;"=Y,COS_OTHR,500001"</f>
        <v>DEP(COS_FB) AND D2148=Y,COS_FB,COSOTH,DEP(COS_OTHR) AND D2148=Y,COS_OTHR,500001</v>
      </c>
      <c r="C62" s="11"/>
      <c r="D62" s="11"/>
      <c r="E62" s="11"/>
      <c r="F62" s="11"/>
      <c r="G62" s="11"/>
      <c r="H62" s="11"/>
      <c r="I62" s="59"/>
      <c r="J62" s="59"/>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14</v>
      </c>
      <c r="B63" s="66"/>
      <c r="C63" s="11"/>
      <c r="D63" s="11"/>
      <c r="E63" s="11"/>
      <c r="F63" s="11"/>
      <c r="G63" s="11"/>
      <c r="H63" s="59"/>
      <c r="I63" s="59"/>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15</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16</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17</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97" t="s">
        <v>92</v>
      </c>
      <c r="B68" s="98" t="s">
        <v>93</v>
      </c>
      <c r="C68" s="98" t="s">
        <v>94</v>
      </c>
      <c r="D68" s="98" t="s">
        <v>95</v>
      </c>
      <c r="E68" s="98" t="s">
        <v>96</v>
      </c>
      <c r="F68" s="99" t="s">
        <v>97</v>
      </c>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t="s">
        <v>209</v>
      </c>
      <c r="B70" s="11" t="s">
        <v>21</v>
      </c>
      <c r="C70" s="395"/>
      <c r="D70" s="11" t="s">
        <v>590</v>
      </c>
      <c r="E70" s="11"/>
      <c r="F70" s="11" t="s">
        <v>99</v>
      </c>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t="s">
        <v>105</v>
      </c>
      <c r="B71" s="11"/>
      <c r="C71" s="104" t="s">
        <v>101</v>
      </c>
      <c r="D71" s="11" t="s">
        <v>106</v>
      </c>
      <c r="E71" s="11"/>
      <c r="F71" s="11" t="s">
        <v>98</v>
      </c>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t="s">
        <v>104</v>
      </c>
      <c r="B72" s="11"/>
      <c r="C72" s="104" t="s">
        <v>101</v>
      </c>
      <c r="D72" s="11" t="s">
        <v>106</v>
      </c>
      <c r="E72" s="11"/>
      <c r="F72" s="11" t="s">
        <v>98</v>
      </c>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t="s">
        <v>100</v>
      </c>
      <c r="B73" s="11"/>
      <c r="C73" s="53" t="s">
        <v>101</v>
      </c>
      <c r="D73" s="11" t="s">
        <v>106</v>
      </c>
      <c r="E73" s="11"/>
      <c r="F73" s="11" t="s">
        <v>98</v>
      </c>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hidden="1" x14ac:dyDescent="0.35">
      <c r="A74" s="11" t="s">
        <v>102</v>
      </c>
      <c r="B74" s="11"/>
      <c r="C74" s="106" t="s">
        <v>101</v>
      </c>
      <c r="D74" s="11" t="s">
        <v>106</v>
      </c>
      <c r="E74" s="11"/>
      <c r="F74" s="11" t="s">
        <v>98</v>
      </c>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hidden="1" x14ac:dyDescent="0.35">
      <c r="A75" s="11" t="s">
        <v>102</v>
      </c>
      <c r="B75" s="11"/>
      <c r="C75" s="196" t="s">
        <v>101</v>
      </c>
      <c r="D75" s="11" t="s">
        <v>107</v>
      </c>
      <c r="E75" s="11"/>
      <c r="F75" s="11" t="s">
        <v>99</v>
      </c>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t="s">
        <v>108</v>
      </c>
      <c r="B76" s="11"/>
      <c r="C76" s="106" t="s">
        <v>101</v>
      </c>
      <c r="D76" s="11" t="s">
        <v>106</v>
      </c>
      <c r="E76" s="11"/>
      <c r="F76" s="11" t="s">
        <v>98</v>
      </c>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hidden="1" x14ac:dyDescent="0.35">
      <c r="A77" s="11" t="s">
        <v>108</v>
      </c>
      <c r="B77" s="11"/>
      <c r="C77" s="196" t="s">
        <v>101</v>
      </c>
      <c r="D77" s="11" t="s">
        <v>107</v>
      </c>
      <c r="E77" s="11"/>
      <c r="F77" s="11" t="s">
        <v>99</v>
      </c>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hidden="1"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208"/>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1"/>
      <c r="B80" s="11" t="s">
        <v>822</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hidden="1"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hidden="1" x14ac:dyDescent="0.35">
      <c r="A82" s="62" t="s">
        <v>0</v>
      </c>
      <c r="B82" s="63" t="s">
        <v>1</v>
      </c>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2</v>
      </c>
      <c r="B83" s="66" t="str">
        <f>IF(_epmOfflineCondition_,"'BCC_Local'!$B$2:$B$10",_xll.EVRNG($B$2:$B$10))</f>
        <v>'BCC_Local'!$B$2:$B$10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3</v>
      </c>
      <c r="B84" s="66" t="str">
        <f>IF(_epmOfflineCondition_,"'BCC_Local'!$O$16:$AN$18",_xll.EVRNG($O$16:$AN$18))</f>
        <v>'BCC_Local'!$O$16:$AN$18</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4</v>
      </c>
      <c r="B85" s="66" t="str">
        <f>IF(_epmOfflineCondition_,"",_xll.EVRNG(#REF!,#REF!,#REF!))</f>
        <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5</v>
      </c>
      <c r="B86" s="66"/>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6</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7</v>
      </c>
      <c r="B88" s="66" t="str">
        <f>IF(_epmOfflineCondition_,"'BCC_Local'!$A$102:$F$108",_xll.EVRNG(A102:F108))</f>
        <v>'BCC_Local'!$A$102:$F$108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47</v>
      </c>
      <c r="B89" s="66" t="str">
        <f>IF(_epmOfflineCondition_,"'BCC_Local'!$A$125:$B$146",_xll.EVRNG($A$125:$B$146))</f>
        <v>'BCC_Local'!$A$125:$B$146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8</v>
      </c>
      <c r="B90" s="66"/>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76"/>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13</v>
      </c>
      <c r="B95" s="66" t="s">
        <v>737</v>
      </c>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17</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108</v>
      </c>
      <c r="B103" s="11"/>
      <c r="C103" s="104" t="s">
        <v>101</v>
      </c>
      <c r="D103" s="11" t="s">
        <v>106</v>
      </c>
      <c r="E103" s="11"/>
      <c r="F103" s="11" t="s">
        <v>98</v>
      </c>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109</v>
      </c>
      <c r="B106" s="11"/>
      <c r="C106" s="196"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t="s">
        <v>110</v>
      </c>
      <c r="B108" s="11"/>
      <c r="C108" s="109" t="s">
        <v>101</v>
      </c>
      <c r="D108" s="11" t="s">
        <v>107</v>
      </c>
      <c r="E108" s="11"/>
      <c r="F108" s="11" t="s">
        <v>99</v>
      </c>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1"/>
      <c r="B111" s="11" t="s">
        <v>736</v>
      </c>
      <c r="C111" s="11" t="s">
        <v>823</v>
      </c>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2</v>
      </c>
      <c r="B114" s="66" t="str">
        <f>IF(_epmOfflineCondition_,"'BCC_Local'!$B$2:$B$10",_xll.EVRNG($B$2:$B$10))</f>
        <v>'BCC_Local'!$B$2:$B$10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v>
      </c>
      <c r="B115" s="66" t="str">
        <f>IF(_epmOfflineCondition_,"'BCC_Local'!$O$16:$AN$18",_xll.EVRNG($O$16:$AN$18))</f>
        <v>'BCC_Local'!$O$16:$AN$18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4</v>
      </c>
      <c r="B116" s="66" t="str">
        <f>IF(_epmOfflineCondition_,"",_xll.EVRNG(#REF!))</f>
        <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47</v>
      </c>
      <c r="B120" s="66" t="str">
        <f>IF(_epmOfflineCondition_,"'BCC_Local'!$A$125:$B$146",_xll.EVRNG($A$125:$B$146))</f>
        <v>'BCC_Local'!$A$125:$B$146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26</v>
      </c>
      <c r="B126" s="66"/>
      <c r="C126" s="11"/>
      <c r="D126" s="11"/>
      <c r="E126" s="11"/>
      <c r="F126" s="11"/>
      <c r="G126" s="11"/>
      <c r="H126" s="11"/>
      <c r="I126" s="267"/>
      <c r="J126" s="11"/>
      <c r="K126" s="267"/>
      <c r="L126" s="267"/>
      <c r="M126" s="267"/>
      <c r="N126" s="11"/>
      <c r="O126" s="267"/>
      <c r="P126" s="267"/>
      <c r="Q126" s="267"/>
      <c r="R126" s="267"/>
      <c r="S126" s="267"/>
      <c r="T126" s="267"/>
      <c r="U126" s="267"/>
      <c r="V126" s="267"/>
      <c r="W126" s="267"/>
      <c r="X126" s="267"/>
      <c r="Y126" s="267"/>
      <c r="Z126" s="267"/>
      <c r="AA126" s="267"/>
      <c r="AB126" s="11"/>
      <c r="AC126" s="11"/>
      <c r="AD126" s="267"/>
      <c r="AE126" s="11"/>
      <c r="AF126" s="267"/>
      <c r="AG126" s="11"/>
      <c r="AH126" s="267"/>
      <c r="AI126" s="11"/>
      <c r="AJ126" s="11"/>
      <c r="AK126" s="11"/>
      <c r="AL126" s="11"/>
      <c r="AM126" s="11"/>
      <c r="AN126" s="11"/>
      <c r="AO126" s="11"/>
    </row>
    <row r="127" spans="1:41" x14ac:dyDescent="0.3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30</v>
      </c>
      <c r="B130" s="66" t="s">
        <v>78</v>
      </c>
      <c r="C130" s="11"/>
      <c r="D130" s="11"/>
      <c r="E130" s="11"/>
      <c r="F130" s="11"/>
      <c r="G130" s="11"/>
      <c r="H130" s="11"/>
      <c r="I130" s="267"/>
      <c r="J130" s="11"/>
      <c r="K130" s="267"/>
      <c r="L130" s="267"/>
      <c r="M130" s="267"/>
      <c r="N130" s="11"/>
      <c r="O130" s="267"/>
      <c r="P130" s="267"/>
      <c r="Q130" s="267"/>
      <c r="R130" s="267"/>
      <c r="S130" s="267"/>
      <c r="T130" s="267"/>
      <c r="U130" s="267"/>
      <c r="V130" s="267"/>
      <c r="W130" s="267"/>
      <c r="X130" s="267"/>
      <c r="Y130" s="267"/>
      <c r="Z130" s="267"/>
      <c r="AA130" s="267"/>
      <c r="AB130" s="11"/>
      <c r="AC130" s="11"/>
      <c r="AD130" s="267"/>
      <c r="AE130" s="11"/>
      <c r="AF130" s="267"/>
      <c r="AG130" s="11"/>
      <c r="AH130" s="267"/>
      <c r="AI130" s="11"/>
      <c r="AJ130" s="11"/>
      <c r="AK130" s="11"/>
      <c r="AL130" s="11"/>
      <c r="AM130" s="11"/>
      <c r="AN130" s="11"/>
      <c r="AO130" s="11"/>
    </row>
    <row r="131" spans="1:41" x14ac:dyDescent="0.3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267"/>
      <c r="F167" s="11"/>
      <c r="G167" s="267"/>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267"/>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sheetData>
  <sheetProtection algorithmName="SHA-512" hashValue="UgvJF648oLTJc1Dc1P4NNyMDQit7frG+WNm3wXWA4ajwVlbTccYLDIoU2Mk5P9eCTuzqFq3OKcPpal+G4WRRnA==" saltValue="foe4fef6u3CBHG5WZML3+A==" spinCount="100000" sheet="1" scenarios="1"/>
  <mergeCells count="2">
    <mergeCell ref="AD31:AE31"/>
    <mergeCell ref="AG31:AH31"/>
  </mergeCells>
  <dataValidations count="2">
    <dataValidation type="list" allowBlank="1" sqref="B94 B28 B61" xr:uid="{00000000-0002-0000-1B00-000000000000}">
      <formula1>"ACCOUNT,BUSINESSUNIT,CATEGORY,DATASRC,DEPARTMENT,INTCO,MEASURES,RPTCURRENCY,TIME"</formula1>
    </dataValidation>
    <dataValidation type="list" allowBlank="1" sqref="B95 B29 B62" xr:uid="{00000000-0002-0000-1B00-000001000000}">
      <formula1>"SELF,ALL,BAS,DEP,BASMEMBERS,MEMBERS,NOEXPAND,GDEP"</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8225"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08225" r:id="rId7" name="FPMExcelClientSheetOptionstb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7">
    <tabColor theme="6" tint="0.39997558519241921"/>
    <pageSetUpPr fitToPage="1"/>
  </sheetPr>
  <dimension ref="A1:AI206"/>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R42" sqref="R42"/>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8"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806</v>
      </c>
      <c r="C6" s="11" t="str">
        <f>IF(_epmOfflineCondition_,"Banquet CS Local",_xll.EVDES(B6,$B$1))</f>
        <v>Banquet CS Local</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IF(_epmOfflineCondition_,"'BCC_KPI_Local'!$B$2:$B$10",_xll.EVRNG($B$2:$B$10))</f>
        <v>'BCC_KPI_Local'!$B$2:$B$10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IF(_epmOfflineCondition_,"'BCC_KPI_Local'!$O$16:$AI$18",_xll.EVRNG(O16:AI18))</f>
        <v>'BCC_KPI_Local'!$O$16:$AI$18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IF(_epmOfflineCondition_,"'BCC_KPI_Local'!$H$35:$H$118",_xll.EVRNG(H35:H118))</f>
        <v>'BCC_KPI_Local'!$H$35:$H$118</v>
      </c>
      <c r="C19" s="11"/>
      <c r="D19" s="11"/>
      <c r="E19" s="11"/>
      <c r="F19" s="11"/>
      <c r="G19" s="67" t="str">
        <f>$B$6</f>
        <v>D2348</v>
      </c>
      <c r="H19" s="67" t="s">
        <v>273</v>
      </c>
      <c r="I19" s="68"/>
      <c r="J19" s="68"/>
      <c r="K19" s="67"/>
      <c r="L19" s="67"/>
      <c r="M19" s="67"/>
      <c r="N19" s="67" t="str">
        <f>IF(_epmOfflineCondition_,"Total Food &amp; Beverage Revenue",_xll.EVDES(H19))</f>
        <v>Total Food &amp; Beverage Revenue</v>
      </c>
      <c r="O19" s="69">
        <f>IF(_epmOfflineCondition_,2751,_xll.EVGTS($B$1,1,$B$3,$B$5,$B$7,$B$9,O$16,O$17,O$18,$G$19,$H$19))</f>
        <v>2751</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2751</v>
      </c>
      <c r="AB19" s="67"/>
      <c r="AC19" s="67"/>
      <c r="AD19" s="69">
        <f>IF(_epmOfflineCondition_,0,_xll.EVGTS($B$1,1,$B$3,$B$5,$B$7,$B$9,AD$16,AD$17,AD$18,$G$19,$H$19))</f>
        <v>0</v>
      </c>
      <c r="AE19" s="67"/>
      <c r="AF19" s="67"/>
      <c r="AG19" s="69">
        <f>IF(_epmOfflineCondition_,9448,_xll.EVGTS($B$1,1,$B$3,$B$5,$B$7,$B$9,AG$16,AG$17,AG$18,$G$19,$H$19))</f>
        <v>9448</v>
      </c>
      <c r="AH19" s="67"/>
      <c r="AI19" s="67"/>
    </row>
    <row r="20" spans="1:35" hidden="1" outlineLevel="1" x14ac:dyDescent="0.35">
      <c r="A20" s="65" t="s">
        <v>5</v>
      </c>
      <c r="B20" s="66"/>
      <c r="C20" s="11"/>
      <c r="D20" s="11"/>
      <c r="E20" s="11"/>
      <c r="F20" s="11"/>
      <c r="G20" s="67" t="str">
        <f>$B$6</f>
        <v>D2348</v>
      </c>
      <c r="H20" s="67">
        <v>946000</v>
      </c>
      <c r="I20" s="68"/>
      <c r="J20" s="68"/>
      <c r="K20" s="67"/>
      <c r="L20" s="67"/>
      <c r="M20" s="67"/>
      <c r="N20" s="67" t="str">
        <f>IF(_epmOfflineCondition_,"Total Customers",_xll.EVDES(H20))</f>
        <v>Total Customers</v>
      </c>
      <c r="O20" s="69">
        <f>IF(_epmOfflineCondition_,120,_xll.EVGTS($B$1,1,$B$3,$B$5,$B$7,$B$9,O$16,O$17,O$18,$G$20,$H$20))</f>
        <v>120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IF(_epmOfflineCondition_,10,_xll.EVGTS($B$1,1,$B$3,$B$5,$B$7,$B$9,X$16,X$17,X$18,$G$20,$H$20))</f>
        <v>10</v>
      </c>
      <c r="Y20" s="69">
        <f>IF(_epmOfflineCondition_,0,_xll.EVGTS($B$1,1,$B$3,$B$5,$B$7,$B$9,Y$16,Y$17,Y$18,$G$20,$H$20))</f>
        <v>0</v>
      </c>
      <c r="Z20" s="69">
        <f>IF(_epmOfflineCondition_,0,_xll.EVGTS($B$1,1,$B$3,$B$5,$B$7,$B$9,Z$16,Z$17,Z$18,$G$20,$H$20))</f>
        <v>0</v>
      </c>
      <c r="AA20" s="69">
        <f>SUM(O20:Z20)</f>
        <v>130</v>
      </c>
      <c r="AB20" s="67"/>
      <c r="AC20" s="67"/>
      <c r="AD20" s="69">
        <f>IF(_epmOfflineCondition_,0,_xll.EVGTS($B$1,1,$B$3,$B$5,$B$7,$B$9,AD$16,AD$17,AD$18,$G$20,$H$20))</f>
        <v>0</v>
      </c>
      <c r="AE20" s="67"/>
      <c r="AF20" s="67"/>
      <c r="AG20" s="69">
        <f>IF(_epmOfflineCondition_,130,_xll.EVGTS($B$1,1,$B$3,$B$5,$B$7,$B$9,AG$16,AG$17,AG$18,$G$20,$H$20))</f>
        <v>130</v>
      </c>
      <c r="AH20" s="67"/>
      <c r="AI20" s="67"/>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IF(_epmOfflineCondition_,"'BCC_KPI_Local'!$A$37:$B$58",_xll.EVRNG($A$37:$B$58))</f>
        <v>'BCC_KPI_Local'!$A$37:$B$58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IF(_epmOfflineCondition_,"Banquet CS Local Department",IF($N$1="",IF(_xll.EVDES(B6,$B$1)="#NODATA","",_xll.EVDES(B6,$B$1)&amp;" Department"),$N$1))</f>
        <v>Banquet CS Local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5" x14ac:dyDescent="0.3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3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43"/>
      <c r="P35" s="143"/>
      <c r="Q35" s="143"/>
      <c r="R35" s="143"/>
      <c r="S35" s="143"/>
      <c r="T35" s="143"/>
      <c r="U35" s="143"/>
      <c r="V35" s="143"/>
      <c r="W35" s="143"/>
      <c r="X35" s="143"/>
      <c r="Y35" s="143"/>
      <c r="Z35" s="143"/>
      <c r="AA35" s="143">
        <f t="shared" ref="AA35:AA41" si="0">SUM(O35:Z35)</f>
        <v>0</v>
      </c>
      <c r="AB35" s="144" t="str">
        <f>IF(AA35=0,"",IFERROR(AA35/AA$19,""))</f>
        <v/>
      </c>
      <c r="AC35" s="140"/>
      <c r="AD35" s="143"/>
      <c r="AE35" s="144" t="str">
        <f>IF(AD35=0,"",IFERROR(AD35/AD$19,""))</f>
        <v/>
      </c>
      <c r="AF35" s="145">
        <f t="shared" ref="AF35:AF42" si="1">IF(AND($AA35="",AD35=""),"",$AA35-AD35)</f>
        <v>0</v>
      </c>
      <c r="AG35" s="143">
        <v>720</v>
      </c>
      <c r="AH35" s="144">
        <f>IF(AG35=0,"",IFERROR(AG35/AG$19,""))</f>
        <v>7.620660457239628E-2</v>
      </c>
      <c r="AI35" s="145">
        <f t="shared" ref="AI35:AI42" si="2">IF(AND($AA35="",AG35=""),"",$AA35-AG35)</f>
        <v>-720</v>
      </c>
    </row>
    <row r="36" spans="1:35" x14ac:dyDescent="0.3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43"/>
      <c r="P36" s="143"/>
      <c r="Q36" s="143"/>
      <c r="R36" s="143"/>
      <c r="S36" s="143"/>
      <c r="T36" s="143"/>
      <c r="U36" s="143"/>
      <c r="V36" s="143"/>
      <c r="W36" s="143"/>
      <c r="X36" s="143"/>
      <c r="Y36" s="143"/>
      <c r="Z36" s="143"/>
      <c r="AA36" s="143">
        <f t="shared" si="0"/>
        <v>0</v>
      </c>
      <c r="AB36" s="144" t="str">
        <f>IF(AA36=0,"",IFERROR(AA36/AA$19,""))</f>
        <v/>
      </c>
      <c r="AC36" s="140"/>
      <c r="AD36" s="143"/>
      <c r="AE36" s="144" t="str">
        <f>IF(AD36=0,"",IFERROR(AD36/AD$19,""))</f>
        <v/>
      </c>
      <c r="AF36" s="145">
        <f t="shared" si="1"/>
        <v>0</v>
      </c>
      <c r="AG36" s="143"/>
      <c r="AH36" s="144" t="str">
        <f>IF(AG36=0,"",IFERROR(AG36/AG$19,""))</f>
        <v/>
      </c>
      <c r="AI36" s="145">
        <f t="shared" si="2"/>
        <v>0</v>
      </c>
    </row>
    <row r="37" spans="1:35" x14ac:dyDescent="0.3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43"/>
      <c r="P37" s="143"/>
      <c r="Q37" s="143"/>
      <c r="R37" s="143"/>
      <c r="S37" s="143"/>
      <c r="T37" s="143"/>
      <c r="U37" s="143"/>
      <c r="V37" s="143"/>
      <c r="W37" s="143"/>
      <c r="X37" s="143"/>
      <c r="Y37" s="143"/>
      <c r="Z37" s="143"/>
      <c r="AA37" s="143">
        <f t="shared" si="0"/>
        <v>0</v>
      </c>
      <c r="AB37" s="144" t="str">
        <f>IF(AA37=0,"",IFERROR(AA37/AA$19,""))</f>
        <v/>
      </c>
      <c r="AC37" s="140"/>
      <c r="AD37" s="143"/>
      <c r="AE37" s="144" t="str">
        <f>IF(AD37=0,"",IFERROR(AD37/AD$19,""))</f>
        <v/>
      </c>
      <c r="AF37" s="145">
        <f t="shared" si="1"/>
        <v>0</v>
      </c>
      <c r="AG37" s="143">
        <v>8</v>
      </c>
      <c r="AH37" s="144">
        <f>IF(AG37=0,"",IFERROR(AG37/AG$19,""))</f>
        <v>8.4674005080440302E-4</v>
      </c>
      <c r="AI37" s="145">
        <f t="shared" si="2"/>
        <v>-8</v>
      </c>
    </row>
    <row r="38" spans="1:35" x14ac:dyDescent="0.3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7"/>
      <c r="P38" s="217"/>
      <c r="Q38" s="217"/>
      <c r="R38" s="217"/>
      <c r="S38" s="217"/>
      <c r="T38" s="217"/>
      <c r="U38" s="217"/>
      <c r="V38" s="217"/>
      <c r="W38" s="217"/>
      <c r="X38" s="217"/>
      <c r="Y38" s="217"/>
      <c r="Z38" s="217"/>
      <c r="AA38" s="217">
        <f t="shared" si="0"/>
        <v>0</v>
      </c>
      <c r="AB38" s="219" t="str">
        <f>IF(AA38=0,"",IFERROR(AA38/AA$19,""))</f>
        <v/>
      </c>
      <c r="AC38" s="140"/>
      <c r="AD38" s="217"/>
      <c r="AE38" s="219" t="str">
        <f>IF(AD38=0,"",IFERROR(AD38/AD$19,""))</f>
        <v/>
      </c>
      <c r="AF38" s="220">
        <f t="shared" si="1"/>
        <v>0</v>
      </c>
      <c r="AG38" s="217">
        <v>1020</v>
      </c>
      <c r="AH38" s="219">
        <f>IF(AG38=0,"",IFERROR(AG38/AG$19,""))</f>
        <v>0.10795935647756139</v>
      </c>
      <c r="AI38" s="220">
        <f t="shared" si="2"/>
        <v>-1020</v>
      </c>
    </row>
    <row r="39" spans="1:35" x14ac:dyDescent="0.3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6"/>
      <c r="P39" s="166"/>
      <c r="Q39" s="166"/>
      <c r="R39" s="166"/>
      <c r="S39" s="166"/>
      <c r="T39" s="166"/>
      <c r="U39" s="166"/>
      <c r="V39" s="166"/>
      <c r="W39" s="166"/>
      <c r="X39" s="166"/>
      <c r="Y39" s="166"/>
      <c r="Z39" s="166"/>
      <c r="AA39" s="166">
        <f t="shared" si="0"/>
        <v>0</v>
      </c>
      <c r="AB39" s="167" t="str">
        <f>IF(AA39=0,"",IFERROR(AA39/AA$19,""))</f>
        <v/>
      </c>
      <c r="AC39" s="140"/>
      <c r="AD39" s="166"/>
      <c r="AE39" s="167" t="str">
        <f>IF(AD39=0,"",IFERROR(AD39/AD$19,""))</f>
        <v/>
      </c>
      <c r="AF39" s="168">
        <f t="shared" si="1"/>
        <v>0</v>
      </c>
      <c r="AG39" s="166">
        <v>1748</v>
      </c>
      <c r="AH39" s="167">
        <f>IF(AG39=0,"",IFERROR(AG39/AG$19,""))</f>
        <v>0.18501270110076207</v>
      </c>
      <c r="AI39" s="168">
        <f t="shared" si="2"/>
        <v>-1748</v>
      </c>
    </row>
    <row r="40" spans="1:35" x14ac:dyDescent="0.3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10"/>
      <c r="P40" s="210"/>
      <c r="Q40" s="210"/>
      <c r="R40" s="210"/>
      <c r="S40" s="210"/>
      <c r="T40" s="210"/>
      <c r="U40" s="210"/>
      <c r="V40" s="210"/>
      <c r="W40" s="210"/>
      <c r="X40" s="210"/>
      <c r="Y40" s="210"/>
      <c r="Z40" s="210"/>
      <c r="AA40" s="210">
        <f t="shared" si="0"/>
        <v>0</v>
      </c>
      <c r="AB40" s="211"/>
      <c r="AC40" s="140"/>
      <c r="AD40" s="210"/>
      <c r="AE40" s="211"/>
      <c r="AF40" s="253">
        <f t="shared" si="1"/>
        <v>0</v>
      </c>
      <c r="AG40" s="210"/>
      <c r="AH40" s="211"/>
      <c r="AI40" s="253">
        <f t="shared" si="2"/>
        <v>0</v>
      </c>
    </row>
    <row r="41" spans="1:35" x14ac:dyDescent="0.3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10"/>
      <c r="P41" s="210"/>
      <c r="Q41" s="210"/>
      <c r="R41" s="210"/>
      <c r="S41" s="210"/>
      <c r="T41" s="210"/>
      <c r="U41" s="210"/>
      <c r="V41" s="210"/>
      <c r="W41" s="210"/>
      <c r="X41" s="210"/>
      <c r="Y41" s="210"/>
      <c r="Z41" s="210"/>
      <c r="AA41" s="210">
        <f t="shared" si="0"/>
        <v>0</v>
      </c>
      <c r="AB41" s="211" t="str">
        <f>IF(AA41=0,"",IFERROR(AA41/AA$83,""))</f>
        <v/>
      </c>
      <c r="AC41" s="140"/>
      <c r="AD41" s="210"/>
      <c r="AE41" s="211" t="str">
        <f>IF(AD41=0,"",IFERROR(AD41/AD$83,""))</f>
        <v/>
      </c>
      <c r="AF41" s="253">
        <f t="shared" si="1"/>
        <v>0</v>
      </c>
      <c r="AG41" s="210"/>
      <c r="AH41" s="211" t="str">
        <f>IF(AG41=0,"",IFERROR(AG41/AG$83,""))</f>
        <v/>
      </c>
      <c r="AI41" s="253">
        <f t="shared" si="2"/>
        <v>0</v>
      </c>
    </row>
    <row r="42" spans="1:35" x14ac:dyDescent="0.3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35">
      <c r="A43" s="65" t="s">
        <v>31</v>
      </c>
      <c r="B43" s="66" t="s">
        <v>78</v>
      </c>
      <c r="C43" s="11"/>
      <c r="D43" s="11"/>
      <c r="E43" s="11"/>
      <c r="F43" s="11"/>
      <c r="G43" s="11"/>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9"/>
      <c r="AG43" s="497">
        <f>ROUND(IFERROR(AG39/AG41,0),2)</f>
        <v>0</v>
      </c>
      <c r="AH43" s="498"/>
      <c r="AI43" s="159"/>
    </row>
    <row r="44" spans="1:35" x14ac:dyDescent="0.3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3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43"/>
      <c r="P45" s="143"/>
      <c r="Q45" s="143"/>
      <c r="R45" s="143"/>
      <c r="S45" s="143"/>
      <c r="T45" s="143"/>
      <c r="U45" s="143"/>
      <c r="V45" s="143"/>
      <c r="W45" s="143"/>
      <c r="X45" s="143"/>
      <c r="Y45" s="143"/>
      <c r="Z45" s="143"/>
      <c r="AA45" s="143">
        <f t="shared" ref="AA45:AA51" si="5">SUM(O45:Z45)</f>
        <v>0</v>
      </c>
      <c r="AB45" s="144" t="str">
        <f>IF(AA45=0,"",IFERROR(AA45/AA$19,""))</f>
        <v/>
      </c>
      <c r="AC45" s="140"/>
      <c r="AD45" s="143"/>
      <c r="AE45" s="144" t="str">
        <f>IF(AD45=0,"",IFERROR(AD45/AD$19,""))</f>
        <v/>
      </c>
      <c r="AF45" s="145">
        <f t="shared" ref="AF45:AF52" si="6">IF(AND($AA45="",AD45=""),"",$AA45-AD45)</f>
        <v>0</v>
      </c>
      <c r="AG45" s="143"/>
      <c r="AH45" s="144" t="str">
        <f>IF(AG45=0,"",IFERROR(AG45/AG$19,""))</f>
        <v/>
      </c>
      <c r="AI45" s="145">
        <f t="shared" ref="AI45:AI52" si="7">IF(AND($AA45="",AG45=""),"",$AA45-AG45)</f>
        <v>0</v>
      </c>
    </row>
    <row r="46" spans="1:35" x14ac:dyDescent="0.3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43"/>
      <c r="P46" s="143"/>
      <c r="Q46" s="143"/>
      <c r="R46" s="143"/>
      <c r="S46" s="143"/>
      <c r="T46" s="143"/>
      <c r="U46" s="143"/>
      <c r="V46" s="143"/>
      <c r="W46" s="143"/>
      <c r="X46" s="143"/>
      <c r="Y46" s="143"/>
      <c r="Z46" s="143"/>
      <c r="AA46" s="143">
        <f t="shared" si="5"/>
        <v>0</v>
      </c>
      <c r="AB46" s="144" t="str">
        <f>IF(AA46=0,"",IFERROR(AA46/AA$19,""))</f>
        <v/>
      </c>
      <c r="AC46" s="140"/>
      <c r="AD46" s="143"/>
      <c r="AE46" s="144" t="str">
        <f>IF(AD46=0,"",IFERROR(AD46/AD$19,""))</f>
        <v/>
      </c>
      <c r="AF46" s="145">
        <f t="shared" si="6"/>
        <v>0</v>
      </c>
      <c r="AG46" s="143"/>
      <c r="AH46" s="144" t="str">
        <f>IF(AG46=0,"",IFERROR(AG46/AG$19,""))</f>
        <v/>
      </c>
      <c r="AI46" s="145">
        <f t="shared" si="7"/>
        <v>0</v>
      </c>
    </row>
    <row r="47" spans="1:35" x14ac:dyDescent="0.3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43"/>
      <c r="P47" s="143"/>
      <c r="Q47" s="143"/>
      <c r="R47" s="143"/>
      <c r="S47" s="143"/>
      <c r="T47" s="143"/>
      <c r="U47" s="143"/>
      <c r="V47" s="143"/>
      <c r="W47" s="143"/>
      <c r="X47" s="143"/>
      <c r="Y47" s="143"/>
      <c r="Z47" s="143"/>
      <c r="AA47" s="143">
        <f t="shared" si="5"/>
        <v>0</v>
      </c>
      <c r="AB47" s="144" t="str">
        <f>IF(AA47=0,"",IFERROR(AA47/AA$19,""))</f>
        <v/>
      </c>
      <c r="AC47" s="140"/>
      <c r="AD47" s="143"/>
      <c r="AE47" s="144" t="str">
        <f>IF(AD47=0,"",IFERROR(AD47/AD$19,""))</f>
        <v/>
      </c>
      <c r="AF47" s="145">
        <f t="shared" si="6"/>
        <v>0</v>
      </c>
      <c r="AG47" s="143"/>
      <c r="AH47" s="144" t="str">
        <f>IF(AG47=0,"",IFERROR(AG47/AG$19,""))</f>
        <v/>
      </c>
      <c r="AI47" s="145">
        <f t="shared" si="7"/>
        <v>0</v>
      </c>
    </row>
    <row r="48" spans="1:35" x14ac:dyDescent="0.3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7"/>
      <c r="P48" s="217"/>
      <c r="Q48" s="217"/>
      <c r="R48" s="217"/>
      <c r="S48" s="217"/>
      <c r="T48" s="217"/>
      <c r="U48" s="217"/>
      <c r="V48" s="217"/>
      <c r="W48" s="217"/>
      <c r="X48" s="217"/>
      <c r="Y48" s="217"/>
      <c r="Z48" s="217"/>
      <c r="AA48" s="217">
        <f t="shared" si="5"/>
        <v>0</v>
      </c>
      <c r="AB48" s="219" t="str">
        <f>IF(AA48=0,"",IFERROR(AA48/AA$19,""))</f>
        <v/>
      </c>
      <c r="AC48" s="140"/>
      <c r="AD48" s="217"/>
      <c r="AE48" s="219" t="str">
        <f>IF(AD48=0,"",IFERROR(AD48/AD$19,""))</f>
        <v/>
      </c>
      <c r="AF48" s="220">
        <f t="shared" si="6"/>
        <v>0</v>
      </c>
      <c r="AG48" s="217"/>
      <c r="AH48" s="219" t="str">
        <f>IF(AG48=0,"",IFERROR(AG48/AG$19,""))</f>
        <v/>
      </c>
      <c r="AI48" s="220">
        <f t="shared" si="7"/>
        <v>0</v>
      </c>
    </row>
    <row r="49" spans="1:35" x14ac:dyDescent="0.3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6"/>
      <c r="P49" s="166"/>
      <c r="Q49" s="166"/>
      <c r="R49" s="166"/>
      <c r="S49" s="166"/>
      <c r="T49" s="166"/>
      <c r="U49" s="166"/>
      <c r="V49" s="166"/>
      <c r="W49" s="166"/>
      <c r="X49" s="166"/>
      <c r="Y49" s="166"/>
      <c r="Z49" s="166"/>
      <c r="AA49" s="166">
        <f t="shared" si="5"/>
        <v>0</v>
      </c>
      <c r="AB49" s="167" t="str">
        <f>IF(AA49=0,"",IFERROR(AA49/AA$19,""))</f>
        <v/>
      </c>
      <c r="AC49" s="140"/>
      <c r="AD49" s="166"/>
      <c r="AE49" s="167" t="str">
        <f>IF(AD49=0,"",IFERROR(AD49/AD$19,""))</f>
        <v/>
      </c>
      <c r="AF49" s="168">
        <f t="shared" si="6"/>
        <v>0</v>
      </c>
      <c r="AG49" s="166"/>
      <c r="AH49" s="167" t="str">
        <f>IF(AG49=0,"",IFERROR(AG49/AG$19,""))</f>
        <v/>
      </c>
      <c r="AI49" s="168">
        <f t="shared" si="7"/>
        <v>0</v>
      </c>
    </row>
    <row r="50" spans="1:35" x14ac:dyDescent="0.3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10"/>
      <c r="P50" s="210"/>
      <c r="Q50" s="210"/>
      <c r="R50" s="210"/>
      <c r="S50" s="210"/>
      <c r="T50" s="210"/>
      <c r="U50" s="210"/>
      <c r="V50" s="210"/>
      <c r="W50" s="210"/>
      <c r="X50" s="210"/>
      <c r="Y50" s="210"/>
      <c r="Z50" s="210"/>
      <c r="AA50" s="210">
        <f t="shared" si="5"/>
        <v>0</v>
      </c>
      <c r="AB50" s="211"/>
      <c r="AC50" s="140"/>
      <c r="AD50" s="210"/>
      <c r="AE50" s="211"/>
      <c r="AF50" s="253">
        <f t="shared" si="6"/>
        <v>0</v>
      </c>
      <c r="AG50" s="210"/>
      <c r="AH50" s="211"/>
      <c r="AI50" s="253">
        <f t="shared" si="7"/>
        <v>0</v>
      </c>
    </row>
    <row r="51" spans="1:35" x14ac:dyDescent="0.3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10"/>
      <c r="P51" s="210"/>
      <c r="Q51" s="210"/>
      <c r="R51" s="210"/>
      <c r="S51" s="210"/>
      <c r="T51" s="210"/>
      <c r="U51" s="210"/>
      <c r="V51" s="210"/>
      <c r="W51" s="210"/>
      <c r="X51" s="210">
        <v>10</v>
      </c>
      <c r="Y51" s="210"/>
      <c r="Z51" s="210"/>
      <c r="AA51" s="210">
        <f t="shared" si="5"/>
        <v>10</v>
      </c>
      <c r="AB51" s="211">
        <f>IF(AA51=0,"",IFERROR(AA51/AA$83,""))</f>
        <v>7.6923076923076927E-2</v>
      </c>
      <c r="AC51" s="140"/>
      <c r="AD51" s="210"/>
      <c r="AE51" s="211" t="str">
        <f>IF(AD51=0,"",IFERROR(AD51/AD$83,""))</f>
        <v/>
      </c>
      <c r="AF51" s="253">
        <f t="shared" si="6"/>
        <v>10</v>
      </c>
      <c r="AG51" s="210"/>
      <c r="AH51" s="211" t="str">
        <f>IF(AG51=0,"",IFERROR(AG51/AG$83,""))</f>
        <v/>
      </c>
      <c r="AI51" s="253">
        <f t="shared" si="7"/>
        <v>10</v>
      </c>
    </row>
    <row r="52" spans="1:35" x14ac:dyDescent="0.3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f>IFERROR(AA49/AA51,"")</f>
        <v>0</v>
      </c>
      <c r="AB52" s="495"/>
      <c r="AC52" s="140"/>
      <c r="AD52" s="495"/>
      <c r="AE52" s="495"/>
      <c r="AF52" s="496">
        <f t="shared" si="6"/>
        <v>0</v>
      </c>
      <c r="AG52" s="495"/>
      <c r="AH52" s="495"/>
      <c r="AI52" s="496">
        <f t="shared" si="7"/>
        <v>0</v>
      </c>
    </row>
    <row r="53" spans="1:35" x14ac:dyDescent="0.35">
      <c r="A53" s="65" t="s">
        <v>41</v>
      </c>
      <c r="B53" s="66"/>
      <c r="C53" s="11"/>
      <c r="D53" s="11"/>
      <c r="E53" s="11"/>
      <c r="F53" s="11"/>
      <c r="G53" s="11"/>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9"/>
      <c r="AG53" s="497">
        <f>ROUND(IFERROR(AG49/AG51,0),2)</f>
        <v>0</v>
      </c>
      <c r="AH53" s="498"/>
      <c r="AI53" s="159"/>
    </row>
    <row r="54" spans="1:35" x14ac:dyDescent="0.3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3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43"/>
      <c r="P55" s="143"/>
      <c r="Q55" s="143"/>
      <c r="R55" s="143"/>
      <c r="S55" s="143"/>
      <c r="T55" s="143"/>
      <c r="U55" s="143"/>
      <c r="V55" s="143"/>
      <c r="W55" s="143"/>
      <c r="X55" s="143"/>
      <c r="Y55" s="143"/>
      <c r="Z55" s="143"/>
      <c r="AA55" s="143">
        <f t="shared" ref="AA55:AA61" si="10">SUM(O55:Z55)</f>
        <v>0</v>
      </c>
      <c r="AB55" s="144" t="str">
        <f>IF(AA55=0,"",IFERROR(AA55/AA$19,""))</f>
        <v/>
      </c>
      <c r="AC55" s="140"/>
      <c r="AD55" s="143"/>
      <c r="AE55" s="144" t="str">
        <f>IF(AD55=0,"",IFERROR(AD55/AD$19,""))</f>
        <v/>
      </c>
      <c r="AF55" s="145">
        <f t="shared" ref="AF55:AF62" si="11">IF(AND($AA55="",AD55=""),"",$AA55-AD55)</f>
        <v>0</v>
      </c>
      <c r="AG55" s="143"/>
      <c r="AH55" s="144" t="str">
        <f>IF(AG55=0,"",IFERROR(AG55/AG$19,""))</f>
        <v/>
      </c>
      <c r="AI55" s="145">
        <f t="shared" ref="AI55:AI62" si="12">IF(AND($AA55="",AG55=""),"",$AA55-AG55)</f>
        <v>0</v>
      </c>
    </row>
    <row r="56" spans="1:35" x14ac:dyDescent="0.3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43"/>
      <c r="P56" s="143"/>
      <c r="Q56" s="143"/>
      <c r="R56" s="143"/>
      <c r="S56" s="143"/>
      <c r="T56" s="143"/>
      <c r="U56" s="143"/>
      <c r="V56" s="143"/>
      <c r="W56" s="143"/>
      <c r="X56" s="143"/>
      <c r="Y56" s="143"/>
      <c r="Z56" s="143"/>
      <c r="AA56" s="143">
        <f t="shared" si="10"/>
        <v>0</v>
      </c>
      <c r="AB56" s="144" t="str">
        <f>IF(AA56=0,"",IFERROR(AA56/AA$19,""))</f>
        <v/>
      </c>
      <c r="AC56" s="140"/>
      <c r="AD56" s="143"/>
      <c r="AE56" s="144" t="str">
        <f>IF(AD56=0,"",IFERROR(AD56/AD$19,""))</f>
        <v/>
      </c>
      <c r="AF56" s="145">
        <f t="shared" si="11"/>
        <v>0</v>
      </c>
      <c r="AG56" s="143"/>
      <c r="AH56" s="144" t="str">
        <f>IF(AG56=0,"",IFERROR(AG56/AG$19,""))</f>
        <v/>
      </c>
      <c r="AI56" s="145">
        <f t="shared" si="12"/>
        <v>0</v>
      </c>
    </row>
    <row r="57" spans="1:35" x14ac:dyDescent="0.3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43"/>
      <c r="P57" s="143"/>
      <c r="Q57" s="143"/>
      <c r="R57" s="143"/>
      <c r="S57" s="143"/>
      <c r="T57" s="143"/>
      <c r="U57" s="143"/>
      <c r="V57" s="143"/>
      <c r="W57" s="143"/>
      <c r="X57" s="143"/>
      <c r="Y57" s="143"/>
      <c r="Z57" s="143"/>
      <c r="AA57" s="143">
        <f t="shared" si="10"/>
        <v>0</v>
      </c>
      <c r="AB57" s="144" t="str">
        <f>IF(AA57=0,"",IFERROR(AA57/AA$19,""))</f>
        <v/>
      </c>
      <c r="AC57" s="140"/>
      <c r="AD57" s="143"/>
      <c r="AE57" s="144" t="str">
        <f>IF(AD57=0,"",IFERROR(AD57/AD$19,""))</f>
        <v/>
      </c>
      <c r="AF57" s="145">
        <f t="shared" si="11"/>
        <v>0</v>
      </c>
      <c r="AG57" s="143"/>
      <c r="AH57" s="144" t="str">
        <f>IF(AG57=0,"",IFERROR(AG57/AG$19,""))</f>
        <v/>
      </c>
      <c r="AI57" s="145">
        <f t="shared" si="12"/>
        <v>0</v>
      </c>
    </row>
    <row r="58" spans="1:35" x14ac:dyDescent="0.3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7"/>
      <c r="P58" s="217"/>
      <c r="Q58" s="217"/>
      <c r="R58" s="217"/>
      <c r="S58" s="217"/>
      <c r="T58" s="217"/>
      <c r="U58" s="217"/>
      <c r="V58" s="217"/>
      <c r="W58" s="217"/>
      <c r="X58" s="217"/>
      <c r="Y58" s="217"/>
      <c r="Z58" s="217"/>
      <c r="AA58" s="217">
        <f t="shared" si="10"/>
        <v>0</v>
      </c>
      <c r="AB58" s="219" t="str">
        <f>IF(AA58=0,"",IFERROR(AA58/AA$19,""))</f>
        <v/>
      </c>
      <c r="AC58" s="140"/>
      <c r="AD58" s="217"/>
      <c r="AE58" s="219" t="str">
        <f>IF(AD58=0,"",IFERROR(AD58/AD$19,""))</f>
        <v/>
      </c>
      <c r="AF58" s="220">
        <f t="shared" si="11"/>
        <v>0</v>
      </c>
      <c r="AG58" s="217"/>
      <c r="AH58" s="219" t="str">
        <f>IF(AG58=0,"",IFERROR(AG58/AG$19,""))</f>
        <v/>
      </c>
      <c r="AI58" s="220">
        <f t="shared" si="12"/>
        <v>0</v>
      </c>
    </row>
    <row r="59" spans="1:35" x14ac:dyDescent="0.3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6"/>
      <c r="P59" s="166"/>
      <c r="Q59" s="166"/>
      <c r="R59" s="166"/>
      <c r="S59" s="166"/>
      <c r="T59" s="166"/>
      <c r="U59" s="166"/>
      <c r="V59" s="166"/>
      <c r="W59" s="166"/>
      <c r="X59" s="166"/>
      <c r="Y59" s="166"/>
      <c r="Z59" s="166"/>
      <c r="AA59" s="166">
        <f t="shared" si="10"/>
        <v>0</v>
      </c>
      <c r="AB59" s="167" t="str">
        <f>IF(AA59=0,"",IFERROR(AA59/AA$19,""))</f>
        <v/>
      </c>
      <c r="AC59" s="140"/>
      <c r="AD59" s="166"/>
      <c r="AE59" s="167" t="str">
        <f>IF(AD59=0,"",IFERROR(AD59/AD$19,""))</f>
        <v/>
      </c>
      <c r="AF59" s="168">
        <f t="shared" si="11"/>
        <v>0</v>
      </c>
      <c r="AG59" s="166"/>
      <c r="AH59" s="167" t="str">
        <f>IF(AG59=0,"",IFERROR(AG59/AG$19,""))</f>
        <v/>
      </c>
      <c r="AI59" s="168">
        <f t="shared" si="12"/>
        <v>0</v>
      </c>
    </row>
    <row r="60" spans="1:35" x14ac:dyDescent="0.3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10"/>
      <c r="P60" s="210"/>
      <c r="Q60" s="210"/>
      <c r="R60" s="210"/>
      <c r="S60" s="210"/>
      <c r="T60" s="210"/>
      <c r="U60" s="210"/>
      <c r="V60" s="210"/>
      <c r="W60" s="210"/>
      <c r="X60" s="210"/>
      <c r="Y60" s="210"/>
      <c r="Z60" s="210"/>
      <c r="AA60" s="210">
        <f t="shared" si="10"/>
        <v>0</v>
      </c>
      <c r="AB60" s="211"/>
      <c r="AC60" s="140"/>
      <c r="AD60" s="210"/>
      <c r="AE60" s="211"/>
      <c r="AF60" s="253">
        <f t="shared" si="11"/>
        <v>0</v>
      </c>
      <c r="AG60" s="210"/>
      <c r="AH60" s="211"/>
      <c r="AI60" s="253">
        <f t="shared" si="12"/>
        <v>0</v>
      </c>
    </row>
    <row r="61" spans="1:35" x14ac:dyDescent="0.3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10"/>
      <c r="P61" s="210"/>
      <c r="Q61" s="210"/>
      <c r="R61" s="210"/>
      <c r="S61" s="210"/>
      <c r="T61" s="210"/>
      <c r="U61" s="210"/>
      <c r="V61" s="210"/>
      <c r="W61" s="210"/>
      <c r="X61" s="210"/>
      <c r="Y61" s="210"/>
      <c r="Z61" s="210"/>
      <c r="AA61" s="210">
        <f t="shared" si="10"/>
        <v>0</v>
      </c>
      <c r="AB61" s="211" t="str">
        <f>IF(AA61=0,"",IFERROR(AA61/AA$83,""))</f>
        <v/>
      </c>
      <c r="AC61" s="140"/>
      <c r="AD61" s="210"/>
      <c r="AE61" s="211" t="str">
        <f>IF(AD61=0,"",IFERROR(AD61/AD$83,""))</f>
        <v/>
      </c>
      <c r="AF61" s="253">
        <f t="shared" si="11"/>
        <v>0</v>
      </c>
      <c r="AG61" s="210"/>
      <c r="AH61" s="211" t="str">
        <f>IF(AG61=0,"",IFERROR(AG61/AG$83,""))</f>
        <v/>
      </c>
      <c r="AI61" s="253">
        <f t="shared" si="12"/>
        <v>0</v>
      </c>
    </row>
    <row r="62" spans="1:35" x14ac:dyDescent="0.3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35">
      <c r="A63" s="11"/>
      <c r="B63" s="11"/>
      <c r="C63" s="11"/>
      <c r="D63" s="11"/>
      <c r="E63" s="11"/>
      <c r="F63" s="11"/>
      <c r="G63" s="11"/>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9"/>
      <c r="AG63" s="497">
        <f>ROUND(IFERROR(AG59/AG61,0),2)</f>
        <v>0</v>
      </c>
      <c r="AH63" s="498"/>
      <c r="AI63" s="159"/>
    </row>
    <row r="64" spans="1:35" x14ac:dyDescent="0.3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3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43"/>
      <c r="P65" s="143"/>
      <c r="Q65" s="143"/>
      <c r="R65" s="143"/>
      <c r="S65" s="143"/>
      <c r="T65" s="143"/>
      <c r="U65" s="143"/>
      <c r="V65" s="143"/>
      <c r="W65" s="143"/>
      <c r="X65" s="143"/>
      <c r="Y65" s="143"/>
      <c r="Z65" s="143"/>
      <c r="AA65" s="143">
        <f t="shared" ref="AA65:AA70" si="15">SUM(O65:Z65)</f>
        <v>0</v>
      </c>
      <c r="AB65" s="144" t="str">
        <f>IF(AA65=0,"",IFERROR(AA65/AA$19,""))</f>
        <v/>
      </c>
      <c r="AC65" s="140"/>
      <c r="AD65" s="143"/>
      <c r="AE65" s="144" t="str">
        <f>IF(AD65=0,"",IFERROR(AD65/AD$19,""))</f>
        <v/>
      </c>
      <c r="AF65" s="145">
        <f t="shared" ref="AF65:AF71" si="16">IF(AND($AA65="",AD65=""),"",$AA65-AD65)</f>
        <v>0</v>
      </c>
      <c r="AG65" s="143">
        <v>7700</v>
      </c>
      <c r="AH65" s="144">
        <f>IF(AG65=0,"",IFERROR(AG65/AG$19,""))</f>
        <v>0.81498729889923793</v>
      </c>
      <c r="AI65" s="145">
        <f t="shared" ref="AI65:AI71" si="17">IF(AND($AA65="",AG65=""),"",$AA65-AG65)</f>
        <v>-7700</v>
      </c>
    </row>
    <row r="66" spans="1:35" x14ac:dyDescent="0.3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43"/>
      <c r="P66" s="143"/>
      <c r="Q66" s="143"/>
      <c r="R66" s="143"/>
      <c r="S66" s="143"/>
      <c r="T66" s="143"/>
      <c r="U66" s="143"/>
      <c r="V66" s="143"/>
      <c r="W66" s="143"/>
      <c r="X66" s="143"/>
      <c r="Y66" s="143"/>
      <c r="Z66" s="143"/>
      <c r="AA66" s="143">
        <f t="shared" si="15"/>
        <v>0</v>
      </c>
      <c r="AB66" s="144" t="str">
        <f>IF(AA66=0,"",IFERROR(AA66/AA$19,""))</f>
        <v/>
      </c>
      <c r="AC66" s="140"/>
      <c r="AD66" s="143"/>
      <c r="AE66" s="144" t="str">
        <f>IF(AD66=0,"",IFERROR(AD66/AD$19,""))</f>
        <v/>
      </c>
      <c r="AF66" s="145">
        <f t="shared" si="16"/>
        <v>0</v>
      </c>
      <c r="AG66" s="143"/>
      <c r="AH66" s="144" t="str">
        <f>IF(AG66=0,"",IFERROR(AG66/AG$19,""))</f>
        <v/>
      </c>
      <c r="AI66" s="145">
        <f t="shared" si="17"/>
        <v>0</v>
      </c>
    </row>
    <row r="67" spans="1:35" x14ac:dyDescent="0.3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43"/>
      <c r="P67" s="143"/>
      <c r="Q67" s="143"/>
      <c r="R67" s="143"/>
      <c r="S67" s="143"/>
      <c r="T67" s="143"/>
      <c r="U67" s="143"/>
      <c r="V67" s="143"/>
      <c r="W67" s="143"/>
      <c r="X67" s="143"/>
      <c r="Y67" s="143"/>
      <c r="Z67" s="143"/>
      <c r="AA67" s="143">
        <f t="shared" si="15"/>
        <v>0</v>
      </c>
      <c r="AB67" s="144" t="str">
        <f>IF(AA67=0,"",IFERROR(AA67/AA$19,""))</f>
        <v/>
      </c>
      <c r="AC67" s="140"/>
      <c r="AD67" s="143"/>
      <c r="AE67" s="144" t="str">
        <f>IF(AD67=0,"",IFERROR(AD67/AD$19,""))</f>
        <v/>
      </c>
      <c r="AF67" s="145">
        <f t="shared" si="16"/>
        <v>0</v>
      </c>
      <c r="AG67" s="143"/>
      <c r="AH67" s="144" t="str">
        <f>IF(AG67=0,"",IFERROR(AG67/AG$19,""))</f>
        <v/>
      </c>
      <c r="AI67" s="145">
        <f t="shared" si="17"/>
        <v>0</v>
      </c>
    </row>
    <row r="68" spans="1:35" x14ac:dyDescent="0.3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7"/>
      <c r="P68" s="217"/>
      <c r="Q68" s="217"/>
      <c r="R68" s="217"/>
      <c r="S68" s="217"/>
      <c r="T68" s="217"/>
      <c r="U68" s="217"/>
      <c r="V68" s="217"/>
      <c r="W68" s="217"/>
      <c r="X68" s="217"/>
      <c r="Y68" s="217"/>
      <c r="Z68" s="217"/>
      <c r="AA68" s="217">
        <f t="shared" si="15"/>
        <v>0</v>
      </c>
      <c r="AB68" s="219" t="str">
        <f>IF(AA68=0,"",IFERROR(AA68/AA$19,""))</f>
        <v/>
      </c>
      <c r="AC68" s="140"/>
      <c r="AD68" s="217"/>
      <c r="AE68" s="219" t="str">
        <f>IF(AD68=0,"",IFERROR(AD68/AD$19,""))</f>
        <v/>
      </c>
      <c r="AF68" s="220">
        <f t="shared" si="16"/>
        <v>0</v>
      </c>
      <c r="AG68" s="217"/>
      <c r="AH68" s="219" t="str">
        <f>IF(AG68=0,"",IFERROR(AG68/AG$19,""))</f>
        <v/>
      </c>
      <c r="AI68" s="220">
        <f t="shared" si="17"/>
        <v>0</v>
      </c>
    </row>
    <row r="69" spans="1:35" x14ac:dyDescent="0.3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6"/>
      <c r="P69" s="166"/>
      <c r="Q69" s="166"/>
      <c r="R69" s="166"/>
      <c r="S69" s="166"/>
      <c r="T69" s="166"/>
      <c r="U69" s="166"/>
      <c r="V69" s="166"/>
      <c r="W69" s="166"/>
      <c r="X69" s="166"/>
      <c r="Y69" s="166"/>
      <c r="Z69" s="166"/>
      <c r="AA69" s="166">
        <f t="shared" si="15"/>
        <v>0</v>
      </c>
      <c r="AB69" s="167" t="str">
        <f>IF(AA69=0,"",IFERROR(AA69/AA$19,""))</f>
        <v/>
      </c>
      <c r="AC69" s="140"/>
      <c r="AD69" s="166"/>
      <c r="AE69" s="167" t="str">
        <f>IF(AD69=0,"",IFERROR(AD69/AD$19,""))</f>
        <v/>
      </c>
      <c r="AF69" s="168">
        <f t="shared" si="16"/>
        <v>0</v>
      </c>
      <c r="AG69" s="166">
        <v>7700</v>
      </c>
      <c r="AH69" s="167">
        <f>IF(AG69=0,"",IFERROR(AG69/AG$19,""))</f>
        <v>0.81498729889923793</v>
      </c>
      <c r="AI69" s="168">
        <f t="shared" si="17"/>
        <v>-7700</v>
      </c>
    </row>
    <row r="70" spans="1:35" x14ac:dyDescent="0.3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10"/>
      <c r="P70" s="210"/>
      <c r="Q70" s="210"/>
      <c r="R70" s="210"/>
      <c r="S70" s="210"/>
      <c r="T70" s="210"/>
      <c r="U70" s="210"/>
      <c r="V70" s="210"/>
      <c r="W70" s="210"/>
      <c r="X70" s="210"/>
      <c r="Y70" s="210"/>
      <c r="Z70" s="210"/>
      <c r="AA70" s="210">
        <f t="shared" si="15"/>
        <v>0</v>
      </c>
      <c r="AB70" s="211" t="str">
        <f>IF(AA70=0,"",IFERROR(AA70/AA$83,""))</f>
        <v/>
      </c>
      <c r="AC70" s="140"/>
      <c r="AD70" s="210"/>
      <c r="AE70" s="211" t="str">
        <f>IF(AD70=0,"",IFERROR(AD70/AD$83,""))</f>
        <v/>
      </c>
      <c r="AF70" s="253">
        <f t="shared" si="16"/>
        <v>0</v>
      </c>
      <c r="AG70" s="210">
        <v>130</v>
      </c>
      <c r="AH70" s="211">
        <f>IF(AG70=0,"",IFERROR(AG70/AG$83,""))</f>
        <v>1</v>
      </c>
      <c r="AI70" s="253">
        <f t="shared" si="17"/>
        <v>-130</v>
      </c>
    </row>
    <row r="71" spans="1:35" x14ac:dyDescent="0.3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c r="P71" s="495"/>
      <c r="Q71" s="495"/>
      <c r="R71" s="495"/>
      <c r="S71" s="495"/>
      <c r="T71" s="495"/>
      <c r="U71" s="495"/>
      <c r="V71" s="495"/>
      <c r="W71" s="495"/>
      <c r="X71" s="495"/>
      <c r="Y71" s="495"/>
      <c r="Z71" s="495"/>
      <c r="AA71" s="495" t="str">
        <f>IFERROR(AA69/AA70,"")</f>
        <v/>
      </c>
      <c r="AB71" s="495"/>
      <c r="AC71" s="140"/>
      <c r="AD71" s="495"/>
      <c r="AE71" s="495"/>
      <c r="AF71" s="496" t="str">
        <f t="shared" si="16"/>
        <v/>
      </c>
      <c r="AG71" s="495">
        <v>59.230769230769198</v>
      </c>
      <c r="AH71" s="495"/>
      <c r="AI71" s="496" t="e">
        <f t="shared" si="17"/>
        <v>#VALUE!</v>
      </c>
    </row>
    <row r="72" spans="1:35" x14ac:dyDescent="0.35">
      <c r="A72" s="11"/>
      <c r="B72" s="11"/>
      <c r="C72" s="11"/>
      <c r="D72" s="11"/>
      <c r="E72" s="11"/>
      <c r="F72" s="11"/>
      <c r="G72" s="11"/>
      <c r="H72" s="88"/>
      <c r="I72" s="122"/>
      <c r="J72" s="122"/>
      <c r="K72" s="90"/>
      <c r="L72" s="90"/>
      <c r="M72" s="90"/>
      <c r="N72" s="491" t="s">
        <v>345</v>
      </c>
      <c r="O72" s="497">
        <f t="shared" ref="O72:AA72" si="18">ROUND(IFERROR(O69/O70,0),2)</f>
        <v>0</v>
      </c>
      <c r="P72" s="498">
        <f t="shared" si="18"/>
        <v>0</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0</v>
      </c>
      <c r="Z72" s="498">
        <f t="shared" si="18"/>
        <v>0</v>
      </c>
      <c r="AA72" s="498">
        <f t="shared" si="18"/>
        <v>0</v>
      </c>
      <c r="AB72" s="499"/>
      <c r="AC72" s="140"/>
      <c r="AD72" s="497">
        <f>ROUND(IFERROR(AD69/AD70,0),2)</f>
        <v>0</v>
      </c>
      <c r="AE72" s="498"/>
      <c r="AF72" s="159"/>
      <c r="AG72" s="497">
        <f>ROUND(IFERROR(AG69/AG70,0),2)</f>
        <v>59.23</v>
      </c>
      <c r="AH72" s="498"/>
      <c r="AI72" s="159"/>
    </row>
    <row r="73" spans="1:35" x14ac:dyDescent="0.3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e">
        <f t="shared" si="19"/>
        <v>#VALUE!</v>
      </c>
      <c r="AB73" s="502"/>
      <c r="AC73" s="503"/>
      <c r="AD73" s="500"/>
      <c r="AE73" s="501" t="b">
        <f>ROUND(AD71,2)=ROUND(AD72,2)</f>
        <v>1</v>
      </c>
      <c r="AF73" s="502"/>
      <c r="AG73" s="500"/>
      <c r="AH73" s="501" t="b">
        <f>ROUND(AG71,2)=ROUND(AG72,2)</f>
        <v>1</v>
      </c>
      <c r="AI73" s="502"/>
    </row>
    <row r="74" spans="1:35" x14ac:dyDescent="0.3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43">
        <v>2751</v>
      </c>
      <c r="P74" s="143"/>
      <c r="Q74" s="143"/>
      <c r="R74" s="143"/>
      <c r="S74" s="143"/>
      <c r="T74" s="143"/>
      <c r="U74" s="143"/>
      <c r="V74" s="143"/>
      <c r="W74" s="143"/>
      <c r="X74" s="143"/>
      <c r="Y74" s="143"/>
      <c r="Z74" s="143"/>
      <c r="AA74" s="143">
        <f>SUM(O74:Z74)</f>
        <v>2751</v>
      </c>
      <c r="AB74" s="144">
        <f>IF(AA74=0,"",IFERROR(AA74/AA$19,""))</f>
        <v>1</v>
      </c>
      <c r="AC74" s="140"/>
      <c r="AD74" s="143"/>
      <c r="AE74" s="144" t="str">
        <f>IF(AD74=0,"",IFERROR(AD74/AD$19,""))</f>
        <v/>
      </c>
      <c r="AF74" s="145">
        <f>IF(AND($AA74="",AD74=""),"",$AA74-AD74)</f>
        <v>2751</v>
      </c>
      <c r="AG74" s="143"/>
      <c r="AH74" s="144" t="str">
        <f>IF(AG74=0,"",IFERROR(AG74/AG$19,""))</f>
        <v/>
      </c>
      <c r="AI74" s="145">
        <f>IF(AND($AA74="",AG74=""),"",$AA74-AG74)</f>
        <v>2751</v>
      </c>
    </row>
    <row r="75" spans="1:35" x14ac:dyDescent="0.3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6">
        <v>2751</v>
      </c>
      <c r="P75" s="166"/>
      <c r="Q75" s="166"/>
      <c r="R75" s="166"/>
      <c r="S75" s="166"/>
      <c r="T75" s="166"/>
      <c r="U75" s="166"/>
      <c r="V75" s="166"/>
      <c r="W75" s="166"/>
      <c r="X75" s="166"/>
      <c r="Y75" s="166"/>
      <c r="Z75" s="166"/>
      <c r="AA75" s="166">
        <f>SUM(O75:Z75)</f>
        <v>2751</v>
      </c>
      <c r="AB75" s="167">
        <f>IF(AA75=0,"",IFERROR(AA75/AA$19,""))</f>
        <v>1</v>
      </c>
      <c r="AC75" s="140"/>
      <c r="AD75" s="166"/>
      <c r="AE75" s="167" t="str">
        <f>IF(AD75=0,"",IFERROR(AD75/AD$19,""))</f>
        <v/>
      </c>
      <c r="AF75" s="168">
        <f>IF(AND($AA75="",AD75=""),"",$AA75-AD75)</f>
        <v>2751</v>
      </c>
      <c r="AG75" s="166"/>
      <c r="AH75" s="167" t="str">
        <f>IF(AG75=0,"",IFERROR(AG75/AG$19,""))</f>
        <v/>
      </c>
      <c r="AI75" s="168">
        <f>IF(AND($AA75="",AG75=""),"",$AA75-AG75)</f>
        <v>2751</v>
      </c>
    </row>
    <row r="76" spans="1:35" x14ac:dyDescent="0.3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10">
        <v>120</v>
      </c>
      <c r="P76" s="210"/>
      <c r="Q76" s="210"/>
      <c r="R76" s="210"/>
      <c r="S76" s="210"/>
      <c r="T76" s="210"/>
      <c r="U76" s="210"/>
      <c r="V76" s="210"/>
      <c r="W76" s="210"/>
      <c r="X76" s="210"/>
      <c r="Y76" s="210"/>
      <c r="Z76" s="210"/>
      <c r="AA76" s="210">
        <f>SUM(O76:Z76)</f>
        <v>120</v>
      </c>
      <c r="AB76" s="211">
        <f>IF(AA76=0,"",IFERROR(AA76/AA$83,""))</f>
        <v>0.92307692307692313</v>
      </c>
      <c r="AC76" s="140"/>
      <c r="AD76" s="210"/>
      <c r="AE76" s="211" t="str">
        <f>IF(AD76=0,"",IFERROR(AD76/AD$83,""))</f>
        <v/>
      </c>
      <c r="AF76" s="253">
        <f>IF(AND($AA76="",AD76=""),"",$AA76-AD76)</f>
        <v>120</v>
      </c>
      <c r="AG76" s="210"/>
      <c r="AH76" s="211" t="str">
        <f>IF(AG76=0,"",IFERROR(AG76/AG$83,""))</f>
        <v/>
      </c>
      <c r="AI76" s="253">
        <f>IF(AND($AA76="",AG76=""),"",$AA76-AG76)</f>
        <v>120</v>
      </c>
    </row>
    <row r="77" spans="1:35" x14ac:dyDescent="0.3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v>22.925000000000001</v>
      </c>
      <c r="P77" s="495"/>
      <c r="Q77" s="495"/>
      <c r="R77" s="495"/>
      <c r="S77" s="495"/>
      <c r="T77" s="495"/>
      <c r="U77" s="495"/>
      <c r="V77" s="495"/>
      <c r="W77" s="495"/>
      <c r="X77" s="495"/>
      <c r="Y77" s="495"/>
      <c r="Z77" s="495"/>
      <c r="AA77" s="495">
        <f>IFERROR(AA75/AA76,"")</f>
        <v>22.925000000000001</v>
      </c>
      <c r="AB77" s="495"/>
      <c r="AC77" s="140"/>
      <c r="AD77" s="495"/>
      <c r="AE77" s="495"/>
      <c r="AF77" s="496">
        <f>IF(AND($AA77="",AD77=""),"",$AA77-AD77)</f>
        <v>22.925000000000001</v>
      </c>
      <c r="AG77" s="495"/>
      <c r="AH77" s="495"/>
      <c r="AI77" s="496">
        <f>IF(AND($AA77="",AG77=""),"",$AA77-AG77)</f>
        <v>22.925000000000001</v>
      </c>
    </row>
    <row r="78" spans="1:35" x14ac:dyDescent="0.35">
      <c r="A78" s="11"/>
      <c r="B78" s="11"/>
      <c r="C78" s="208"/>
      <c r="D78" s="11"/>
      <c r="E78" s="11"/>
      <c r="F78" s="11"/>
      <c r="G78" s="11"/>
      <c r="H78" s="88"/>
      <c r="I78" s="122"/>
      <c r="J78" s="122"/>
      <c r="K78" s="90"/>
      <c r="L78" s="90"/>
      <c r="M78" s="90"/>
      <c r="N78" s="491" t="s">
        <v>345</v>
      </c>
      <c r="O78" s="497">
        <f t="shared" ref="O78:AA78" si="20">ROUND(IFERROR(O75/O76,0),2)</f>
        <v>22.93</v>
      </c>
      <c r="P78" s="498">
        <f t="shared" si="20"/>
        <v>0</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22.93</v>
      </c>
      <c r="AB78" s="499"/>
      <c r="AC78" s="140"/>
      <c r="AD78" s="497">
        <f>ROUND(IFERROR(AD75/AD76,0),2)</f>
        <v>0</v>
      </c>
      <c r="AE78" s="498"/>
      <c r="AF78" s="159"/>
      <c r="AG78" s="497">
        <f>ROUND(IFERROR(AG75/AG76,0),2)</f>
        <v>0</v>
      </c>
      <c r="AH78" s="498"/>
      <c r="AI78" s="159"/>
    </row>
    <row r="79" spans="1:35" x14ac:dyDescent="0.3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b">
        <f t="shared" si="21"/>
        <v>1</v>
      </c>
      <c r="AB79" s="502"/>
      <c r="AC79" s="503"/>
      <c r="AD79" s="500"/>
      <c r="AE79" s="501" t="b">
        <f>ROUND(AD77,2)=ROUND(AD78,2)</f>
        <v>1</v>
      </c>
      <c r="AF79" s="502"/>
      <c r="AG79" s="500"/>
      <c r="AH79" s="501" t="b">
        <f>ROUND(AG77,2)=ROUND(AG78,2)</f>
        <v>1</v>
      </c>
      <c r="AI79" s="502"/>
    </row>
    <row r="80" spans="1:35" x14ac:dyDescent="0.3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43"/>
      <c r="P80" s="143"/>
      <c r="Q80" s="143"/>
      <c r="R80" s="143"/>
      <c r="S80" s="143"/>
      <c r="T80" s="143"/>
      <c r="U80" s="143"/>
      <c r="V80" s="143"/>
      <c r="W80" s="143"/>
      <c r="X80" s="143"/>
      <c r="Y80" s="143"/>
      <c r="Z80" s="143"/>
      <c r="AA80" s="143">
        <f>SUM(O80:Z80)</f>
        <v>0</v>
      </c>
      <c r="AB80" s="144" t="str">
        <f>IF(AA80=0,"",IFERROR(AA80/AA$19,""))</f>
        <v/>
      </c>
      <c r="AC80" s="140"/>
      <c r="AD80" s="143"/>
      <c r="AE80" s="144" t="str">
        <f>IF(AD80=0,"",IFERROR(AD80/AD$19,""))</f>
        <v/>
      </c>
      <c r="AF80" s="145">
        <f>IF(AND($AA80="",AD80=""),"",$AA80-AD80)</f>
        <v>0</v>
      </c>
      <c r="AG80" s="143"/>
      <c r="AH80" s="144" t="str">
        <f>IF(AG80=0,"",IFERROR(AG80/AG$19,""))</f>
        <v/>
      </c>
      <c r="AI80" s="145">
        <f>IF(AND($AA80="",AG80=""),"",$AA80-AG80)</f>
        <v>0</v>
      </c>
    </row>
    <row r="81" spans="1:35" x14ac:dyDescent="0.3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3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v>2751</v>
      </c>
      <c r="P82" s="507"/>
      <c r="Q82" s="507"/>
      <c r="R82" s="507"/>
      <c r="S82" s="507"/>
      <c r="T82" s="507"/>
      <c r="U82" s="507"/>
      <c r="V82" s="507"/>
      <c r="W82" s="507"/>
      <c r="X82" s="507"/>
      <c r="Y82" s="507"/>
      <c r="Z82" s="507"/>
      <c r="AA82" s="507">
        <f>SUM(O82:Z82)</f>
        <v>2751</v>
      </c>
      <c r="AB82" s="508">
        <f>IF(AA82=0,"",IFERROR(AA82/AA$19,""))</f>
        <v>1</v>
      </c>
      <c r="AC82" s="140"/>
      <c r="AD82" s="507"/>
      <c r="AE82" s="508" t="str">
        <f>IF(AD82=0,"",IFERROR(AD82/AD$19,""))</f>
        <v/>
      </c>
      <c r="AF82" s="509">
        <f>IF(AND($AA82="",AD82=""),"",$AA82-AD82)</f>
        <v>2751</v>
      </c>
      <c r="AG82" s="507">
        <v>9448</v>
      </c>
      <c r="AH82" s="508">
        <f>IF(AG82=0,"",IFERROR(AG82/AG$19,""))</f>
        <v>1</v>
      </c>
      <c r="AI82" s="509">
        <f>IF(AND($AA82="",AG82=""),"",$AA82-AG82)</f>
        <v>-6697</v>
      </c>
    </row>
    <row r="83" spans="1:35" x14ac:dyDescent="0.35">
      <c r="A83" s="11"/>
      <c r="B83" s="11"/>
      <c r="C83" s="208"/>
      <c r="D83" s="11"/>
      <c r="E83" s="11"/>
      <c r="F83" s="11"/>
      <c r="G83" s="11"/>
      <c r="H83" s="185" t="s">
        <v>331</v>
      </c>
      <c r="I83" s="122" t="str">
        <f>IF(_epmOfflineCondition_,"T2",_xll.EVPRO($B$1,$H83,"STYLE"))</f>
        <v>T2</v>
      </c>
      <c r="J83" s="122" t="str">
        <f>IF(_epmOfflineCondition_,"Y",_xll.EVPRO($B$1,$H83,"CALC"))</f>
        <v>Y</v>
      </c>
      <c r="K83" s="11"/>
      <c r="L83" s="90" t="str">
        <f>IF(_epmOfflineCondition_,"946000",_xll.EVPRO($B$1,H83,"JDEID"))</f>
        <v>946000</v>
      </c>
      <c r="M83" s="90" t="str">
        <f>IF(_epmOfflineCondition_,"",IF(AND(I83="N",J83="N"),_xll.EVPRO($B$1,H83,"PSFTID"),""))</f>
        <v/>
      </c>
      <c r="N83" s="90" t="str">
        <f>IF(_epmOfflineCondition_,"Total Customers",IF(_xll.EVDES(H83,$B$1)="#NODATA","",_xll.EVDES(H83,$B$1)))</f>
        <v>Total Customers</v>
      </c>
      <c r="O83" s="507">
        <v>120</v>
      </c>
      <c r="P83" s="507"/>
      <c r="Q83" s="507"/>
      <c r="R83" s="507"/>
      <c r="S83" s="507"/>
      <c r="T83" s="507"/>
      <c r="U83" s="507"/>
      <c r="V83" s="507"/>
      <c r="W83" s="507"/>
      <c r="X83" s="507">
        <v>10</v>
      </c>
      <c r="Y83" s="507"/>
      <c r="Z83" s="507"/>
      <c r="AA83" s="507">
        <f>SUM(O83:Z83)</f>
        <v>130</v>
      </c>
      <c r="AB83" s="508">
        <f>IF(AA83=0,"",IFERROR(AA83/AA$20,""))</f>
        <v>1</v>
      </c>
      <c r="AC83" s="140"/>
      <c r="AD83" s="507"/>
      <c r="AE83" s="508" t="str">
        <f>IF(AD83=0,"",IFERROR(AD83/AD$20,""))</f>
        <v/>
      </c>
      <c r="AF83" s="509">
        <f>IF(AND($AA83="",AD83=""),"",$AA83-AD83)</f>
        <v>130</v>
      </c>
      <c r="AG83" s="507">
        <v>130</v>
      </c>
      <c r="AH83" s="508">
        <f>IF(AG83=0,"",IFERROR(AG83/AG$20,""))</f>
        <v>1</v>
      </c>
      <c r="AI83" s="509">
        <f>IF(AND($AA83="",AG83=""),"",$AA83-AG83)</f>
        <v>0</v>
      </c>
    </row>
    <row r="84" spans="1:35" x14ac:dyDescent="0.35">
      <c r="A84" s="11"/>
      <c r="B84" s="11"/>
      <c r="C84" s="208"/>
      <c r="D84" s="11"/>
      <c r="E84" s="11"/>
      <c r="F84" s="11"/>
      <c r="G84" s="11"/>
      <c r="H84" s="185" t="s">
        <v>311</v>
      </c>
      <c r="I84" s="122" t="str">
        <f>IF(_epmOfflineCondition_,"N",_xll.EVPRO($B$1,$H84,"STYLE"))</f>
        <v>N</v>
      </c>
      <c r="J84" s="122" t="str">
        <f>IF(_epmOfflineCondition_,"Y",_xll.EVPRO($B$1,$H84,"CALC"))</f>
        <v>Y</v>
      </c>
      <c r="K84" s="11"/>
      <c r="L84" s="90"/>
      <c r="M84" s="90"/>
      <c r="N84" s="90" t="str">
        <f>IF(_epmOfflineCondition_,"Total Average Check",IF(_xll.EVDES(H84,$B$1)="#NODATA","",_xll.EVDES(H84,$B$1)))</f>
        <v>Total Average Check</v>
      </c>
      <c r="O84" s="495">
        <v>22.925000000000001</v>
      </c>
      <c r="P84" s="495"/>
      <c r="Q84" s="495"/>
      <c r="R84" s="495"/>
      <c r="S84" s="495"/>
      <c r="T84" s="495"/>
      <c r="U84" s="495"/>
      <c r="V84" s="495"/>
      <c r="W84" s="495"/>
      <c r="X84" s="495"/>
      <c r="Y84" s="495"/>
      <c r="Z84" s="495"/>
      <c r="AA84" s="495">
        <f>IFERROR(AA82/AA83,"")</f>
        <v>21.161538461538463</v>
      </c>
      <c r="AB84" s="495"/>
      <c r="AC84" s="140"/>
      <c r="AD84" s="495"/>
      <c r="AE84" s="495"/>
      <c r="AF84" s="496">
        <f>IF(AND($AA84="",AD84=""),"",$AA84-AD84)</f>
        <v>21.161538461538463</v>
      </c>
      <c r="AG84" s="495">
        <v>72.676923076923103</v>
      </c>
      <c r="AH84" s="495"/>
      <c r="AI84" s="496">
        <f>IF(AND($AA84="",AG84=""),"",$AA84-AG84)</f>
        <v>-51.51538461538464</v>
      </c>
    </row>
    <row r="85" spans="1:35" x14ac:dyDescent="0.35">
      <c r="A85" s="11"/>
      <c r="B85" s="11"/>
      <c r="C85" s="208"/>
      <c r="D85" s="11"/>
      <c r="E85" s="11"/>
      <c r="F85" s="11"/>
      <c r="G85" s="11"/>
      <c r="H85" s="185"/>
      <c r="I85" s="122"/>
      <c r="J85" s="122"/>
      <c r="K85" s="11"/>
      <c r="L85" s="90"/>
      <c r="M85" s="90"/>
      <c r="N85" s="90"/>
      <c r="O85" s="174"/>
      <c r="P85" s="175"/>
      <c r="Q85" s="175"/>
      <c r="R85" s="175"/>
      <c r="S85" s="175"/>
      <c r="T85" s="175"/>
      <c r="U85" s="175"/>
      <c r="V85" s="175"/>
      <c r="W85" s="175"/>
      <c r="X85" s="175"/>
      <c r="Y85" s="175"/>
      <c r="Z85" s="175"/>
      <c r="AA85" s="175"/>
      <c r="AB85" s="176"/>
      <c r="AC85" s="140"/>
      <c r="AD85" s="174"/>
      <c r="AE85" s="175"/>
      <c r="AF85" s="176"/>
      <c r="AG85" s="174"/>
      <c r="AH85" s="175"/>
      <c r="AI85" s="176"/>
    </row>
    <row r="86" spans="1:35" x14ac:dyDescent="0.35">
      <c r="A86" s="11"/>
      <c r="B86" s="11"/>
      <c r="C86" s="208"/>
      <c r="D86" s="11"/>
      <c r="E86" s="11"/>
      <c r="F86" s="11"/>
      <c r="G86" s="11"/>
      <c r="H86" s="185"/>
      <c r="I86" s="122"/>
      <c r="J86" s="122"/>
      <c r="K86" s="11"/>
      <c r="L86" s="90"/>
      <c r="M86" s="90"/>
      <c r="N86" s="53" t="s">
        <v>343</v>
      </c>
      <c r="O86" s="514"/>
      <c r="P86" s="459"/>
      <c r="Q86" s="459"/>
      <c r="R86" s="459"/>
      <c r="S86" s="459"/>
      <c r="T86" s="459"/>
      <c r="U86" s="459"/>
      <c r="V86" s="459"/>
      <c r="W86" s="459"/>
      <c r="X86" s="459"/>
      <c r="Y86" s="459"/>
      <c r="Z86" s="459"/>
      <c r="AA86" s="459"/>
      <c r="AB86" s="515"/>
      <c r="AC86" s="140"/>
      <c r="AD86" s="516"/>
      <c r="AE86" s="517"/>
      <c r="AF86" s="161"/>
      <c r="AG86" s="459"/>
      <c r="AH86" s="517"/>
      <c r="AI86" s="161"/>
    </row>
    <row r="87" spans="1:35" x14ac:dyDescent="0.35">
      <c r="A87" s="11"/>
      <c r="B87" s="11"/>
      <c r="C87" s="208"/>
      <c r="D87" s="11"/>
      <c r="E87" s="11"/>
      <c r="F87" s="11"/>
      <c r="G87" s="11"/>
      <c r="H87" s="185"/>
      <c r="I87" s="122"/>
      <c r="J87" s="122"/>
      <c r="K87" s="11"/>
      <c r="L87" s="90"/>
      <c r="M87" s="90"/>
      <c r="N87" s="53" t="s">
        <v>337</v>
      </c>
      <c r="O87" s="162"/>
      <c r="P87" s="163"/>
      <c r="Q87" s="163"/>
      <c r="R87" s="163"/>
      <c r="S87" s="163"/>
      <c r="T87" s="163"/>
      <c r="U87" s="163"/>
      <c r="V87" s="163"/>
      <c r="W87" s="163"/>
      <c r="X87" s="163"/>
      <c r="Y87" s="163"/>
      <c r="Z87" s="163"/>
      <c r="AA87" s="163"/>
      <c r="AB87" s="164"/>
      <c r="AC87" s="140"/>
      <c r="AD87" s="162"/>
      <c r="AE87" s="163"/>
      <c r="AF87" s="164"/>
      <c r="AG87" s="163"/>
      <c r="AH87" s="163"/>
      <c r="AI87" s="164"/>
    </row>
    <row r="88" spans="1:35" x14ac:dyDescent="0.35">
      <c r="A88" s="11"/>
      <c r="B88" s="11"/>
      <c r="C88" s="208"/>
      <c r="D88" s="11"/>
      <c r="E88" s="11"/>
      <c r="F88" s="11"/>
      <c r="G88" s="11"/>
      <c r="H88" s="185" t="s">
        <v>294</v>
      </c>
      <c r="I88" s="122"/>
      <c r="J88" s="122"/>
      <c r="K88" s="11"/>
      <c r="L88" s="90" t="str">
        <f>IF(_epmOfflineCondition_,"461200",_xll.EVPRO($B$1,H88,"JDEID"))</f>
        <v>461200</v>
      </c>
      <c r="M88" s="90" t="str">
        <f>IF(_epmOfflineCondition_,"",IF(AND(I88="N",J88="N"),_xll.EVPRO($B$1,H88,"PSFTID"),""))</f>
        <v/>
      </c>
      <c r="N88" s="90" t="str">
        <f>IF(_epmOfflineCondition_,"Breakfast Liquor",IF(_xll.EVDES(H88,$B$1)="#NODATA","",_xll.EVDES(H88,$B$1)))</f>
        <v>Breakfast Liquor</v>
      </c>
      <c r="O88" s="143"/>
      <c r="P88" s="143"/>
      <c r="Q88" s="143"/>
      <c r="R88" s="143"/>
      <c r="S88" s="143"/>
      <c r="T88" s="143"/>
      <c r="U88" s="143"/>
      <c r="V88" s="143"/>
      <c r="W88" s="143"/>
      <c r="X88" s="143"/>
      <c r="Y88" s="143"/>
      <c r="Z88" s="143"/>
      <c r="AA88" s="143">
        <f>SUM(O88:Z88)</f>
        <v>0</v>
      </c>
      <c r="AB88" s="144" t="str">
        <f>IF(AA88=0,"",IFERROR(AA88/AA$19,""))</f>
        <v/>
      </c>
      <c r="AC88" s="140"/>
      <c r="AD88" s="143"/>
      <c r="AE88" s="144" t="str">
        <f>IF(AD88=0,"",IFERROR(AD88/AD$19,""))</f>
        <v/>
      </c>
      <c r="AF88" s="145">
        <f>IF(AND($AA88="",AD88=""),"",$AA88-AD88)</f>
        <v>0</v>
      </c>
      <c r="AG88" s="143"/>
      <c r="AH88" s="144" t="str">
        <f>IF(AG88=0,"",IFERROR(AG88/AG$19,""))</f>
        <v/>
      </c>
      <c r="AI88" s="145">
        <f>IF(AND($AA88="",AG88=""),"",$AA88-AG88)</f>
        <v>0</v>
      </c>
    </row>
    <row r="89" spans="1:35" x14ac:dyDescent="0.35">
      <c r="A89" s="11"/>
      <c r="B89" s="11"/>
      <c r="C89" s="208"/>
      <c r="D89" s="11"/>
      <c r="E89" s="11"/>
      <c r="F89" s="11"/>
      <c r="G89" s="11"/>
      <c r="H89" s="185" t="s">
        <v>301</v>
      </c>
      <c r="I89" s="122"/>
      <c r="J89" s="122"/>
      <c r="K89" s="11"/>
      <c r="L89" s="90" t="str">
        <f>IF(_epmOfflineCondition_,"462200",_xll.EVPRO($B$1,H89,"JDEID"))</f>
        <v>462200</v>
      </c>
      <c r="M89" s="90" t="str">
        <f>IF(_epmOfflineCondition_,"",IF(AND(I89="N",J89="N"),_xll.EVPRO($B$1,H89,"PSFTID"),""))</f>
        <v/>
      </c>
      <c r="N89" s="90" t="str">
        <f>IF(_epmOfflineCondition_,"Lunch Liquor",IF(_xll.EVDES(H89,$B$1)="#NODATA","",_xll.EVDES(H89,$B$1)))</f>
        <v>Lunch Liquor</v>
      </c>
      <c r="O89" s="143"/>
      <c r="P89" s="143"/>
      <c r="Q89" s="143"/>
      <c r="R89" s="143"/>
      <c r="S89" s="143"/>
      <c r="T89" s="143"/>
      <c r="U89" s="143"/>
      <c r="V89" s="143"/>
      <c r="W89" s="143"/>
      <c r="X89" s="143"/>
      <c r="Y89" s="143"/>
      <c r="Z89" s="143"/>
      <c r="AA89" s="143">
        <f>SUM(O89:Z89)</f>
        <v>0</v>
      </c>
      <c r="AB89" s="144" t="str">
        <f>IF(AA89=0,"",IFERROR(AA89/AA$19,""))</f>
        <v/>
      </c>
      <c r="AC89" s="140"/>
      <c r="AD89" s="143"/>
      <c r="AE89" s="144" t="str">
        <f>IF(AD89=0,"",IFERROR(AD89/AD$19,""))</f>
        <v/>
      </c>
      <c r="AF89" s="145">
        <f>IF(AND($AA89="",AD89=""),"",$AA89-AD89)</f>
        <v>0</v>
      </c>
      <c r="AG89" s="143"/>
      <c r="AH89" s="144" t="str">
        <f>IF(AG89=0,"",IFERROR(AG89/AG$19,""))</f>
        <v/>
      </c>
      <c r="AI89" s="145">
        <f>IF(AND($AA89="",AG89=""),"",$AA89-AG89)</f>
        <v>0</v>
      </c>
    </row>
    <row r="90" spans="1:35" x14ac:dyDescent="0.35">
      <c r="A90" s="11"/>
      <c r="B90" s="11"/>
      <c r="C90" s="208"/>
      <c r="D90" s="11"/>
      <c r="E90" s="11"/>
      <c r="F90" s="11"/>
      <c r="G90" s="11"/>
      <c r="H90" s="185" t="s">
        <v>302</v>
      </c>
      <c r="I90" s="122"/>
      <c r="J90" s="122"/>
      <c r="K90" s="11"/>
      <c r="L90" s="90" t="str">
        <f>IF(_epmOfflineCondition_,"463200",_xll.EVPRO($B$1,H90,"JDEID"))</f>
        <v>463200</v>
      </c>
      <c r="M90" s="90" t="str">
        <f>IF(_epmOfflineCondition_,"",IF(AND(I90="N",J90="N"),_xll.EVPRO($B$1,H90,"PSFTID"),""))</f>
        <v/>
      </c>
      <c r="N90" s="90" t="str">
        <f>IF(_epmOfflineCondition_,"Dinner Liquor",IF(_xll.EVDES(H90,$B$1)="#NODATA","",_xll.EVDES(H90,$B$1)))</f>
        <v>Dinner Liquor</v>
      </c>
      <c r="O90" s="143"/>
      <c r="P90" s="143"/>
      <c r="Q90" s="143"/>
      <c r="R90" s="143"/>
      <c r="S90" s="143"/>
      <c r="T90" s="143"/>
      <c r="U90" s="143"/>
      <c r="V90" s="143"/>
      <c r="W90" s="143"/>
      <c r="X90" s="143"/>
      <c r="Y90" s="143"/>
      <c r="Z90" s="143"/>
      <c r="AA90" s="143">
        <f>SUM(O90:Z90)</f>
        <v>0</v>
      </c>
      <c r="AB90" s="144" t="str">
        <f>IF(AA90=0,"",IFERROR(AA90/AA$19,""))</f>
        <v/>
      </c>
      <c r="AC90" s="140"/>
      <c r="AD90" s="143"/>
      <c r="AE90" s="144" t="str">
        <f>IF(AD90=0,"",IFERROR(AD90/AD$19,""))</f>
        <v/>
      </c>
      <c r="AF90" s="145">
        <f>IF(AND($AA90="",AD90=""),"",$AA90-AD90)</f>
        <v>0</v>
      </c>
      <c r="AG90" s="143"/>
      <c r="AH90" s="144" t="str">
        <f>IF(AG90=0,"",IFERROR(AG90/AG$19,""))</f>
        <v/>
      </c>
      <c r="AI90" s="145">
        <f>IF(AND($AA90="",AG90=""),"",$AA90-AG90)</f>
        <v>0</v>
      </c>
    </row>
    <row r="91" spans="1:35" collapsed="1" x14ac:dyDescent="0.35">
      <c r="A91" s="11"/>
      <c r="B91" s="11"/>
      <c r="C91" s="208"/>
      <c r="D91" s="11"/>
      <c r="E91" s="11"/>
      <c r="F91" s="11"/>
      <c r="G91" s="11"/>
      <c r="H91" s="185" t="s">
        <v>808</v>
      </c>
      <c r="I91" s="122"/>
      <c r="J91" s="122"/>
      <c r="K91" s="11"/>
      <c r="L91" s="90" t="str">
        <f>IF(_epmOfflineCondition_,"471210",_xll.EVPRO($B$1,H91,"JDEID"))</f>
        <v>471210</v>
      </c>
      <c r="M91" s="90" t="str">
        <f>IF(_epmOfflineCondition_,"",IF(AND(I91="N",J91="N"),_xll.EVPRO($B$1,H91,"PSFTID"),""))</f>
        <v/>
      </c>
      <c r="N91" s="90" t="str">
        <f>IF(_epmOfflineCondition_,"Reception Liquor",IF(_xll.EVDES(H91,$B$1)="#NODATA","",_xll.EVDES(H91,$B$1)))</f>
        <v>Reception Liquor</v>
      </c>
      <c r="O91" s="143"/>
      <c r="P91" s="143"/>
      <c r="Q91" s="143"/>
      <c r="R91" s="143"/>
      <c r="S91" s="143"/>
      <c r="T91" s="143"/>
      <c r="U91" s="143"/>
      <c r="V91" s="143"/>
      <c r="W91" s="143"/>
      <c r="X91" s="143"/>
      <c r="Y91" s="143"/>
      <c r="Z91" s="143"/>
      <c r="AA91" s="143">
        <f>SUM(O91:Z91)</f>
        <v>0</v>
      </c>
      <c r="AB91" s="144" t="str">
        <f>IF(AA91=0,"",IFERROR(AA91/AA$19,""))</f>
        <v/>
      </c>
      <c r="AC91" s="140"/>
      <c r="AD91" s="143"/>
      <c r="AE91" s="144" t="str">
        <f>IF(AD91=0,"",IFERROR(AD91/AD$19,""))</f>
        <v/>
      </c>
      <c r="AF91" s="145">
        <f>IF(AND($AA91="",AD91=""),"",$AA91-AD91)</f>
        <v>0</v>
      </c>
      <c r="AG91" s="143"/>
      <c r="AH91" s="144" t="str">
        <f>IF(AG91=0,"",IFERROR(AG91/AG$19,""))</f>
        <v/>
      </c>
      <c r="AI91" s="145">
        <f>IF(AND($AA91="",AG91=""),"",$AA91-AG91)</f>
        <v>0</v>
      </c>
    </row>
    <row r="92" spans="1:35" x14ac:dyDescent="0.35">
      <c r="A92" s="11"/>
      <c r="B92" s="11"/>
      <c r="C92" s="208"/>
      <c r="D92" s="11"/>
      <c r="E92" s="11"/>
      <c r="F92" s="11"/>
      <c r="G92" s="11"/>
      <c r="H92" s="185" t="s">
        <v>340</v>
      </c>
      <c r="I92" s="122"/>
      <c r="J92" s="122"/>
      <c r="K92" s="11"/>
      <c r="L92" s="90" t="str">
        <f>IF(_epmOfflineCondition_,"",_xll.EVPRO($B$1,H92,"JDEID"))</f>
        <v/>
      </c>
      <c r="M92" s="90" t="str">
        <f>IF(_epmOfflineCondition_,"",IF(AND(I92="N",J92="N"),_xll.EVPRO($B$1,H92,"PSFTID"),""))</f>
        <v/>
      </c>
      <c r="N92" s="106" t="str">
        <f>IF(_epmOfflineCondition_,"Liquor Revenue ",IF(_xll.EVDES(H92,$B$1)="#NODATA","",_xll.EVDES(H92,$B$1)))</f>
        <v xml:space="preserve">Liquor Revenue </v>
      </c>
      <c r="O92" s="166"/>
      <c r="P92" s="166"/>
      <c r="Q92" s="166"/>
      <c r="R92" s="166"/>
      <c r="S92" s="166"/>
      <c r="T92" s="166"/>
      <c r="U92" s="166"/>
      <c r="V92" s="166"/>
      <c r="W92" s="166"/>
      <c r="X92" s="166"/>
      <c r="Y92" s="166"/>
      <c r="Z92" s="166"/>
      <c r="AA92" s="166">
        <f>SUM(O92:Z92)</f>
        <v>0</v>
      </c>
      <c r="AB92" s="167" t="str">
        <f>IF(AA92=0,"",IFERROR(AA92/AA$19,""))</f>
        <v/>
      </c>
      <c r="AC92" s="140"/>
      <c r="AD92" s="166"/>
      <c r="AE92" s="167" t="str">
        <f>IF(AD92=0,"",IFERROR(AD92/AD$19,""))</f>
        <v/>
      </c>
      <c r="AF92" s="168">
        <f>IF(AND($AA92="",AD92=""),"",$AA92-AD92)</f>
        <v>0</v>
      </c>
      <c r="AG92" s="166"/>
      <c r="AH92" s="167" t="str">
        <f>IF(AG92=0,"",IFERROR(AG92/AG$19,""))</f>
        <v/>
      </c>
      <c r="AI92" s="168">
        <f>IF(AND($AA92="",AG92=""),"",$AA92-AG92)</f>
        <v>0</v>
      </c>
    </row>
    <row r="93" spans="1:35" x14ac:dyDescent="0.35">
      <c r="A93" s="11"/>
      <c r="B93" s="11"/>
      <c r="C93" s="208"/>
      <c r="D93" s="11"/>
      <c r="E93" s="11"/>
      <c r="F93" s="11"/>
      <c r="G93" s="11"/>
      <c r="H93" s="185"/>
      <c r="I93" s="122"/>
      <c r="J93" s="122"/>
      <c r="K93" s="11"/>
      <c r="L93" s="90"/>
      <c r="M93" s="90"/>
      <c r="N93" s="53"/>
      <c r="O93" s="174"/>
      <c r="P93" s="175"/>
      <c r="Q93" s="175"/>
      <c r="R93" s="175"/>
      <c r="S93" s="175"/>
      <c r="T93" s="175"/>
      <c r="U93" s="175"/>
      <c r="V93" s="175"/>
      <c r="W93" s="175"/>
      <c r="X93" s="175"/>
      <c r="Y93" s="175"/>
      <c r="Z93" s="175"/>
      <c r="AA93" s="175"/>
      <c r="AB93" s="176"/>
      <c r="AC93" s="140"/>
      <c r="AD93" s="174"/>
      <c r="AE93" s="175"/>
      <c r="AF93" s="176"/>
      <c r="AG93" s="174"/>
      <c r="AH93" s="175"/>
      <c r="AI93" s="176"/>
    </row>
    <row r="94" spans="1:35" x14ac:dyDescent="0.35">
      <c r="A94" s="11"/>
      <c r="B94" s="11"/>
      <c r="C94" s="208"/>
      <c r="D94" s="11"/>
      <c r="E94" s="11"/>
      <c r="F94" s="11"/>
      <c r="G94" s="11"/>
      <c r="H94" s="185"/>
      <c r="I94" s="122"/>
      <c r="J94" s="122"/>
      <c r="K94" s="11"/>
      <c r="L94" s="90"/>
      <c r="M94" s="90"/>
      <c r="N94" s="53" t="s">
        <v>339</v>
      </c>
      <c r="O94" s="162"/>
      <c r="P94" s="163"/>
      <c r="Q94" s="163"/>
      <c r="R94" s="163"/>
      <c r="S94" s="163"/>
      <c r="T94" s="163"/>
      <c r="U94" s="163"/>
      <c r="V94" s="163"/>
      <c r="W94" s="163"/>
      <c r="X94" s="163"/>
      <c r="Y94" s="163"/>
      <c r="Z94" s="163"/>
      <c r="AA94" s="163"/>
      <c r="AB94" s="164"/>
      <c r="AC94" s="140"/>
      <c r="AD94" s="162"/>
      <c r="AE94" s="163"/>
      <c r="AF94" s="164"/>
      <c r="AG94" s="162"/>
      <c r="AH94" s="163"/>
      <c r="AI94" s="164"/>
    </row>
    <row r="95" spans="1:35" x14ac:dyDescent="0.35">
      <c r="A95" s="11"/>
      <c r="B95" s="11"/>
      <c r="C95" s="208"/>
      <c r="D95" s="11"/>
      <c r="E95" s="11"/>
      <c r="F95" s="11"/>
      <c r="G95" s="11"/>
      <c r="H95" s="185" t="s">
        <v>295</v>
      </c>
      <c r="I95" s="122"/>
      <c r="J95" s="122"/>
      <c r="K95" s="11"/>
      <c r="L95" s="90" t="str">
        <f>IF(_epmOfflineCondition_,"461300",_xll.EVPRO($B$1,H95,"JDEID"))</f>
        <v>461300</v>
      </c>
      <c r="M95" s="90" t="str">
        <f>IF(_epmOfflineCondition_,"",IF(AND(I95="N",J95="N"),_xll.EVPRO($B$1,H95,"PSFTID"),""))</f>
        <v/>
      </c>
      <c r="N95" s="90" t="str">
        <f>IF(_epmOfflineCondition_,"Breakfast Beer",IF(_xll.EVDES(H95,$B$1)="#NODATA","",_xll.EVDES(H95,$B$1)))</f>
        <v>Breakfast Beer</v>
      </c>
      <c r="O95" s="143"/>
      <c r="P95" s="143"/>
      <c r="Q95" s="143"/>
      <c r="R95" s="143"/>
      <c r="S95" s="143"/>
      <c r="T95" s="143"/>
      <c r="U95" s="143"/>
      <c r="V95" s="143"/>
      <c r="W95" s="143"/>
      <c r="X95" s="143"/>
      <c r="Y95" s="143"/>
      <c r="Z95" s="143"/>
      <c r="AA95" s="143">
        <f>SUM(O95:Z95)</f>
        <v>0</v>
      </c>
      <c r="AB95" s="144" t="str">
        <f>IF(AA95=0,"",IFERROR(AA95/AA$19,""))</f>
        <v/>
      </c>
      <c r="AC95" s="140"/>
      <c r="AD95" s="143"/>
      <c r="AE95" s="144" t="str">
        <f>IF(AD95=0,"",IFERROR(AD95/AD$19,""))</f>
        <v/>
      </c>
      <c r="AF95" s="145">
        <f>IF(AND($AA95="",AD95=""),"",$AA95-AD95)</f>
        <v>0</v>
      </c>
      <c r="AG95" s="143">
        <v>8</v>
      </c>
      <c r="AH95" s="144">
        <f>IF(AG95=0,"",IFERROR(AG95/AG$19,""))</f>
        <v>8.4674005080440302E-4</v>
      </c>
      <c r="AI95" s="145">
        <f>IF(AND($AA95="",AG95=""),"",$AA95-AG95)</f>
        <v>-8</v>
      </c>
    </row>
    <row r="96" spans="1:35" x14ac:dyDescent="0.35">
      <c r="A96" s="11"/>
      <c r="B96" s="11"/>
      <c r="C96" s="208"/>
      <c r="D96" s="11"/>
      <c r="E96" s="11"/>
      <c r="F96" s="11"/>
      <c r="G96" s="11"/>
      <c r="H96" s="185" t="s">
        <v>305</v>
      </c>
      <c r="I96" s="122"/>
      <c r="J96" s="122"/>
      <c r="K96" s="11"/>
      <c r="L96" s="90" t="str">
        <f>IF(_epmOfflineCondition_,"462300",_xll.EVPRO($B$1,H96,"JDEID"))</f>
        <v>462300</v>
      </c>
      <c r="M96" s="90" t="str">
        <f>IF(_epmOfflineCondition_,"",IF(AND(I96="N",J96="N"),_xll.EVPRO($B$1,H96,"PSFTID"),""))</f>
        <v/>
      </c>
      <c r="N96" s="90" t="str">
        <f>IF(_epmOfflineCondition_,"Lunch Beer",IF(_xll.EVDES(H96,$B$1)="#NODATA","",_xll.EVDES(H96,$B$1)))</f>
        <v>Lunch Beer</v>
      </c>
      <c r="O96" s="143"/>
      <c r="P96" s="143"/>
      <c r="Q96" s="143"/>
      <c r="R96" s="143"/>
      <c r="S96" s="143"/>
      <c r="T96" s="143"/>
      <c r="U96" s="143"/>
      <c r="V96" s="143"/>
      <c r="W96" s="143"/>
      <c r="X96" s="143"/>
      <c r="Y96" s="143"/>
      <c r="Z96" s="143"/>
      <c r="AA96" s="143">
        <f>SUM(O96:Z96)</f>
        <v>0</v>
      </c>
      <c r="AB96" s="144" t="str">
        <f>IF(AA96=0,"",IFERROR(AA96/AA$19,""))</f>
        <v/>
      </c>
      <c r="AC96" s="140"/>
      <c r="AD96" s="143"/>
      <c r="AE96" s="144" t="str">
        <f>IF(AD96=0,"",IFERROR(AD96/AD$19,""))</f>
        <v/>
      </c>
      <c r="AF96" s="145">
        <f>IF(AND($AA96="",AD96=""),"",$AA96-AD96)</f>
        <v>0</v>
      </c>
      <c r="AG96" s="143"/>
      <c r="AH96" s="144" t="str">
        <f>IF(AG96=0,"",IFERROR(AG96/AG$19,""))</f>
        <v/>
      </c>
      <c r="AI96" s="145">
        <f>IF(AND($AA96="",AG96=""),"",$AA96-AG96)</f>
        <v>0</v>
      </c>
    </row>
    <row r="97" spans="1:35" x14ac:dyDescent="0.35">
      <c r="A97" s="11"/>
      <c r="B97" s="11"/>
      <c r="C97" s="208"/>
      <c r="D97" s="11"/>
      <c r="E97" s="11"/>
      <c r="F97" s="11"/>
      <c r="G97" s="11"/>
      <c r="H97" s="185" t="s">
        <v>306</v>
      </c>
      <c r="I97" s="122"/>
      <c r="J97" s="122"/>
      <c r="K97" s="11"/>
      <c r="L97" s="90" t="str">
        <f>IF(_epmOfflineCondition_,"463300",_xll.EVPRO($B$1,H97,"JDEID"))</f>
        <v>463300</v>
      </c>
      <c r="M97" s="90" t="str">
        <f>IF(_epmOfflineCondition_,"",IF(AND(I97="N",J97="N"),_xll.EVPRO($B$1,H97,"PSFTID"),""))</f>
        <v/>
      </c>
      <c r="N97" s="90" t="str">
        <f>IF(_epmOfflineCondition_,"Dinner Beer",IF(_xll.EVDES(H97,$B$1)="#NODATA","",_xll.EVDES(H97,$B$1)))</f>
        <v>Dinner Beer</v>
      </c>
      <c r="O97" s="143"/>
      <c r="P97" s="143"/>
      <c r="Q97" s="143"/>
      <c r="R97" s="143"/>
      <c r="S97" s="143"/>
      <c r="T97" s="143"/>
      <c r="U97" s="143"/>
      <c r="V97" s="143"/>
      <c r="W97" s="143"/>
      <c r="X97" s="143"/>
      <c r="Y97" s="143"/>
      <c r="Z97" s="143"/>
      <c r="AA97" s="143">
        <f>SUM(O97:Z97)</f>
        <v>0</v>
      </c>
      <c r="AB97" s="144" t="str">
        <f>IF(AA97=0,"",IFERROR(AA97/AA$19,""))</f>
        <v/>
      </c>
      <c r="AC97" s="140"/>
      <c r="AD97" s="143"/>
      <c r="AE97" s="144" t="str">
        <f>IF(AD97=0,"",IFERROR(AD97/AD$19,""))</f>
        <v/>
      </c>
      <c r="AF97" s="145">
        <f>IF(AND($AA97="",AD97=""),"",$AA97-AD97)</f>
        <v>0</v>
      </c>
      <c r="AG97" s="143"/>
      <c r="AH97" s="144" t="str">
        <f>IF(AG97=0,"",IFERROR(AG97/AG$19,""))</f>
        <v/>
      </c>
      <c r="AI97" s="145">
        <f>IF(AND($AA97="",AG97=""),"",$AA97-AG97)</f>
        <v>0</v>
      </c>
    </row>
    <row r="98" spans="1:35" x14ac:dyDescent="0.35">
      <c r="A98" s="11"/>
      <c r="B98" s="11"/>
      <c r="C98" s="208"/>
      <c r="D98" s="11"/>
      <c r="E98" s="11"/>
      <c r="F98" s="11"/>
      <c r="G98" s="11"/>
      <c r="H98" s="185" t="s">
        <v>809</v>
      </c>
      <c r="I98" s="122"/>
      <c r="J98" s="122"/>
      <c r="K98" s="11"/>
      <c r="L98" s="90" t="str">
        <f>IF(_epmOfflineCondition_,"471310",_xll.EVPRO($B$1,H98,"JDEID"))</f>
        <v>471310</v>
      </c>
      <c r="M98" s="90" t="str">
        <f>IF(_epmOfflineCondition_,"",IF(AND(I98="N",J98="N"),_xll.EVPRO($B$1,H98,"PSFTID"),""))</f>
        <v/>
      </c>
      <c r="N98" s="90" t="str">
        <f>IF(_epmOfflineCondition_,"Reception Beer",IF(_xll.EVDES(H98,$B$1)="#NODATA","",_xll.EVDES(H98,$B$1)))</f>
        <v>Reception Beer</v>
      </c>
      <c r="O98" s="143"/>
      <c r="P98" s="143"/>
      <c r="Q98" s="143"/>
      <c r="R98" s="143"/>
      <c r="S98" s="143"/>
      <c r="T98" s="143"/>
      <c r="U98" s="143"/>
      <c r="V98" s="143"/>
      <c r="W98" s="143"/>
      <c r="X98" s="143"/>
      <c r="Y98" s="143"/>
      <c r="Z98" s="143"/>
      <c r="AA98" s="143">
        <f>SUM(O98:Z98)</f>
        <v>0</v>
      </c>
      <c r="AB98" s="144" t="str">
        <f>IF(AA98=0,"",IFERROR(AA98/AA$19,""))</f>
        <v/>
      </c>
      <c r="AC98" s="140"/>
      <c r="AD98" s="143"/>
      <c r="AE98" s="144" t="str">
        <f>IF(AD98=0,"",IFERROR(AD98/AD$19,""))</f>
        <v/>
      </c>
      <c r="AF98" s="145">
        <f>IF(AND($AA98="",AD98=""),"",$AA98-AD98)</f>
        <v>0</v>
      </c>
      <c r="AG98" s="143"/>
      <c r="AH98" s="144" t="str">
        <f>IF(AG98=0,"",IFERROR(AG98/AG$19,""))</f>
        <v/>
      </c>
      <c r="AI98" s="145">
        <f>IF(AND($AA98="",AG98=""),"",$AA98-AG98)</f>
        <v>0</v>
      </c>
    </row>
    <row r="99" spans="1:35" x14ac:dyDescent="0.35">
      <c r="A99" s="11"/>
      <c r="B99" s="11"/>
      <c r="C99" s="208"/>
      <c r="D99" s="11"/>
      <c r="E99" s="11"/>
      <c r="F99" s="11"/>
      <c r="G99" s="11"/>
      <c r="H99" s="185" t="s">
        <v>342</v>
      </c>
      <c r="I99" s="122"/>
      <c r="J99" s="122"/>
      <c r="K99" s="11"/>
      <c r="L99" s="90" t="str">
        <f>IF(_epmOfflineCondition_,"",_xll.EVPRO($B$1,H99,"JDEID"))</f>
        <v/>
      </c>
      <c r="M99" s="90" t="str">
        <f>IF(_epmOfflineCondition_,"",IF(AND(I99="N",J99="N"),_xll.EVPRO($B$1,H99,"PSFTID"),""))</f>
        <v/>
      </c>
      <c r="N99" s="106" t="str">
        <f>IF(_epmOfflineCondition_,"Beer Revenue",IF(_xll.EVDES(H99,$B$1)="#NODATA","",_xll.EVDES(H99,$B$1)))</f>
        <v>Beer Revenue</v>
      </c>
      <c r="O99" s="166"/>
      <c r="P99" s="166"/>
      <c r="Q99" s="166"/>
      <c r="R99" s="166"/>
      <c r="S99" s="166"/>
      <c r="T99" s="166"/>
      <c r="U99" s="166"/>
      <c r="V99" s="166"/>
      <c r="W99" s="166"/>
      <c r="X99" s="166"/>
      <c r="Y99" s="166"/>
      <c r="Z99" s="166"/>
      <c r="AA99" s="166">
        <f>SUM(O99:Z99)</f>
        <v>0</v>
      </c>
      <c r="AB99" s="167" t="str">
        <f>IF(AA99=0,"",IFERROR(AA99/AA$19,""))</f>
        <v/>
      </c>
      <c r="AC99" s="140"/>
      <c r="AD99" s="166"/>
      <c r="AE99" s="167" t="str">
        <f>IF(AD99=0,"",IFERROR(AD99/AD$19,""))</f>
        <v/>
      </c>
      <c r="AF99" s="168">
        <f>IF(AND($AA99="",AD99=""),"",$AA99-AD99)</f>
        <v>0</v>
      </c>
      <c r="AG99" s="166">
        <v>8</v>
      </c>
      <c r="AH99" s="167">
        <f>IF(AG99=0,"",IFERROR(AG99/AG$19,""))</f>
        <v>8.4674005080440302E-4</v>
      </c>
      <c r="AI99" s="168">
        <f>IF(AND($AA99="",AG99=""),"",$AA99-AG99)</f>
        <v>-8</v>
      </c>
    </row>
    <row r="100" spans="1:35" x14ac:dyDescent="0.35">
      <c r="A100" s="11"/>
      <c r="B100" s="11"/>
      <c r="C100" s="208"/>
      <c r="D100" s="11"/>
      <c r="E100" s="11"/>
      <c r="F100" s="11"/>
      <c r="G100" s="11"/>
      <c r="H100" s="185"/>
      <c r="I100" s="122"/>
      <c r="J100" s="122"/>
      <c r="K100" s="11"/>
      <c r="L100" s="90"/>
      <c r="M100" s="90"/>
      <c r="N100" s="53"/>
      <c r="O100" s="174"/>
      <c r="P100" s="175"/>
      <c r="Q100" s="175"/>
      <c r="R100" s="175"/>
      <c r="S100" s="175"/>
      <c r="T100" s="175"/>
      <c r="U100" s="175"/>
      <c r="V100" s="175"/>
      <c r="W100" s="175"/>
      <c r="X100" s="175"/>
      <c r="Y100" s="175"/>
      <c r="Z100" s="175"/>
      <c r="AA100" s="175"/>
      <c r="AB100" s="176"/>
      <c r="AC100" s="140"/>
      <c r="AD100" s="174"/>
      <c r="AE100" s="175"/>
      <c r="AF100" s="176"/>
      <c r="AG100" s="174"/>
      <c r="AH100" s="175"/>
      <c r="AI100" s="176"/>
    </row>
    <row r="101" spans="1:35" x14ac:dyDescent="0.35">
      <c r="A101" s="11"/>
      <c r="B101" s="11"/>
      <c r="C101" s="208"/>
      <c r="D101" s="11"/>
      <c r="E101" s="11"/>
      <c r="F101" s="11"/>
      <c r="G101" s="11"/>
      <c r="H101" s="185"/>
      <c r="I101" s="122"/>
      <c r="J101" s="122"/>
      <c r="K101" s="11"/>
      <c r="L101" s="90"/>
      <c r="M101" s="90"/>
      <c r="N101" s="53" t="s">
        <v>338</v>
      </c>
      <c r="O101" s="162"/>
      <c r="P101" s="163"/>
      <c r="Q101" s="163"/>
      <c r="R101" s="163"/>
      <c r="S101" s="163"/>
      <c r="T101" s="163"/>
      <c r="U101" s="163"/>
      <c r="V101" s="163"/>
      <c r="W101" s="163"/>
      <c r="X101" s="163"/>
      <c r="Y101" s="163"/>
      <c r="Z101" s="163"/>
      <c r="AA101" s="163"/>
      <c r="AB101" s="164"/>
      <c r="AC101" s="140"/>
      <c r="AD101" s="162"/>
      <c r="AE101" s="163"/>
      <c r="AF101" s="164"/>
      <c r="AG101" s="162"/>
      <c r="AH101" s="163"/>
      <c r="AI101" s="164"/>
    </row>
    <row r="102" spans="1:35" x14ac:dyDescent="0.35">
      <c r="A102" s="11"/>
      <c r="B102" s="11"/>
      <c r="C102" s="208"/>
      <c r="D102" s="11"/>
      <c r="E102" s="11"/>
      <c r="F102" s="11"/>
      <c r="G102" s="11"/>
      <c r="H102" s="185" t="s">
        <v>296</v>
      </c>
      <c r="I102" s="122"/>
      <c r="J102" s="122"/>
      <c r="K102" s="11"/>
      <c r="L102" s="90" t="str">
        <f>IF(_epmOfflineCondition_,"461400",_xll.EVPRO($B$1,H102,"JDEID"))</f>
        <v>461400</v>
      </c>
      <c r="M102" s="90" t="str">
        <f>IF(_epmOfflineCondition_,"",IF(AND(I102="N",J102="N"),_xll.EVPRO($B$1,H102,"PSFTID"),""))</f>
        <v/>
      </c>
      <c r="N102" s="90" t="str">
        <f>IF(_epmOfflineCondition_,"Breakfast Wine",IF(_xll.EVDES(H102,$B$1)="#NODATA","",_xll.EVDES(H102,$B$1)))</f>
        <v>Breakfast Wine</v>
      </c>
      <c r="O102" s="143"/>
      <c r="P102" s="143"/>
      <c r="Q102" s="143"/>
      <c r="R102" s="143"/>
      <c r="S102" s="143"/>
      <c r="T102" s="143"/>
      <c r="U102" s="143"/>
      <c r="V102" s="143"/>
      <c r="W102" s="143"/>
      <c r="X102" s="143"/>
      <c r="Y102" s="143"/>
      <c r="Z102" s="143"/>
      <c r="AA102" s="143">
        <f>SUM(O102:Z102)</f>
        <v>0</v>
      </c>
      <c r="AB102" s="144" t="str">
        <f>IF(AA102=0,"",IFERROR(AA102/AA$19,""))</f>
        <v/>
      </c>
      <c r="AC102" s="140"/>
      <c r="AD102" s="143"/>
      <c r="AE102" s="144" t="str">
        <f>IF(AD102=0,"",IFERROR(AD102/AD$19,""))</f>
        <v/>
      </c>
      <c r="AF102" s="145">
        <f>IF(AND($AA102="",AD102=""),"",$AA102-AD102)</f>
        <v>0</v>
      </c>
      <c r="AG102" s="143">
        <v>1020</v>
      </c>
      <c r="AH102" s="144">
        <f>IF(AG102=0,"",IFERROR(AG102/AG$19,""))</f>
        <v>0.10795935647756139</v>
      </c>
      <c r="AI102" s="145">
        <f>IF(AND($AA102="",AG102=""),"",$AA102-AG102)</f>
        <v>-1020</v>
      </c>
    </row>
    <row r="103" spans="1:35" x14ac:dyDescent="0.35">
      <c r="A103" s="11"/>
      <c r="B103" s="11"/>
      <c r="C103" s="208"/>
      <c r="D103" s="11"/>
      <c r="E103" s="11"/>
      <c r="F103" s="11"/>
      <c r="G103" s="11"/>
      <c r="H103" s="185" t="s">
        <v>303</v>
      </c>
      <c r="I103" s="122"/>
      <c r="J103" s="122"/>
      <c r="K103" s="11"/>
      <c r="L103" s="90" t="str">
        <f>IF(_epmOfflineCondition_,"462400",_xll.EVPRO($B$1,H103,"JDEID"))</f>
        <v>462400</v>
      </c>
      <c r="M103" s="90" t="str">
        <f>IF(_epmOfflineCondition_,"",IF(AND(I103="N",J103="N"),_xll.EVPRO($B$1,H103,"PSFTID"),""))</f>
        <v/>
      </c>
      <c r="N103" s="90" t="str">
        <f>IF(_epmOfflineCondition_,"Lunch Wine",IF(_xll.EVDES(H103,$B$1)="#NODATA","",_xll.EVDES(H103,$B$1)))</f>
        <v>Lunch Wine</v>
      </c>
      <c r="O103" s="143"/>
      <c r="P103" s="143"/>
      <c r="Q103" s="143"/>
      <c r="R103" s="143"/>
      <c r="S103" s="143"/>
      <c r="T103" s="143"/>
      <c r="U103" s="143"/>
      <c r="V103" s="143"/>
      <c r="W103" s="143"/>
      <c r="X103" s="143"/>
      <c r="Y103" s="143"/>
      <c r="Z103" s="143"/>
      <c r="AA103" s="143">
        <f>SUM(O103:Z103)</f>
        <v>0</v>
      </c>
      <c r="AB103" s="144" t="str">
        <f>IF(AA103=0,"",IFERROR(AA103/AA$19,""))</f>
        <v/>
      </c>
      <c r="AC103" s="140"/>
      <c r="AD103" s="143"/>
      <c r="AE103" s="144" t="str">
        <f>IF(AD103=0,"",IFERROR(AD103/AD$19,""))</f>
        <v/>
      </c>
      <c r="AF103" s="145">
        <f>IF(AND($AA103="",AD103=""),"",$AA103-AD103)</f>
        <v>0</v>
      </c>
      <c r="AG103" s="143"/>
      <c r="AH103" s="144" t="str">
        <f>IF(AG103=0,"",IFERROR(AG103/AG$19,""))</f>
        <v/>
      </c>
      <c r="AI103" s="145">
        <f>IF(AND($AA103="",AG103=""),"",$AA103-AG103)</f>
        <v>0</v>
      </c>
    </row>
    <row r="104" spans="1:35" x14ac:dyDescent="0.35">
      <c r="A104" s="11"/>
      <c r="B104" s="11"/>
      <c r="C104" s="208"/>
      <c r="D104" s="11"/>
      <c r="E104" s="11"/>
      <c r="F104" s="11"/>
      <c r="G104" s="11"/>
      <c r="H104" s="185" t="s">
        <v>304</v>
      </c>
      <c r="I104" s="122"/>
      <c r="J104" s="122"/>
      <c r="K104" s="11"/>
      <c r="L104" s="90" t="str">
        <f>IF(_epmOfflineCondition_,"463400",_xll.EVPRO($B$1,H104,"JDEID"))</f>
        <v>463400</v>
      </c>
      <c r="M104" s="90" t="str">
        <f>IF(_epmOfflineCondition_,"",IF(AND(I104="N",J104="N"),_xll.EVPRO($B$1,H104,"PSFTID"),""))</f>
        <v/>
      </c>
      <c r="N104" s="90" t="str">
        <f>IF(_epmOfflineCondition_,"Dinner Wine",IF(_xll.EVDES(H104,$B$1)="#NODATA","",_xll.EVDES(H104,$B$1)))</f>
        <v>Dinner Wine</v>
      </c>
      <c r="O104" s="143"/>
      <c r="P104" s="143"/>
      <c r="Q104" s="143"/>
      <c r="R104" s="143"/>
      <c r="S104" s="143"/>
      <c r="T104" s="143"/>
      <c r="U104" s="143"/>
      <c r="V104" s="143"/>
      <c r="W104" s="143"/>
      <c r="X104" s="143"/>
      <c r="Y104" s="143"/>
      <c r="Z104" s="143"/>
      <c r="AA104" s="143">
        <f>SUM(O104:Z104)</f>
        <v>0</v>
      </c>
      <c r="AB104" s="144" t="str">
        <f>IF(AA104=0,"",IFERROR(AA104/AA$19,""))</f>
        <v/>
      </c>
      <c r="AC104" s="140"/>
      <c r="AD104" s="143"/>
      <c r="AE104" s="144" t="str">
        <f>IF(AD104=0,"",IFERROR(AD104/AD$19,""))</f>
        <v/>
      </c>
      <c r="AF104" s="145">
        <f>IF(AND($AA104="",AD104=""),"",$AA104-AD104)</f>
        <v>0</v>
      </c>
      <c r="AG104" s="143"/>
      <c r="AH104" s="144" t="str">
        <f>IF(AG104=0,"",IFERROR(AG104/AG$19,""))</f>
        <v/>
      </c>
      <c r="AI104" s="145">
        <f>IF(AND($AA104="",AG104=""),"",$AA104-AG104)</f>
        <v>0</v>
      </c>
    </row>
    <row r="105" spans="1:35" x14ac:dyDescent="0.35">
      <c r="A105" s="11"/>
      <c r="B105" s="11"/>
      <c r="C105" s="208"/>
      <c r="D105" s="11"/>
      <c r="E105" s="11"/>
      <c r="F105" s="11"/>
      <c r="G105" s="11"/>
      <c r="H105" s="185" t="s">
        <v>810</v>
      </c>
      <c r="I105" s="122"/>
      <c r="J105" s="122"/>
      <c r="K105" s="11"/>
      <c r="L105" s="90" t="str">
        <f>IF(_epmOfflineCondition_,"471410",_xll.EVPRO($B$1,H105,"JDEID"))</f>
        <v>471410</v>
      </c>
      <c r="M105" s="90" t="str">
        <f>IF(_epmOfflineCondition_,"",IF(AND(I105="N",J105="N"),_xll.EVPRO($B$1,H105,"PSFTID"),""))</f>
        <v/>
      </c>
      <c r="N105" s="90" t="str">
        <f>IF(_epmOfflineCondition_,"Reception Wine",IF(_xll.EVDES(H105,$B$1)="#NODATA","",_xll.EVDES(H105,$B$1)))</f>
        <v>Reception Wine</v>
      </c>
      <c r="O105" s="143"/>
      <c r="P105" s="143"/>
      <c r="Q105" s="143"/>
      <c r="R105" s="143"/>
      <c r="S105" s="143"/>
      <c r="T105" s="143"/>
      <c r="U105" s="143"/>
      <c r="V105" s="143"/>
      <c r="W105" s="143"/>
      <c r="X105" s="143"/>
      <c r="Y105" s="143"/>
      <c r="Z105" s="143"/>
      <c r="AA105" s="143">
        <f>SUM(O105:Z105)</f>
        <v>0</v>
      </c>
      <c r="AB105" s="144" t="str">
        <f>IF(AA105=0,"",IFERROR(AA105/AA$19,""))</f>
        <v/>
      </c>
      <c r="AC105" s="140"/>
      <c r="AD105" s="143"/>
      <c r="AE105" s="144" t="str">
        <f>IF(AD105=0,"",IFERROR(AD105/AD$19,""))</f>
        <v/>
      </c>
      <c r="AF105" s="145">
        <f>IF(AND($AA105="",AD105=""),"",$AA105-AD105)</f>
        <v>0</v>
      </c>
      <c r="AG105" s="143"/>
      <c r="AH105" s="144" t="str">
        <f>IF(AG105=0,"",IFERROR(AG105/AG$19,""))</f>
        <v/>
      </c>
      <c r="AI105" s="145">
        <f>IF(AND($AA105="",AG105=""),"",$AA105-AG105)</f>
        <v>0</v>
      </c>
    </row>
    <row r="106" spans="1:35" x14ac:dyDescent="0.35">
      <c r="A106" s="11"/>
      <c r="B106" s="11"/>
      <c r="C106" s="208"/>
      <c r="D106" s="11"/>
      <c r="E106" s="11"/>
      <c r="F106" s="11"/>
      <c r="G106" s="11"/>
      <c r="H106" s="185" t="s">
        <v>341</v>
      </c>
      <c r="I106" s="122"/>
      <c r="J106" s="122"/>
      <c r="K106" s="11"/>
      <c r="L106" s="90" t="str">
        <f>IF(_epmOfflineCondition_,"",_xll.EVPRO($B$1,H106,"JDEID"))</f>
        <v/>
      </c>
      <c r="M106" s="90" t="str">
        <f>IF(_epmOfflineCondition_,"",IF(AND(I106="N",J106="N"),_xll.EVPRO($B$1,H106,"PSFTID"),""))</f>
        <v/>
      </c>
      <c r="N106" s="106" t="str">
        <f>IF(_epmOfflineCondition_,"Wine Revenue",IF(_xll.EVDES(H106,$B$1)="#NODATA","",_xll.EVDES(H106,$B$1)))</f>
        <v>Wine Revenue</v>
      </c>
      <c r="O106" s="166"/>
      <c r="P106" s="166"/>
      <c r="Q106" s="166"/>
      <c r="R106" s="166"/>
      <c r="S106" s="166"/>
      <c r="T106" s="166"/>
      <c r="U106" s="166"/>
      <c r="V106" s="166"/>
      <c r="W106" s="166"/>
      <c r="X106" s="166"/>
      <c r="Y106" s="166"/>
      <c r="Z106" s="166"/>
      <c r="AA106" s="166">
        <f>SUM(O106:Z106)</f>
        <v>0</v>
      </c>
      <c r="AB106" s="167" t="str">
        <f>IF(AA106=0,"",IFERROR(AA106/AA$19,""))</f>
        <v/>
      </c>
      <c r="AC106" s="140"/>
      <c r="AD106" s="166"/>
      <c r="AE106" s="167" t="str">
        <f>IF(AD106=0,"",IFERROR(AD106/AD$19,""))</f>
        <v/>
      </c>
      <c r="AF106" s="168">
        <f>IF(AND($AA106="",AD106=""),"",$AA106-AD106)</f>
        <v>0</v>
      </c>
      <c r="AG106" s="166">
        <v>1020</v>
      </c>
      <c r="AH106" s="167">
        <f>IF(AG106=0,"",IFERROR(AG106/AG$19,""))</f>
        <v>0.10795935647756139</v>
      </c>
      <c r="AI106" s="168">
        <f>IF(AND($AA106="",AG106=""),"",$AA106-AG106)</f>
        <v>-1020</v>
      </c>
    </row>
    <row r="107" spans="1:35" x14ac:dyDescent="0.35">
      <c r="A107" s="11"/>
      <c r="B107" s="11"/>
      <c r="C107" s="208"/>
      <c r="D107" s="11"/>
      <c r="E107" s="11"/>
      <c r="F107" s="11"/>
      <c r="G107" s="11"/>
      <c r="H107" s="185"/>
      <c r="I107" s="122"/>
      <c r="J107" s="122"/>
      <c r="K107" s="11"/>
      <c r="L107" s="90"/>
      <c r="M107" s="90"/>
      <c r="N107" s="11"/>
      <c r="O107" s="174"/>
      <c r="P107" s="175"/>
      <c r="Q107" s="175"/>
      <c r="R107" s="175"/>
      <c r="S107" s="175"/>
      <c r="T107" s="175"/>
      <c r="U107" s="175"/>
      <c r="V107" s="175"/>
      <c r="W107" s="175"/>
      <c r="X107" s="175"/>
      <c r="Y107" s="175"/>
      <c r="Z107" s="175"/>
      <c r="AA107" s="175"/>
      <c r="AB107" s="176"/>
      <c r="AC107" s="140"/>
      <c r="AD107" s="174"/>
      <c r="AE107" s="175"/>
      <c r="AF107" s="176"/>
      <c r="AG107" s="174"/>
      <c r="AH107" s="175"/>
      <c r="AI107" s="176"/>
    </row>
    <row r="108" spans="1:35" x14ac:dyDescent="0.35">
      <c r="A108" s="11"/>
      <c r="B108" s="11"/>
      <c r="C108" s="208"/>
      <c r="D108" s="11"/>
      <c r="E108" s="11"/>
      <c r="F108" s="11"/>
      <c r="G108" s="11"/>
      <c r="H108" s="88" t="s">
        <v>267</v>
      </c>
      <c r="I108" s="122"/>
      <c r="J108" s="122"/>
      <c r="K108" s="11"/>
      <c r="L108" s="90" t="str">
        <f>IF(_epmOfflineCondition_,"",_xll.EVPRO($B$1,H108,"JDEID"))</f>
        <v/>
      </c>
      <c r="M108" s="90" t="str">
        <f>IF(_epmOfflineCondition_,"",IF(AND(I108="N",J108="N"),_xll.EVPRO($B$1,H108,"PSFTID"),""))</f>
        <v/>
      </c>
      <c r="N108" s="90" t="str">
        <f>IF(_epmOfflineCondition_,"Breakfast  Beverage Revenue",IF(_xll.EVDES(H108,$B$1)="#NODATA","",_xll.EVDES(H108,$B$1)))</f>
        <v>Breakfast  Beverage Revenue</v>
      </c>
      <c r="O108" s="143">
        <f t="shared" ref="O108:Z108" si="22">O88+O95+O102</f>
        <v>0</v>
      </c>
      <c r="P108" s="143">
        <f t="shared" si="22"/>
        <v>0</v>
      </c>
      <c r="Q108" s="143">
        <f t="shared" si="22"/>
        <v>0</v>
      </c>
      <c r="R108" s="143">
        <f t="shared" si="22"/>
        <v>0</v>
      </c>
      <c r="S108" s="143">
        <f t="shared" si="22"/>
        <v>0</v>
      </c>
      <c r="T108" s="143">
        <f t="shared" si="22"/>
        <v>0</v>
      </c>
      <c r="U108" s="143">
        <f t="shared" si="22"/>
        <v>0</v>
      </c>
      <c r="V108" s="143">
        <f t="shared" si="22"/>
        <v>0</v>
      </c>
      <c r="W108" s="143">
        <f t="shared" si="22"/>
        <v>0</v>
      </c>
      <c r="X108" s="143">
        <f t="shared" si="22"/>
        <v>0</v>
      </c>
      <c r="Y108" s="143">
        <f t="shared" si="22"/>
        <v>0</v>
      </c>
      <c r="Z108" s="143">
        <f t="shared" si="22"/>
        <v>0</v>
      </c>
      <c r="AA108" s="143">
        <f>SUM(O108:Z108)</f>
        <v>0</v>
      </c>
      <c r="AB108" s="144" t="str">
        <f>IF(AA108=0,"",IFERROR(AA108/AA$19,""))</f>
        <v/>
      </c>
      <c r="AC108" s="140"/>
      <c r="AD108" s="143">
        <f>AD88+AD95+AD102</f>
        <v>0</v>
      </c>
      <c r="AE108" s="144" t="str">
        <f>IF(AD108=0,"",IFERROR(AD108/AD$19,""))</f>
        <v/>
      </c>
      <c r="AF108" s="145">
        <f>IF(AND($AA108="",AD108=""),"",$AA108-AD108)</f>
        <v>0</v>
      </c>
      <c r="AG108" s="143">
        <f>AG88+AG95+AG102</f>
        <v>1028</v>
      </c>
      <c r="AH108" s="144">
        <f>IF(AG108=0,"",IFERROR(AG108/AG$19,""))</f>
        <v>0.10880609652836579</v>
      </c>
      <c r="AI108" s="145">
        <f>IF(AND($AA108="",AG108=""),"",$AA108-AG108)</f>
        <v>-1028</v>
      </c>
    </row>
    <row r="109" spans="1:35" x14ac:dyDescent="0.35">
      <c r="A109" s="11"/>
      <c r="B109" s="11"/>
      <c r="C109" s="208"/>
      <c r="D109" s="11"/>
      <c r="E109" s="11"/>
      <c r="F109" s="11"/>
      <c r="G109" s="11"/>
      <c r="H109" s="88" t="s">
        <v>268</v>
      </c>
      <c r="I109" s="122"/>
      <c r="J109" s="122"/>
      <c r="K109" s="11"/>
      <c r="L109" s="90" t="str">
        <f>IF(_epmOfflineCondition_,"",_xll.EVPRO($B$1,H109,"JDEID"))</f>
        <v/>
      </c>
      <c r="M109" s="90" t="str">
        <f>IF(_epmOfflineCondition_,"",IF(AND(I109="N",J109="N"),_xll.EVPRO($B$1,H109,"PSFTID"),""))</f>
        <v/>
      </c>
      <c r="N109" s="90" t="str">
        <f>IF(_epmOfflineCondition_,"Lunch Beverage Revenue",IF(_xll.EVDES(H109,$B$1)="#NODATA","",_xll.EVDES(H109,$B$1)))</f>
        <v>Lunch Beverage Revenue</v>
      </c>
      <c r="O109" s="143">
        <f t="shared" ref="O109:Z109" si="23">O89+O96+O103</f>
        <v>0</v>
      </c>
      <c r="P109" s="143">
        <f t="shared" si="23"/>
        <v>0</v>
      </c>
      <c r="Q109" s="143">
        <f t="shared" si="23"/>
        <v>0</v>
      </c>
      <c r="R109" s="143">
        <f t="shared" si="23"/>
        <v>0</v>
      </c>
      <c r="S109" s="143">
        <f t="shared" si="23"/>
        <v>0</v>
      </c>
      <c r="T109" s="143">
        <f t="shared" si="23"/>
        <v>0</v>
      </c>
      <c r="U109" s="143">
        <f t="shared" si="23"/>
        <v>0</v>
      </c>
      <c r="V109" s="143">
        <f t="shared" si="23"/>
        <v>0</v>
      </c>
      <c r="W109" s="143">
        <f t="shared" si="23"/>
        <v>0</v>
      </c>
      <c r="X109" s="143">
        <f t="shared" si="23"/>
        <v>0</v>
      </c>
      <c r="Y109" s="143">
        <f t="shared" si="23"/>
        <v>0</v>
      </c>
      <c r="Z109" s="143">
        <f t="shared" si="23"/>
        <v>0</v>
      </c>
      <c r="AA109" s="143">
        <f>SUM(O109:Z109)</f>
        <v>0</v>
      </c>
      <c r="AB109" s="144" t="str">
        <f>IF(AA109=0,"",IFERROR(AA109/AA$19,""))</f>
        <v/>
      </c>
      <c r="AC109" s="140"/>
      <c r="AD109" s="143">
        <f>AD89+AD96+AD103</f>
        <v>0</v>
      </c>
      <c r="AE109" s="144" t="str">
        <f>IF(AD109=0,"",IFERROR(AD109/AD$19,""))</f>
        <v/>
      </c>
      <c r="AF109" s="145">
        <f>IF(AND($AA109="",AD109=""),"",$AA109-AD109)</f>
        <v>0</v>
      </c>
      <c r="AG109" s="143">
        <f>AG89+AG96+AG103</f>
        <v>0</v>
      </c>
      <c r="AH109" s="144" t="str">
        <f>IF(AG109=0,"",IFERROR(AG109/AG$19,""))</f>
        <v/>
      </c>
      <c r="AI109" s="145">
        <f>IF(AND($AA109="",AG109=""),"",$AA109-AG109)</f>
        <v>0</v>
      </c>
    </row>
    <row r="110" spans="1:35" x14ac:dyDescent="0.35">
      <c r="A110" s="11"/>
      <c r="B110" s="11"/>
      <c r="C110" s="208"/>
      <c r="D110" s="11"/>
      <c r="E110" s="11"/>
      <c r="F110" s="11"/>
      <c r="G110" s="11"/>
      <c r="H110" s="185" t="s">
        <v>269</v>
      </c>
      <c r="I110" s="122"/>
      <c r="J110" s="122"/>
      <c r="K110" s="11"/>
      <c r="L110" s="90" t="str">
        <f>IF(_epmOfflineCondition_,"",_xll.EVPRO($B$1,H110,"JDEID"))</f>
        <v/>
      </c>
      <c r="M110" s="90" t="str">
        <f>IF(_epmOfflineCondition_,"",IF(AND(I110="N",J110="N"),_xll.EVPRO($B$1,H110,"PSFTID"),""))</f>
        <v/>
      </c>
      <c r="N110" s="90" t="str">
        <f>IF(_epmOfflineCondition_,"Dinner Beverage Revenue",IF(_xll.EVDES(H110,$B$1)="#NODATA","",_xll.EVDES(H110,$B$1)))</f>
        <v>Dinner Beverage Revenue</v>
      </c>
      <c r="O110" s="143">
        <f t="shared" ref="O110:Z110" si="24">O90+O97+O104</f>
        <v>0</v>
      </c>
      <c r="P110" s="143">
        <f t="shared" si="24"/>
        <v>0</v>
      </c>
      <c r="Q110" s="143">
        <f t="shared" si="24"/>
        <v>0</v>
      </c>
      <c r="R110" s="143">
        <f t="shared" si="24"/>
        <v>0</v>
      </c>
      <c r="S110" s="143">
        <f t="shared" si="24"/>
        <v>0</v>
      </c>
      <c r="T110" s="143">
        <f t="shared" si="24"/>
        <v>0</v>
      </c>
      <c r="U110" s="143">
        <f t="shared" si="24"/>
        <v>0</v>
      </c>
      <c r="V110" s="143">
        <f t="shared" si="24"/>
        <v>0</v>
      </c>
      <c r="W110" s="143">
        <f t="shared" si="24"/>
        <v>0</v>
      </c>
      <c r="X110" s="143">
        <f t="shared" si="24"/>
        <v>0</v>
      </c>
      <c r="Y110" s="143">
        <f t="shared" si="24"/>
        <v>0</v>
      </c>
      <c r="Z110" s="143">
        <f t="shared" si="24"/>
        <v>0</v>
      </c>
      <c r="AA110" s="143">
        <f>SUM(O110:Z110)</f>
        <v>0</v>
      </c>
      <c r="AB110" s="144" t="str">
        <f>IF(AA110=0,"",IFERROR(AA110/AA$19,""))</f>
        <v/>
      </c>
      <c r="AC110" s="140"/>
      <c r="AD110" s="143">
        <f>AD90+AD97+AD104</f>
        <v>0</v>
      </c>
      <c r="AE110" s="144" t="str">
        <f>IF(AD110=0,"",IFERROR(AD110/AD$19,""))</f>
        <v/>
      </c>
      <c r="AF110" s="145">
        <f>IF(AND($AA110="",AD110=""),"",$AA110-AD110)</f>
        <v>0</v>
      </c>
      <c r="AG110" s="143">
        <f>AG90+AG97+AG104</f>
        <v>0</v>
      </c>
      <c r="AH110" s="144" t="str">
        <f>IF(AG110=0,"",IFERROR(AG110/AG$19,""))</f>
        <v/>
      </c>
      <c r="AI110" s="145">
        <f>IF(AND($AA110="",AG110=""),"",$AA110-AG110)</f>
        <v>0</v>
      </c>
    </row>
    <row r="111" spans="1:35" x14ac:dyDescent="0.35">
      <c r="A111" s="11"/>
      <c r="B111" s="11"/>
      <c r="C111" s="208"/>
      <c r="D111" s="11"/>
      <c r="E111" s="11"/>
      <c r="F111" s="11"/>
      <c r="G111" s="11"/>
      <c r="H111" s="185" t="s">
        <v>791</v>
      </c>
      <c r="I111" s="122"/>
      <c r="J111" s="122"/>
      <c r="K111" s="11"/>
      <c r="L111" s="90" t="str">
        <f>IF(_epmOfflineCondition_,"",_xll.EVPRO($B$1,H111,"JDEID"))</f>
        <v/>
      </c>
      <c r="M111" s="90" t="str">
        <f>IF(_epmOfflineCondition_,"",IF(AND(I111="N",J111="N"),_xll.EVPRO($B$1,H111,"PSFTID"),""))</f>
        <v/>
      </c>
      <c r="N111" s="90" t="str">
        <f>IF(_epmOfflineCondition_,"Reception Beverage Revenue",IF(_xll.EVDES(H111,$B$1)="#NODATA","",_xll.EVDES(H111,$B$1)))</f>
        <v>Reception Beverage Revenue</v>
      </c>
      <c r="O111" s="143">
        <f t="shared" ref="O111:Z111" si="25">O91+O98+O105</f>
        <v>0</v>
      </c>
      <c r="P111" s="143">
        <f t="shared" si="25"/>
        <v>0</v>
      </c>
      <c r="Q111" s="143">
        <f t="shared" si="25"/>
        <v>0</v>
      </c>
      <c r="R111" s="143">
        <f t="shared" si="25"/>
        <v>0</v>
      </c>
      <c r="S111" s="143">
        <f t="shared" si="25"/>
        <v>0</v>
      </c>
      <c r="T111" s="143">
        <f t="shared" si="25"/>
        <v>0</v>
      </c>
      <c r="U111" s="143">
        <f t="shared" si="25"/>
        <v>0</v>
      </c>
      <c r="V111" s="143">
        <f t="shared" si="25"/>
        <v>0</v>
      </c>
      <c r="W111" s="143">
        <f t="shared" si="25"/>
        <v>0</v>
      </c>
      <c r="X111" s="143">
        <f t="shared" si="25"/>
        <v>0</v>
      </c>
      <c r="Y111" s="143">
        <f t="shared" si="25"/>
        <v>0</v>
      </c>
      <c r="Z111" s="143">
        <f t="shared" si="25"/>
        <v>0</v>
      </c>
      <c r="AA111" s="143">
        <f>SUM(O111:Z111)</f>
        <v>0</v>
      </c>
      <c r="AB111" s="144" t="str">
        <f>IF(AA111=0,"",IFERROR(AA111/AA$19,""))</f>
        <v/>
      </c>
      <c r="AC111" s="140"/>
      <c r="AD111" s="143">
        <f>AD91+AD98+AD105</f>
        <v>0</v>
      </c>
      <c r="AE111" s="144" t="str">
        <f>IF(AD111=0,"",IFERROR(AD111/AD$19,""))</f>
        <v/>
      </c>
      <c r="AF111" s="145">
        <f>IF(AND($AA111="",AD111=""),"",$AA111-AD111)</f>
        <v>0</v>
      </c>
      <c r="AG111" s="143">
        <f>AG91+AG98+AG105</f>
        <v>0</v>
      </c>
      <c r="AH111" s="144" t="str">
        <f>IF(AG111=0,"",IFERROR(AG111/AG$19,""))</f>
        <v/>
      </c>
      <c r="AI111" s="145">
        <f>IF(AND($AA111="",AG111=""),"",$AA111-AG111)</f>
        <v>0</v>
      </c>
    </row>
    <row r="112" spans="1:35" x14ac:dyDescent="0.35">
      <c r="A112" s="11"/>
      <c r="B112" s="11"/>
      <c r="C112" s="208"/>
      <c r="D112" s="11"/>
      <c r="E112" s="11"/>
      <c r="F112" s="11"/>
      <c r="G112" s="11"/>
      <c r="H112" s="88" t="s">
        <v>272</v>
      </c>
      <c r="I112" s="122"/>
      <c r="J112" s="122"/>
      <c r="K112" s="11"/>
      <c r="L112" s="90" t="str">
        <f>IF(_epmOfflineCondition_,"",_xll.EVPRO($B$1,H112,"JDEID"))</f>
        <v/>
      </c>
      <c r="M112" s="90" t="str">
        <f>IF(_epmOfflineCondition_,"",IF(AND(I112="N",J112="N"),_xll.EVPRO($B$1,H112,"PSFTID"),""))</f>
        <v/>
      </c>
      <c r="N112" s="106" t="str">
        <f>IF(_epmOfflineCondition_,"Total Beverage Revenue",IF(_xll.EVDES(H112,$B$1)="#NODATA","",_xll.EVDES(H112,$B$1)))</f>
        <v>Total Beverage Revenue</v>
      </c>
      <c r="O112" s="166">
        <f t="shared" ref="O112:Z112" si="26">SUM(O108:O111)</f>
        <v>0</v>
      </c>
      <c r="P112" s="166">
        <f t="shared" si="26"/>
        <v>0</v>
      </c>
      <c r="Q112" s="166">
        <f t="shared" si="26"/>
        <v>0</v>
      </c>
      <c r="R112" s="166">
        <f t="shared" si="26"/>
        <v>0</v>
      </c>
      <c r="S112" s="166">
        <f t="shared" si="26"/>
        <v>0</v>
      </c>
      <c r="T112" s="166">
        <f t="shared" si="26"/>
        <v>0</v>
      </c>
      <c r="U112" s="166">
        <f t="shared" si="26"/>
        <v>0</v>
      </c>
      <c r="V112" s="166">
        <f t="shared" si="26"/>
        <v>0</v>
      </c>
      <c r="W112" s="166">
        <f t="shared" si="26"/>
        <v>0</v>
      </c>
      <c r="X112" s="166">
        <f t="shared" si="26"/>
        <v>0</v>
      </c>
      <c r="Y112" s="166">
        <f t="shared" si="26"/>
        <v>0</v>
      </c>
      <c r="Z112" s="166">
        <f t="shared" si="26"/>
        <v>0</v>
      </c>
      <c r="AA112" s="166">
        <f>SUM(O112:Z112)</f>
        <v>0</v>
      </c>
      <c r="AB112" s="167" t="str">
        <f>IF(AA112=0,"",IFERROR(AA112/AA$19,""))</f>
        <v/>
      </c>
      <c r="AC112" s="140"/>
      <c r="AD112" s="166">
        <f>SUM(AD108:AD111)</f>
        <v>0</v>
      </c>
      <c r="AE112" s="167" t="str">
        <f>IF(AD112=0,"",IFERROR(AD112/AD$19,""))</f>
        <v/>
      </c>
      <c r="AF112" s="168">
        <f>IF(AND($AA112="",AD112=""),"",$AA112-AD112)</f>
        <v>0</v>
      </c>
      <c r="AG112" s="166">
        <f>SUM(AG108:AG111)</f>
        <v>1028</v>
      </c>
      <c r="AH112" s="167">
        <f>IF(AG112=0,"",IFERROR(AG112/AG$19,""))</f>
        <v>0.10880609652836579</v>
      </c>
      <c r="AI112" s="168">
        <f>IF(AND($AA112="",AG112=""),"",$AA112-AG112)</f>
        <v>-1028</v>
      </c>
    </row>
    <row r="113" spans="1:35" x14ac:dyDescent="0.35">
      <c r="A113" s="11"/>
      <c r="B113" s="11"/>
      <c r="C113" s="208"/>
      <c r="D113" s="11"/>
      <c r="E113" s="11"/>
      <c r="F113" s="11"/>
      <c r="G113" s="11"/>
      <c r="H113" s="185"/>
      <c r="I113" s="122"/>
      <c r="J113" s="122"/>
      <c r="K113" s="11"/>
      <c r="L113" s="11"/>
      <c r="M113" s="11"/>
      <c r="N113" s="11"/>
      <c r="O113" s="511">
        <f t="shared" ref="O113:AA113" si="27">O92+O99+O106-O112</f>
        <v>0</v>
      </c>
      <c r="P113" s="511">
        <f t="shared" si="27"/>
        <v>0</v>
      </c>
      <c r="Q113" s="511">
        <f t="shared" si="27"/>
        <v>0</v>
      </c>
      <c r="R113" s="511">
        <f t="shared" si="27"/>
        <v>0</v>
      </c>
      <c r="S113" s="511">
        <f t="shared" si="27"/>
        <v>0</v>
      </c>
      <c r="T113" s="511">
        <f t="shared" si="27"/>
        <v>0</v>
      </c>
      <c r="U113" s="511">
        <f t="shared" si="27"/>
        <v>0</v>
      </c>
      <c r="V113" s="511">
        <f t="shared" si="27"/>
        <v>0</v>
      </c>
      <c r="W113" s="511">
        <f t="shared" si="27"/>
        <v>0</v>
      </c>
      <c r="X113" s="511">
        <f t="shared" si="27"/>
        <v>0</v>
      </c>
      <c r="Y113" s="511">
        <f t="shared" si="27"/>
        <v>0</v>
      </c>
      <c r="Z113" s="511">
        <f t="shared" si="27"/>
        <v>0</v>
      </c>
      <c r="AA113" s="511">
        <f t="shared" si="27"/>
        <v>0</v>
      </c>
      <c r="AB113" s="144"/>
      <c r="AC113" s="140"/>
      <c r="AD113" s="511">
        <f>AD92+AD99+AD106-AD112</f>
        <v>0</v>
      </c>
      <c r="AE113" s="144"/>
      <c r="AF113" s="143"/>
      <c r="AG113" s="511">
        <f>AG92+AG99+AG106-AG112</f>
        <v>0</v>
      </c>
      <c r="AH113" s="144"/>
      <c r="AI113" s="143"/>
    </row>
    <row r="114" spans="1:35" x14ac:dyDescent="0.35">
      <c r="A114" s="11"/>
      <c r="B114" s="11"/>
      <c r="C114" s="208"/>
      <c r="D114" s="11"/>
      <c r="E114" s="11"/>
      <c r="F114" s="11"/>
      <c r="G114" s="11"/>
      <c r="H114" s="185"/>
      <c r="I114" s="122"/>
      <c r="J114" s="122"/>
      <c r="K114" s="11"/>
      <c r="L114" s="11"/>
      <c r="M114" s="11"/>
      <c r="N114" s="11"/>
      <c r="O114" s="174"/>
      <c r="P114" s="175"/>
      <c r="Q114" s="175"/>
      <c r="R114" s="175"/>
      <c r="S114" s="175"/>
      <c r="T114" s="175"/>
      <c r="U114" s="175"/>
      <c r="V114" s="175"/>
      <c r="W114" s="175"/>
      <c r="X114" s="175"/>
      <c r="Y114" s="175"/>
      <c r="Z114" s="175"/>
      <c r="AA114" s="175"/>
      <c r="AB114" s="176"/>
      <c r="AC114" s="140"/>
      <c r="AD114" s="174"/>
      <c r="AE114" s="175"/>
      <c r="AF114" s="176"/>
      <c r="AG114" s="174"/>
      <c r="AH114" s="175"/>
      <c r="AI114" s="176"/>
    </row>
    <row r="115" spans="1:35" x14ac:dyDescent="0.35">
      <c r="A115" s="11"/>
      <c r="B115" s="11"/>
      <c r="C115" s="208"/>
      <c r="D115" s="11"/>
      <c r="E115" s="11"/>
      <c r="F115" s="11"/>
      <c r="G115" s="11"/>
      <c r="H115" s="11"/>
      <c r="I115" s="59"/>
      <c r="J115" s="59"/>
      <c r="K115" s="11"/>
      <c r="L115" s="11"/>
      <c r="M115" s="11"/>
      <c r="N115" s="11"/>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row>
    <row r="116" spans="1:35" x14ac:dyDescent="0.35">
      <c r="A116" s="11"/>
      <c r="B116" s="11"/>
      <c r="C116" s="208"/>
      <c r="D116" s="11"/>
      <c r="E116" s="11"/>
      <c r="F116" s="11"/>
      <c r="G116" s="11"/>
      <c r="H116" s="185"/>
      <c r="I116" s="122"/>
      <c r="J116" s="122"/>
      <c r="K116" s="11"/>
      <c r="L116" s="11"/>
      <c r="M116" s="11"/>
      <c r="N116" s="104" t="str">
        <f>N82&amp;" - Check"</f>
        <v>Total Food &amp; Beverage Revenue - Check</v>
      </c>
      <c r="O116" s="511">
        <f t="shared" ref="O116:AA116" si="28">O39+O49+O59+O69+O75+O80-O82</f>
        <v>0</v>
      </c>
      <c r="P116" s="511">
        <f t="shared" si="28"/>
        <v>0</v>
      </c>
      <c r="Q116" s="511">
        <f t="shared" si="28"/>
        <v>0</v>
      </c>
      <c r="R116" s="511">
        <f t="shared" si="28"/>
        <v>0</v>
      </c>
      <c r="S116" s="511">
        <f t="shared" si="28"/>
        <v>0</v>
      </c>
      <c r="T116" s="511">
        <f t="shared" si="28"/>
        <v>0</v>
      </c>
      <c r="U116" s="511">
        <f t="shared" si="28"/>
        <v>0</v>
      </c>
      <c r="V116" s="511">
        <f t="shared" si="28"/>
        <v>0</v>
      </c>
      <c r="W116" s="511">
        <f t="shared" si="28"/>
        <v>0</v>
      </c>
      <c r="X116" s="511">
        <f t="shared" si="28"/>
        <v>0</v>
      </c>
      <c r="Y116" s="511">
        <f t="shared" si="28"/>
        <v>0</v>
      </c>
      <c r="Z116" s="511">
        <f t="shared" si="28"/>
        <v>0</v>
      </c>
      <c r="AA116" s="511">
        <f t="shared" si="28"/>
        <v>0</v>
      </c>
      <c r="AB116" s="144"/>
      <c r="AC116" s="140"/>
      <c r="AD116" s="511">
        <f>AD39+AD49+AD59+AD69+AD75+AD80-AD82</f>
        <v>0</v>
      </c>
      <c r="AE116" s="144"/>
      <c r="AF116" s="143"/>
      <c r="AG116" s="511">
        <f>AG39+AG49+AG59+AG69+AG75+AG80-AG82</f>
        <v>0</v>
      </c>
      <c r="AH116" s="144"/>
      <c r="AI116" s="143"/>
    </row>
    <row r="117" spans="1:35" x14ac:dyDescent="0.35">
      <c r="A117" s="11"/>
      <c r="B117" s="11"/>
      <c r="C117" s="208"/>
      <c r="D117" s="11"/>
      <c r="E117" s="11"/>
      <c r="F117" s="11"/>
      <c r="G117" s="11"/>
      <c r="H117" s="185"/>
      <c r="I117" s="122"/>
      <c r="J117" s="122"/>
      <c r="K117" s="11"/>
      <c r="L117" s="11"/>
      <c r="M117" s="11"/>
      <c r="N117" s="104" t="str">
        <f>N83&amp;" - Check"</f>
        <v>Total Customers - Check</v>
      </c>
      <c r="O117" s="511">
        <f t="shared" ref="O117:AA117" si="29">O41+O51+O61+O70+O76-O83</f>
        <v>0</v>
      </c>
      <c r="P117" s="511">
        <f t="shared" si="29"/>
        <v>0</v>
      </c>
      <c r="Q117" s="511">
        <f t="shared" si="29"/>
        <v>0</v>
      </c>
      <c r="R117" s="511">
        <f t="shared" si="29"/>
        <v>0</v>
      </c>
      <c r="S117" s="511">
        <f t="shared" si="29"/>
        <v>0</v>
      </c>
      <c r="T117" s="511">
        <f t="shared" si="29"/>
        <v>0</v>
      </c>
      <c r="U117" s="511">
        <f t="shared" si="29"/>
        <v>0</v>
      </c>
      <c r="V117" s="511">
        <f t="shared" si="29"/>
        <v>0</v>
      </c>
      <c r="W117" s="511">
        <f t="shared" si="29"/>
        <v>0</v>
      </c>
      <c r="X117" s="511">
        <f t="shared" si="29"/>
        <v>0</v>
      </c>
      <c r="Y117" s="511">
        <f t="shared" si="29"/>
        <v>0</v>
      </c>
      <c r="Z117" s="511">
        <f t="shared" si="29"/>
        <v>0</v>
      </c>
      <c r="AA117" s="511">
        <f t="shared" si="29"/>
        <v>0</v>
      </c>
      <c r="AB117" s="144"/>
      <c r="AC117" s="140"/>
      <c r="AD117" s="511">
        <f>AD41+AD51+AD61+AD70+AD76-AD83</f>
        <v>0</v>
      </c>
      <c r="AE117" s="144"/>
      <c r="AF117" s="143"/>
      <c r="AG117" s="511">
        <f>AG41+AG51+AG61+AG70+AG76-AG83</f>
        <v>0</v>
      </c>
      <c r="AH117" s="144"/>
      <c r="AI117" s="143"/>
    </row>
    <row r="118" spans="1:35" x14ac:dyDescent="0.35">
      <c r="A118" s="11"/>
      <c r="B118" s="11"/>
      <c r="C118" s="208"/>
      <c r="D118" s="11"/>
      <c r="E118" s="11"/>
      <c r="F118" s="11"/>
      <c r="G118" s="11"/>
      <c r="H118" s="185"/>
      <c r="I118" s="122"/>
      <c r="J118" s="122"/>
      <c r="K118" s="11"/>
      <c r="L118" s="11"/>
      <c r="M118" s="11"/>
      <c r="N118" s="104" t="str">
        <f>N84&amp;" - Check"</f>
        <v>Total Average Check - Check</v>
      </c>
      <c r="O118" s="510">
        <f t="shared" ref="O118:AA118" si="30">IFERROR(O$82/O83,"")-O84</f>
        <v>0</v>
      </c>
      <c r="P118" s="510" t="e">
        <f t="shared" si="30"/>
        <v>#VALUE!</v>
      </c>
      <c r="Q118" s="510" t="e">
        <f t="shared" si="30"/>
        <v>#VALUE!</v>
      </c>
      <c r="R118" s="510" t="e">
        <f t="shared" si="30"/>
        <v>#VALUE!</v>
      </c>
      <c r="S118" s="510" t="e">
        <f t="shared" si="30"/>
        <v>#VALUE!</v>
      </c>
      <c r="T118" s="510" t="e">
        <f t="shared" si="30"/>
        <v>#VALUE!</v>
      </c>
      <c r="U118" s="510" t="e">
        <f t="shared" si="30"/>
        <v>#VALUE!</v>
      </c>
      <c r="V118" s="510" t="e">
        <f t="shared" si="30"/>
        <v>#VALUE!</v>
      </c>
      <c r="W118" s="510" t="e">
        <f t="shared" si="30"/>
        <v>#VALUE!</v>
      </c>
      <c r="X118" s="510">
        <f t="shared" si="30"/>
        <v>0</v>
      </c>
      <c r="Y118" s="510" t="e">
        <f t="shared" si="30"/>
        <v>#VALUE!</v>
      </c>
      <c r="Z118" s="510" t="e">
        <f t="shared" si="30"/>
        <v>#VALUE!</v>
      </c>
      <c r="AA118" s="510">
        <f t="shared" si="30"/>
        <v>0</v>
      </c>
      <c r="AB118" s="144"/>
      <c r="AC118" s="140"/>
      <c r="AD118" s="510" t="e">
        <f>IFERROR(AD$82/AD83,"")-AD84</f>
        <v>#VALUE!</v>
      </c>
      <c r="AE118" s="144"/>
      <c r="AF118" s="143"/>
      <c r="AG118" s="510">
        <f>IFERROR(AG$82/AG83,"")-AG84</f>
        <v>0</v>
      </c>
      <c r="AH118" s="144"/>
      <c r="AI118" s="143"/>
    </row>
    <row r="119" spans="1:35" x14ac:dyDescent="0.35">
      <c r="A119" s="11"/>
      <c r="B119" s="11"/>
      <c r="C119" s="208"/>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35">
      <c r="A120" s="11"/>
      <c r="B120" s="11"/>
      <c r="C120" s="208"/>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35">
      <c r="A121" s="11"/>
      <c r="B121" s="11"/>
      <c r="C121" s="208"/>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35">
      <c r="A122" s="11"/>
      <c r="B122" s="11"/>
      <c r="C122" s="208"/>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35">
      <c r="A123" s="11"/>
      <c r="B123" s="11"/>
      <c r="C123" s="208"/>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35">
      <c r="A124" s="11"/>
      <c r="B124" s="11"/>
      <c r="C124" s="208"/>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35">
      <c r="A125" s="11"/>
      <c r="B125" s="11"/>
      <c r="C125" s="208"/>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35">
      <c r="A126" s="11"/>
      <c r="B126" s="11"/>
      <c r="C126" s="208"/>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35">
      <c r="A127" s="11"/>
      <c r="B127" s="11"/>
      <c r="C127" s="208"/>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35">
      <c r="A128" s="11"/>
      <c r="B128" s="11"/>
      <c r="C128" s="208"/>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35">
      <c r="A129" s="11"/>
      <c r="B129" s="11"/>
      <c r="C129" s="208"/>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35">
      <c r="A130" s="11"/>
      <c r="B130" s="11"/>
      <c r="C130" s="208"/>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35">
      <c r="A131" s="11"/>
      <c r="B131" s="11"/>
      <c r="C131" s="208"/>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35">
      <c r="A132" s="11"/>
      <c r="B132" s="11"/>
      <c r="C132" s="208"/>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35">
      <c r="A134" s="11"/>
      <c r="B134" s="11"/>
      <c r="C134" s="208"/>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35">
      <c r="A135" s="11"/>
      <c r="B135" s="11"/>
      <c r="C135" s="208"/>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35">
      <c r="A136" s="11"/>
      <c r="B136" s="11"/>
      <c r="C136" s="208"/>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35">
      <c r="A137" s="11"/>
      <c r="B137" s="11"/>
      <c r="C137" s="208"/>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35">
      <c r="A138" s="11"/>
      <c r="B138" s="11"/>
      <c r="C138" s="208"/>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35">
      <c r="A139" s="11"/>
      <c r="B139" s="11"/>
      <c r="C139" s="208"/>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35">
      <c r="A140" s="11"/>
      <c r="B140" s="11"/>
      <c r="C140" s="208"/>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35">
      <c r="A141" s="11"/>
      <c r="B141" s="11"/>
      <c r="C141" s="208"/>
      <c r="D141" s="11"/>
      <c r="E141" s="11"/>
      <c r="F141" s="11"/>
      <c r="G141" s="11"/>
      <c r="H141" s="11"/>
      <c r="I141" s="267"/>
      <c r="J141" s="11"/>
      <c r="K141" s="267"/>
      <c r="L141" s="267"/>
      <c r="M141" s="267"/>
      <c r="N141" s="11"/>
      <c r="O141" s="267"/>
      <c r="P141" s="267"/>
      <c r="Q141" s="267"/>
      <c r="R141" s="267"/>
      <c r="S141" s="267"/>
      <c r="T141" s="267"/>
      <c r="U141" s="267"/>
      <c r="V141" s="267"/>
      <c r="W141" s="267"/>
      <c r="X141" s="267"/>
      <c r="Y141" s="267"/>
      <c r="Z141" s="267"/>
      <c r="AA141" s="267"/>
      <c r="AB141" s="11"/>
      <c r="AC141" s="11"/>
      <c r="AD141" s="267"/>
      <c r="AE141" s="11"/>
      <c r="AF141" s="267"/>
      <c r="AG141" s="11"/>
      <c r="AH141" s="267"/>
      <c r="AI141" s="11"/>
    </row>
    <row r="142" spans="1:35" x14ac:dyDescent="0.35">
      <c r="A142" s="11"/>
      <c r="B142" s="11"/>
      <c r="C142" s="208"/>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35">
      <c r="A143" s="11"/>
      <c r="B143" s="11"/>
      <c r="C143" s="208"/>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3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208"/>
      <c r="D145" s="11"/>
      <c r="E145" s="11"/>
      <c r="F145" s="11"/>
      <c r="G145" s="11"/>
      <c r="H145" s="11"/>
      <c r="I145" s="267"/>
      <c r="J145" s="11"/>
      <c r="K145" s="267"/>
      <c r="L145" s="267"/>
      <c r="M145" s="267"/>
      <c r="N145" s="11"/>
      <c r="O145" s="267"/>
      <c r="P145" s="267"/>
      <c r="Q145" s="267"/>
      <c r="R145" s="267"/>
      <c r="S145" s="267"/>
      <c r="T145" s="267"/>
      <c r="U145" s="267"/>
      <c r="V145" s="267"/>
      <c r="W145" s="267"/>
      <c r="X145" s="267"/>
      <c r="Y145" s="267"/>
      <c r="Z145" s="267"/>
      <c r="AA145" s="267"/>
      <c r="AB145" s="11"/>
      <c r="AC145" s="11"/>
      <c r="AD145" s="267"/>
      <c r="AE145" s="11"/>
      <c r="AF145" s="267"/>
      <c r="AG145" s="11"/>
      <c r="AH145" s="267"/>
      <c r="AI145" s="11"/>
    </row>
    <row r="146" spans="1:35" x14ac:dyDescent="0.3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3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3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3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3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3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3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3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3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35">
      <c r="A202" s="11"/>
      <c r="B202" s="11"/>
      <c r="C202" s="11"/>
      <c r="D202" s="11"/>
      <c r="E202" s="267"/>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3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3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3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35">
      <c r="A206" s="11"/>
      <c r="B206" s="11"/>
      <c r="C206" s="11"/>
      <c r="D206" s="11"/>
      <c r="E206" s="267"/>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sheetData>
  <sheetProtection algorithmName="SHA-512" hashValue="7WNysCCuJl3O6Ol7mjNGzapabJ4zruo7Il4AxYoaIxAkIA/OAPl6gmeUmlEMvEAZm3x+za9RtD06P8FvhcNTFg==" saltValue="3MIZ2/5TQ9C57yyYIsabaQ==" spinCount="100000" sheet="1" scenarios="1"/>
  <mergeCells count="2">
    <mergeCell ref="AD31:AE31"/>
    <mergeCell ref="AG31:AH31"/>
  </mergeCells>
  <conditionalFormatting sqref="AD43 AF43:AG43 O43:AA43">
    <cfRule type="expression" dxfId="11" priority="10">
      <formula>ROUND(O42,2)&lt;&gt;ROUND(O43,2)</formula>
    </cfRule>
  </conditionalFormatting>
  <conditionalFormatting sqref="O53:AA53 AD53 AF53:AG53">
    <cfRule type="expression" dxfId="10" priority="9">
      <formula>ROUND(O52,2)&lt;&gt;ROUND(O53,2)</formula>
    </cfRule>
  </conditionalFormatting>
  <conditionalFormatting sqref="O63:AA63 AD63 AF63:AG63">
    <cfRule type="expression" dxfId="9" priority="8">
      <formula>ROUND(O62,2)&lt;&gt;ROUND(O63,2)</formula>
    </cfRule>
  </conditionalFormatting>
  <conditionalFormatting sqref="O72:AA72 AD72 AF72:AG72">
    <cfRule type="expression" dxfId="8" priority="7">
      <formula>ROUND(O71,2)&lt;&gt;ROUND(O72,2)</formula>
    </cfRule>
  </conditionalFormatting>
  <conditionalFormatting sqref="AD78 AF78:AG78 O78:AA78">
    <cfRule type="expression" dxfId="7" priority="6">
      <formula>ROUND(O77,2)&lt;&gt;ROUND(O78,2)</formula>
    </cfRule>
  </conditionalFormatting>
  <conditionalFormatting sqref="AI43">
    <cfRule type="expression" dxfId="6" priority="5">
      <formula>ROUND(AI42,2)&lt;&gt;ROUND(AI43,2)</formula>
    </cfRule>
  </conditionalFormatting>
  <conditionalFormatting sqref="AI53">
    <cfRule type="expression" dxfId="5" priority="4">
      <formula>ROUND(AI52,2)&lt;&gt;ROUND(AI53,2)</formula>
    </cfRule>
  </conditionalFormatting>
  <conditionalFormatting sqref="AI63">
    <cfRule type="expression" dxfId="4" priority="3">
      <formula>ROUND(AI62,2)&lt;&gt;ROUND(AI63,2)</formula>
    </cfRule>
  </conditionalFormatting>
  <conditionalFormatting sqref="AI72">
    <cfRule type="expression" dxfId="3" priority="2">
      <formula>ROUND(AI71,2)&lt;&gt;ROUND(AI72,2)</formula>
    </cfRule>
  </conditionalFormatting>
  <conditionalFormatting sqref="AI78">
    <cfRule type="expression" dxfId="2" priority="1">
      <formula>ROUND(AI77,2)&lt;&gt;ROUND(AI78,2)</formula>
    </cfRule>
  </conditionalFormatting>
  <conditionalFormatting sqref="N43 N53 N63 N72 N78">
    <cfRule type="expression" dxfId="1" priority="11">
      <formula>$G44&lt;&gt;0</formula>
    </cfRule>
  </conditionalFormatting>
  <conditionalFormatting sqref="N79">
    <cfRule type="expression" dxfId="0" priority="12">
      <formula>#REF!&lt;&gt;0</formula>
    </cfRule>
  </conditionalFormatting>
  <dataValidations count="2">
    <dataValidation type="list" allowBlank="1" sqref="B29" xr:uid="{00000000-0002-0000-1C00-000000000000}">
      <formula1>"SELF,ALL,BAS,DEP,BASMEMBERS,MEMBERS,NOEXPAND,GDEP"</formula1>
    </dataValidation>
    <dataValidation type="list" allowBlank="1" sqref="B28" xr:uid="{00000000-0002-0000-1C00-000001000000}">
      <formula1>"ACCOUNT,BUSINESSUNIT,CATEGORY,DATASRC,DEPARTMENT,INTCO,MEASURES,RPTCURRENCY,TIME"</formula1>
    </dataValidation>
  </dataValidations>
  <pageMargins left="0.25" right="0.25" top="0.5" bottom="0.5" header="0.3" footer="0.3"/>
  <pageSetup scale="50"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9249"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9249" r:id="rId7" name="FPMExcelClientSheetOptionstb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349</v>
      </c>
      <c r="C6" s="11" t="str">
        <f>IF(_epmOfflineCondition_,"Mini Bar",_xll.EVDES(B6,$B$1))</f>
        <v>Mini Bar</v>
      </c>
      <c r="D6" s="11"/>
      <c r="E6" s="58" t="str">
        <f>IF(_epmOfflineCondition_,"D1149",_xll.EVPRO($B$1,$B$6,$F$6))</f>
        <v>D1149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IF(_epmOfflineCondition_,"'Mini_Bar'!$B$2:$B$10",_xll.EVRNG($B$2:$B$10))</f>
        <v>'Mini_Bar'!$B$2:$B$10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IF(_epmOfflineCondition_,"'Mini_Bar'!$O$16:$AN$18",_xll.EVRNG($O$16:$AN$18))</f>
        <v>'Mini_Bar'!$O$16:$AN$18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IF(_epmOfflineCondition_,"'Mini_Bar'!$H$35:$H$41",_xll.EVRNG(H35:H41))</f>
        <v>'Mini_Bar'!$H$35:$H$41</v>
      </c>
      <c r="C19" s="11"/>
      <c r="D19" s="11"/>
      <c r="E19" s="11"/>
      <c r="F19" s="11"/>
      <c r="G19" s="67" t="str">
        <f>$B$6</f>
        <v>D1149</v>
      </c>
      <c r="H19" s="67">
        <v>400000</v>
      </c>
      <c r="I19" s="68"/>
      <c r="J19" s="68"/>
      <c r="K19" s="67"/>
      <c r="L19" s="67"/>
      <c r="M19" s="67"/>
      <c r="N19" s="67" t="str">
        <f>IF(_epmOfflineCondition_,"Total Revenue",_xll.EVDES(H19))</f>
        <v>Total Revenue</v>
      </c>
      <c r="O19" s="69">
        <f>IF(_epmOfflineCondition_,12000.78,_xll.EVGTS($B$1,1,$B$3,$B$5,$B$7,$B$9,O$16,O$17,O$18,$G$19,$H$19))</f>
        <v>12000.78</v>
      </c>
      <c r="P19" s="69">
        <f>IF(_epmOfflineCondition_,12626.71,_xll.EVGTS($B$1,1,$B$3,$B$5,$B$7,$B$9,P$16,P$17,P$18,$G$19,$H$19))</f>
        <v>12626.71</v>
      </c>
      <c r="Q19" s="69">
        <f>IF(_epmOfflineCondition_,8873,_xll.EVGTS($B$1,1,$B$3,$B$5,$B$7,$B$9,Q$16,Q$17,Q$18,$G$19,$H$19))</f>
        <v>8873</v>
      </c>
      <c r="R19" s="69">
        <f>IF(_epmOfflineCondition_,0,_xll.EVGTS($B$1,1,$B$3,$B$5,$B$7,$B$9,R$16,R$17,R$18,$G$19,$H$19))</f>
        <v>0</v>
      </c>
      <c r="S19" s="69">
        <f>IF(_epmOfflineCondition_,-238,_xll.EVGTS($B$1,1,$B$3,$B$5,$B$7,$B$9,S$16,S$17,S$18,$G$19,$H$19))</f>
        <v>-238</v>
      </c>
      <c r="T19" s="69">
        <f>IF(_epmOfflineCondition_,911,_xll.EVGTS($B$1,1,$B$3,$B$5,$B$7,$B$9,T$16,T$17,T$18,$G$19,$H$19))</f>
        <v>911</v>
      </c>
      <c r="U19" s="69">
        <f>IF(_epmOfflineCondition_,779.75,_xll.EVGTS($B$1,1,$B$3,$B$5,$B$7,$B$9,U$16,U$17,U$18,$G$19,$H$19))</f>
        <v>779.75</v>
      </c>
      <c r="V19" s="69">
        <f>IF(_epmOfflineCondition_,3190.5,_xll.EVGTS($B$1,1,$B$3,$B$5,$B$7,$B$9,V$16,V$17,V$18,$G$19,$H$19))</f>
        <v>3190.5</v>
      </c>
      <c r="W19" s="69">
        <f>IF(_epmOfflineCondition_,3328,_xll.EVGTS($B$1,1,$B$3,$B$5,$B$7,$B$9,W$16,W$17,W$18,$G$19,$H$19))</f>
        <v>3328</v>
      </c>
      <c r="X19" s="69">
        <f>IF(_epmOfflineCondition_,4773.1,_xll.EVGTS($B$1,1,$B$3,$B$5,$B$7,$B$9,X$16,X$17,X$18,$G$19,$H$19))</f>
        <v>4773.1000000000004</v>
      </c>
      <c r="Y19" s="69">
        <f>IF(_epmOfflineCondition_,3028,_xll.EVGTS($B$1,1,$B$3,$B$5,$B$7,$B$9,Y$16,Y$17,Y$18,$G$19,$H$19))</f>
        <v>3028</v>
      </c>
      <c r="Z19" s="69">
        <f>IF(_epmOfflineCondition_,3365,_xll.EVGTS($B$1,1,$B$3,$B$5,$B$7,$B$9,Z$16,Z$17,Z$18,$G$19,$H$19))</f>
        <v>3365</v>
      </c>
      <c r="AA19" s="69">
        <f>SUM(O19:Z19)</f>
        <v>52637.84</v>
      </c>
      <c r="AB19" s="67"/>
      <c r="AC19" s="67"/>
      <c r="AD19" s="69">
        <f>IF(_epmOfflineCondition_,127041.85,_xll.EVGTS($B$1,1,$B$3,$B$5,$B$7,$B$9,AD$16,AD$17,AD$18,$G$19,$H$19))</f>
        <v>127041.85</v>
      </c>
      <c r="AE19" s="67"/>
      <c r="AF19" s="67"/>
      <c r="AG19" s="69">
        <f>IF(_epmOfflineCondition_,110812.64,_xll.EVGTS($B$1,1,$B$3,$B$5,$B$7,$B$9,AG$16,AG$17,AG$18,$G$19,$H$19))</f>
        <v>110812.64</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IF(_epmOfflineCondition_,"'Mini_Bar'!$A$36:$F$43",_xll.EVRNG(A36:F43))</f>
        <v>'Mini_Bar'!$A$36:$F$43</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IF(_epmOfflineCondition_,"'Mini_Bar'!$A$123:$B$144",_xll.EVRNG($A$123:$B$144))</f>
        <v>'Mini_Bar'!$A$123:$B$144</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IF(_epmOfflineCondition_,"Mini Bar Department",IF(_xll.EVDES(B6,$B$1)="#NODATA","",_xll.EVDES(B6,$B$1)&amp;" Department"))</f>
        <v>Mini Bar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"DEP(REV_F) AND "&amp;$E$6&amp;"=Y,DEP(REV_BEV) AND "&amp;$E$6&amp;"=Y,ALLOW_FB,REV_FB,DEP(REV_MISC_OTHR) AND "&amp;$E$6&amp;"=Y,468990,400000"</f>
        <v>DEP(REV_F) AND D1149=Y,DEP(REV_BEV) AND D1149=Y,ALLOW_FB,REV_FB,DEP(REV_MISC_OTHR) AND D1149=Y,468990,400000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11"/>
      <c r="I34" s="59"/>
      <c r="J34" s="59"/>
      <c r="K34" s="11"/>
      <c r="L34" s="133" t="s">
        <v>364</v>
      </c>
      <c r="M34" s="133" t="s">
        <v>782</v>
      </c>
      <c r="N34" s="53" t="s">
        <v>356</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35">
      <c r="A35" s="97" t="s">
        <v>92</v>
      </c>
      <c r="B35" s="98" t="s">
        <v>93</v>
      </c>
      <c r="C35" s="98" t="s">
        <v>94</v>
      </c>
      <c r="D35" s="98" t="s">
        <v>95</v>
      </c>
      <c r="E35" s="98" t="s">
        <v>96</v>
      </c>
      <c r="F35" s="99" t="s">
        <v>97</v>
      </c>
      <c r="G35" s="11"/>
      <c r="H35" s="88" t="s">
        <v>350</v>
      </c>
      <c r="I35" s="122" t="str">
        <f>IF(_epmOfflineCondition_,"T5",_xll.EVPRO($B$1,$H35,"STYLE"))</f>
        <v>T5</v>
      </c>
      <c r="J35" s="122" t="str">
        <f>IF(_epmOfflineCondition_,"Y",_xll.EVPRO($B$1,$H35,"CALC"))</f>
        <v>Y</v>
      </c>
      <c r="K35" s="179" t="str">
        <f t="shared" ref="K35:K41" si="0">IF(AND(I35&gt;="T5"),"&gt;","")</f>
        <v>&gt;</v>
      </c>
      <c r="L35" s="90" t="str">
        <f>IF(_epmOfflineCondition_,"467100",_xll.EVPRO($B$1,H35,"JDEID"))</f>
        <v>467100</v>
      </c>
      <c r="M35" s="90" t="str">
        <f>IF(_epmOfflineCondition_,"",IF(AND(I35="N",J35="N"),_xll.EVPRO($B$1,H35,"PSFTID"),""))</f>
        <v/>
      </c>
      <c r="N35" s="90" t="str">
        <f>IF(_epmOfflineCondition_,"Mini Bar Food",IF(_xll.EVDES(H35,$B$1)="#NODATA","",_xll.EVDES(H35,$B$1)))</f>
        <v>Mini Bar Food</v>
      </c>
      <c r="O35" s="587">
        <v>6880.86</v>
      </c>
      <c r="P35" s="587">
        <v>6416.33</v>
      </c>
      <c r="Q35" s="587">
        <v>4662</v>
      </c>
      <c r="R35" s="587"/>
      <c r="S35" s="587">
        <v>-73</v>
      </c>
      <c r="T35" s="143">
        <v>247</v>
      </c>
      <c r="U35" s="143">
        <v>328</v>
      </c>
      <c r="V35" s="143">
        <v>982.5</v>
      </c>
      <c r="W35" s="143">
        <v>1064</v>
      </c>
      <c r="X35" s="143">
        <v>1624.1</v>
      </c>
      <c r="Y35" s="143">
        <v>884</v>
      </c>
      <c r="Z35" s="143">
        <v>645</v>
      </c>
      <c r="AA35" s="250">
        <f t="shared" ref="AA35:AA41" si="1">IF($I35="B1","",SUM(O35:Z35))</f>
        <v>23660.789999999997</v>
      </c>
      <c r="AB35" s="144">
        <f t="shared" ref="AB35:AB41" si="2">IF(AA35=0,"",IFERROR(AA35/AA$19,""))</f>
        <v>0.44950153729712311</v>
      </c>
      <c r="AC35" s="140"/>
      <c r="AD35" s="143">
        <v>75464.3</v>
      </c>
      <c r="AE35" s="144">
        <f t="shared" ref="AE35:AE41" si="3">IF(AD35=0,"",IFERROR(AD35/AD$19,""))</f>
        <v>0.59401134350609663</v>
      </c>
      <c r="AF35" s="145">
        <f t="shared" ref="AF35:AF41" si="4">IF(AND($AA35="",AD35=""),"",$AA35-AD35)</f>
        <v>-51803.510000000009</v>
      </c>
      <c r="AG35" s="143">
        <v>65688.17</v>
      </c>
      <c r="AH35" s="144">
        <f t="shared" ref="AH35:AH41" si="5">IF(AG35=0,"",IFERROR(AG35/AG$19,""))</f>
        <v>0.59278589518307656</v>
      </c>
      <c r="AI35" s="145">
        <f t="shared" ref="AI35:AI41" si="6">IF(AND($AA35="",AG35=""),"",$AA35-AG35)</f>
        <v>-42027.380000000005</v>
      </c>
      <c r="AJ35" s="440">
        <f t="shared" ref="AJ35:AJ41" si="7">IFERROR(AA35/AA$20,0)</f>
        <v>1.1800892768079798</v>
      </c>
      <c r="AK35" s="441">
        <f t="shared" ref="AK35:AK41" si="8">IFERROR(AD35/AD$20,0)</f>
        <v>1.9966741632491072</v>
      </c>
      <c r="AL35" s="442">
        <f t="shared" ref="AL35:AL41" si="9">IFERROR(AG35/AG$20,0)</f>
        <v>1.9976938750684266</v>
      </c>
      <c r="AM35" s="443" t="str">
        <f t="shared" ref="AM35:AM41" si="10">+IFERROR(ROUND(($AB35-AE35)*100,2)&amp;" pts.",0)</f>
        <v>-14.45 pts.</v>
      </c>
      <c r="AN35" s="444" t="str">
        <f t="shared" ref="AN35:AN41" si="11">+IFERROR(ROUND(($AB35-AH35)*100,2)&amp;" pts.",0)</f>
        <v>-14.33 pts.</v>
      </c>
      <c r="AO35" s="11"/>
    </row>
    <row r="36" spans="1:41" x14ac:dyDescent="0.35">
      <c r="A36" s="11"/>
      <c r="B36" s="11"/>
      <c r="C36" s="11"/>
      <c r="D36" s="11"/>
      <c r="E36" s="11"/>
      <c r="F36" s="11"/>
      <c r="G36" s="11"/>
      <c r="H36" s="88" t="s">
        <v>351</v>
      </c>
      <c r="I36" s="122" t="str">
        <f>IF(_epmOfflineCondition_,"T5",_xll.EVPRO($B$1,$H36,"STYLE"))</f>
        <v>T5</v>
      </c>
      <c r="J36" s="122" t="str">
        <f>IF(_epmOfflineCondition_,"Y",_xll.EVPRO($B$1,$H36,"CALC"))</f>
        <v>Y</v>
      </c>
      <c r="K36" s="179" t="str">
        <f t="shared" si="0"/>
        <v>&gt;</v>
      </c>
      <c r="L36" s="90" t="str">
        <f>IF(_epmOfflineCondition_,"467200",_xll.EVPRO($B$1,H36,"JDEID"))</f>
        <v>467200</v>
      </c>
      <c r="M36" s="90" t="str">
        <f>IF(_epmOfflineCondition_,"",IF(AND(I36="N",J36="N"),_xll.EVPRO($B$1,H36,"PSFTID"),""))</f>
        <v/>
      </c>
      <c r="N36" s="90" t="str">
        <f>IF(_epmOfflineCondition_,"Mini Bar Beverage",IF(_xll.EVDES(H36,$B$1)="#NODATA","",_xll.EVDES(H36,$B$1)))</f>
        <v>Mini Bar Beverage</v>
      </c>
      <c r="O36" s="587">
        <v>3238</v>
      </c>
      <c r="P36" s="587">
        <v>5330</v>
      </c>
      <c r="Q36" s="587">
        <v>3203</v>
      </c>
      <c r="R36" s="587"/>
      <c r="S36" s="587">
        <v>-165</v>
      </c>
      <c r="T36" s="143">
        <v>664</v>
      </c>
      <c r="U36" s="143">
        <v>451.75</v>
      </c>
      <c r="V36" s="143">
        <v>2208</v>
      </c>
      <c r="W36" s="143">
        <v>2264</v>
      </c>
      <c r="X36" s="143">
        <v>3149</v>
      </c>
      <c r="Y36" s="143">
        <v>2144</v>
      </c>
      <c r="Z36" s="143">
        <v>2720</v>
      </c>
      <c r="AA36" s="250">
        <f t="shared" si="1"/>
        <v>25206.75</v>
      </c>
      <c r="AB36" s="144">
        <f t="shared" si="2"/>
        <v>0.47887128347211821</v>
      </c>
      <c r="AC36" s="140"/>
      <c r="AD36" s="143">
        <v>47420.1</v>
      </c>
      <c r="AE36" s="144">
        <f t="shared" si="3"/>
        <v>0.37326361352577908</v>
      </c>
      <c r="AF36" s="145">
        <f t="shared" si="4"/>
        <v>-22213.35</v>
      </c>
      <c r="AG36" s="143">
        <v>39597</v>
      </c>
      <c r="AH36" s="144">
        <f t="shared" si="5"/>
        <v>0.35733288188062301</v>
      </c>
      <c r="AI36" s="145">
        <f t="shared" si="6"/>
        <v>-14390.25</v>
      </c>
      <c r="AJ36" s="440">
        <f t="shared" si="7"/>
        <v>1.2571945137157108</v>
      </c>
      <c r="AK36" s="441">
        <f t="shared" si="8"/>
        <v>1.2546659611059663</v>
      </c>
      <c r="AL36" s="442">
        <f t="shared" si="9"/>
        <v>1.2042150720759077</v>
      </c>
      <c r="AM36" s="443" t="str">
        <f t="shared" si="10"/>
        <v>10.56 pts.</v>
      </c>
      <c r="AN36" s="444" t="str">
        <f t="shared" si="11"/>
        <v>12.15 pts.</v>
      </c>
      <c r="AO36" s="11"/>
    </row>
    <row r="37" spans="1:41" x14ac:dyDescent="0.35">
      <c r="A37" s="11" t="s">
        <v>105</v>
      </c>
      <c r="B37" s="11"/>
      <c r="C37" s="104" t="s">
        <v>101</v>
      </c>
      <c r="D37" s="11" t="s">
        <v>106</v>
      </c>
      <c r="E37" s="11"/>
      <c r="F37" s="11" t="s">
        <v>98</v>
      </c>
      <c r="G37" s="11"/>
      <c r="H37" s="88" t="s">
        <v>486</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IF(_epmOfflineCondition_,"Food &amp; Beverage: Allowances",IF(_xll.EVDES(H37,$B$1)="#NODATA","",_xll.EVDES(H37,$B$1)))</f>
        <v>Food &amp; Beverage: Allowances</v>
      </c>
      <c r="O37" s="588"/>
      <c r="P37" s="588">
        <v>-25.63</v>
      </c>
      <c r="Q37" s="588"/>
      <c r="R37" s="588"/>
      <c r="S37" s="588"/>
      <c r="T37" s="217"/>
      <c r="U37" s="217"/>
      <c r="V37" s="217"/>
      <c r="W37" s="217"/>
      <c r="X37" s="217"/>
      <c r="Y37" s="217"/>
      <c r="Z37" s="217"/>
      <c r="AA37" s="251">
        <f t="shared" si="1"/>
        <v>-25.63</v>
      </c>
      <c r="AB37" s="219">
        <f t="shared" si="2"/>
        <v>-4.8691207693932729E-4</v>
      </c>
      <c r="AC37" s="140"/>
      <c r="AD37" s="217"/>
      <c r="AE37" s="219" t="str">
        <f t="shared" si="3"/>
        <v/>
      </c>
      <c r="AF37" s="220">
        <f t="shared" si="4"/>
        <v>-25.63</v>
      </c>
      <c r="AG37" s="217">
        <v>-49.38</v>
      </c>
      <c r="AH37" s="219">
        <f t="shared" si="5"/>
        <v>-4.4561703430222402E-4</v>
      </c>
      <c r="AI37" s="220">
        <f t="shared" si="6"/>
        <v>23.750000000000004</v>
      </c>
      <c r="AJ37" s="449">
        <f t="shared" si="7"/>
        <v>-1.2783042394014963E-3</v>
      </c>
      <c r="AK37" s="450">
        <f t="shared" si="8"/>
        <v>0</v>
      </c>
      <c r="AL37" s="451">
        <f t="shared" si="9"/>
        <v>-1.5017334712000487E-3</v>
      </c>
      <c r="AM37" s="452">
        <f t="shared" si="10"/>
        <v>0</v>
      </c>
      <c r="AN37" s="453" t="str">
        <f t="shared" si="11"/>
        <v>0 pts.</v>
      </c>
      <c r="AO37" s="11"/>
    </row>
    <row r="38" spans="1:41" x14ac:dyDescent="0.35">
      <c r="A38" s="11" t="s">
        <v>104</v>
      </c>
      <c r="B38" s="11"/>
      <c r="C38" s="104" t="s">
        <v>101</v>
      </c>
      <c r="D38" s="11" t="s">
        <v>106</v>
      </c>
      <c r="E38" s="11"/>
      <c r="F38" s="11" t="s">
        <v>98</v>
      </c>
      <c r="G38" s="11"/>
      <c r="H38" s="88" t="s">
        <v>273</v>
      </c>
      <c r="I38" s="188" t="str">
        <f>IF(_epmOfflineCondition_,"T4",_xll.EVPRO($B$1,$H38,"STYLE"))</f>
        <v>T4</v>
      </c>
      <c r="J38" s="188" t="str">
        <f>IF(_epmOfflineCondition_,"Y",_xll.EVPRO($B$1,$H38,"CALC"))</f>
        <v>Y</v>
      </c>
      <c r="K38" s="189" t="str">
        <f t="shared" si="0"/>
        <v/>
      </c>
      <c r="L38" s="190" t="str">
        <f>IF(_epmOfflineCondition_,"",_xll.EVPRO($B$1,H38,"JDEID"))</f>
        <v/>
      </c>
      <c r="M38" s="190" t="str">
        <f>IF(_epmOfflineCondition_,"",IF(AND(I38="N",J38="N"),_xll.EVPRO($B$1,H38,"PSFTID"),""))</f>
        <v/>
      </c>
      <c r="N38" s="190" t="str">
        <f>IF(_epmOfflineCondition_,"Total Food &amp; Beverage Revenue",IF(_xll.EVDES(H38,$B$1)="#NODATA","",_xll.EVDES(H38,$B$1)))</f>
        <v>Total Food &amp; Beverage Revenue</v>
      </c>
      <c r="O38" s="589">
        <v>10118.86</v>
      </c>
      <c r="P38" s="589">
        <v>11720.7</v>
      </c>
      <c r="Q38" s="589">
        <v>7865</v>
      </c>
      <c r="R38" s="589"/>
      <c r="S38" s="589">
        <v>-238</v>
      </c>
      <c r="T38" s="225">
        <v>911</v>
      </c>
      <c r="U38" s="225">
        <v>779.75</v>
      </c>
      <c r="V38" s="225">
        <v>3190.5</v>
      </c>
      <c r="W38" s="225">
        <v>3328</v>
      </c>
      <c r="X38" s="225">
        <v>4773.1000000000004</v>
      </c>
      <c r="Y38" s="225">
        <v>3028</v>
      </c>
      <c r="Z38" s="225">
        <v>3365</v>
      </c>
      <c r="AA38" s="225">
        <f t="shared" si="1"/>
        <v>48841.909999999996</v>
      </c>
      <c r="AB38" s="226">
        <f t="shared" si="2"/>
        <v>0.92788590869230192</v>
      </c>
      <c r="AC38" s="227"/>
      <c r="AD38" s="225">
        <v>122884.4</v>
      </c>
      <c r="AE38" s="226">
        <f t="shared" si="3"/>
        <v>0.9672749570318756</v>
      </c>
      <c r="AF38" s="228">
        <f t="shared" si="4"/>
        <v>-74042.489999999991</v>
      </c>
      <c r="AG38" s="225">
        <v>105235.79</v>
      </c>
      <c r="AH38" s="226">
        <f t="shared" si="5"/>
        <v>0.94967316002939728</v>
      </c>
      <c r="AI38" s="228">
        <f t="shared" si="6"/>
        <v>-56393.88</v>
      </c>
      <c r="AJ38" s="229">
        <f t="shared" si="7"/>
        <v>2.436005486284289</v>
      </c>
      <c r="AK38" s="230">
        <f t="shared" si="8"/>
        <v>3.2513401243550732</v>
      </c>
      <c r="AL38" s="232">
        <f t="shared" si="9"/>
        <v>3.2004072136731341</v>
      </c>
      <c r="AM38" s="427" t="str">
        <f t="shared" si="10"/>
        <v>-3.94 pts.</v>
      </c>
      <c r="AN38" s="456" t="str">
        <f t="shared" si="11"/>
        <v>-2.18 pts.</v>
      </c>
      <c r="AO38" s="11"/>
    </row>
    <row r="39" spans="1:41" x14ac:dyDescent="0.35">
      <c r="A39" s="11" t="s">
        <v>100</v>
      </c>
      <c r="B39" s="11"/>
      <c r="C39" s="53" t="s">
        <v>101</v>
      </c>
      <c r="D39" s="11" t="s">
        <v>106</v>
      </c>
      <c r="E39" s="11"/>
      <c r="F39" s="11" t="s">
        <v>98</v>
      </c>
      <c r="G39" s="11"/>
      <c r="H39" s="88" t="s">
        <v>352</v>
      </c>
      <c r="I39" s="122" t="str">
        <f>IF(_epmOfflineCondition_,"T5",_xll.EVPRO($B$1,$H39,"STYLE"))</f>
        <v>T5</v>
      </c>
      <c r="J39" s="122" t="str">
        <f>IF(_epmOfflineCondition_,"Y",_xll.EVPRO($B$1,$H39,"CALC"))</f>
        <v>Y</v>
      </c>
      <c r="K39" s="179" t="str">
        <f t="shared" si="0"/>
        <v>&gt;</v>
      </c>
      <c r="L39" s="90" t="str">
        <f>IF(_epmOfflineCondition_,"467300",_xll.EVPRO($B$1,H39,"JDEID"))</f>
        <v>467300</v>
      </c>
      <c r="M39" s="90" t="str">
        <f>IF(_epmOfflineCondition_,"",IF(AND(I39="N",J39="N"),_xll.EVPRO($B$1,H39,"PSFTID"),""))</f>
        <v/>
      </c>
      <c r="N39" s="90" t="str">
        <f>IF(_epmOfflineCondition_,"Mini Bar Merchandise",IF(_xll.EVDES(H39,$B$1)="#NODATA","",_xll.EVDES(H39,$B$1)))</f>
        <v>Mini Bar Merchandise</v>
      </c>
      <c r="O39" s="603">
        <v>1881.92</v>
      </c>
      <c r="P39" s="603">
        <v>906.01</v>
      </c>
      <c r="Q39" s="603">
        <v>1008</v>
      </c>
      <c r="R39" s="603"/>
      <c r="S39" s="603"/>
      <c r="T39" s="210"/>
      <c r="U39" s="210"/>
      <c r="V39" s="210"/>
      <c r="W39" s="210"/>
      <c r="X39" s="210"/>
      <c r="Y39" s="210"/>
      <c r="Z39" s="210"/>
      <c r="AA39" s="252">
        <f t="shared" si="1"/>
        <v>3795.9300000000003</v>
      </c>
      <c r="AB39" s="211">
        <f t="shared" si="2"/>
        <v>7.2114091307698053E-2</v>
      </c>
      <c r="AC39" s="140"/>
      <c r="AD39" s="210">
        <v>4157.45</v>
      </c>
      <c r="AE39" s="211">
        <f t="shared" si="3"/>
        <v>3.2725042968124278E-2</v>
      </c>
      <c r="AF39" s="253">
        <f t="shared" si="4"/>
        <v>-361.51999999999953</v>
      </c>
      <c r="AG39" s="210">
        <v>5576.85</v>
      </c>
      <c r="AH39" s="211">
        <f t="shared" si="5"/>
        <v>5.0326839970602638E-2</v>
      </c>
      <c r="AI39" s="253">
        <f t="shared" si="6"/>
        <v>-1780.92</v>
      </c>
      <c r="AJ39" s="234">
        <f t="shared" si="7"/>
        <v>0.18932319201995013</v>
      </c>
      <c r="AK39" s="235">
        <f t="shared" si="8"/>
        <v>0.11</v>
      </c>
      <c r="AL39" s="237">
        <f t="shared" si="9"/>
        <v>0.16960190985949761</v>
      </c>
      <c r="AM39" s="429" t="str">
        <f t="shared" si="10"/>
        <v>3.94 pts.</v>
      </c>
      <c r="AN39" s="462" t="str">
        <f t="shared" si="11"/>
        <v>2.18 pts.</v>
      </c>
      <c r="AO39" s="11"/>
    </row>
    <row r="40" spans="1:41" x14ac:dyDescent="0.35">
      <c r="A40" s="11" t="s">
        <v>102</v>
      </c>
      <c r="B40" s="11"/>
      <c r="C40" s="106" t="s">
        <v>101</v>
      </c>
      <c r="D40" s="11" t="s">
        <v>106</v>
      </c>
      <c r="E40" s="11"/>
      <c r="F40" s="11" t="s">
        <v>98</v>
      </c>
      <c r="G40" s="11"/>
      <c r="H40" s="88" t="s">
        <v>473</v>
      </c>
      <c r="I40" s="122" t="str">
        <f>IF(_epmOfflineCondition_,"N",_xll.EVPRO($B$1,$H40,"STYLE"))</f>
        <v>N</v>
      </c>
      <c r="J40" s="122" t="str">
        <f>IF(_epmOfflineCondition_,"N",_xll.EVPRO($B$1,$H40,"CALC"))</f>
        <v>N</v>
      </c>
      <c r="K40" s="179" t="str">
        <f t="shared" si="0"/>
        <v/>
      </c>
      <c r="L40" s="90" t="str">
        <f>IF(_epmOfflineCondition_,"468990",_xll.EVPRO($B$1,H40,"JDEID"))</f>
        <v>468990</v>
      </c>
      <c r="M40" s="90" t="str">
        <f>IF(_epmOfflineCondition_,"206022",IF(AND(I40="N",J40="N"),_xll.EVPRO($B$1,H40,"PSFTID"),""))</f>
        <v>206022</v>
      </c>
      <c r="N40" s="90" t="str">
        <f>IF(_epmOfflineCondition_,"Other Revenue: Allowances",IF(_xll.EVDES(H40,$B$1)="#NODATA","",_xll.EVDES(H40,$B$1)))</f>
        <v>Other Revenue: Allowances</v>
      </c>
      <c r="O40" s="588"/>
      <c r="P40" s="588"/>
      <c r="Q40" s="588"/>
      <c r="R40" s="588"/>
      <c r="S40" s="588"/>
      <c r="T40" s="217"/>
      <c r="U40" s="217"/>
      <c r="V40" s="217"/>
      <c r="W40" s="217"/>
      <c r="X40" s="217"/>
      <c r="Y40" s="217"/>
      <c r="Z40" s="217"/>
      <c r="AA40" s="251">
        <f t="shared" si="1"/>
        <v>0</v>
      </c>
      <c r="AB40" s="219" t="str">
        <f t="shared" si="2"/>
        <v/>
      </c>
      <c r="AC40" s="140"/>
      <c r="AD40" s="217"/>
      <c r="AE40" s="219" t="str">
        <f t="shared" si="3"/>
        <v/>
      </c>
      <c r="AF40" s="220">
        <f t="shared" si="4"/>
        <v>0</v>
      </c>
      <c r="AG40" s="217"/>
      <c r="AH40" s="219" t="str">
        <f t="shared" si="5"/>
        <v/>
      </c>
      <c r="AI40" s="220">
        <f t="shared" si="6"/>
        <v>0</v>
      </c>
      <c r="AJ40" s="449">
        <f t="shared" si="7"/>
        <v>0</v>
      </c>
      <c r="AK40" s="450">
        <f t="shared" si="8"/>
        <v>0</v>
      </c>
      <c r="AL40" s="451">
        <f t="shared" si="9"/>
        <v>0</v>
      </c>
      <c r="AM40" s="452">
        <f t="shared" si="10"/>
        <v>0</v>
      </c>
      <c r="AN40" s="453">
        <f t="shared" si="11"/>
        <v>0</v>
      </c>
      <c r="AO40" s="11"/>
    </row>
    <row r="41" spans="1:41" x14ac:dyDescent="0.35">
      <c r="A41" s="11" t="s">
        <v>102</v>
      </c>
      <c r="B41" s="11"/>
      <c r="C41" s="196" t="s">
        <v>101</v>
      </c>
      <c r="D41" s="11" t="s">
        <v>107</v>
      </c>
      <c r="E41" s="11"/>
      <c r="F41" s="11" t="s">
        <v>99</v>
      </c>
      <c r="G41" s="11"/>
      <c r="H41" s="88" t="s">
        <v>280</v>
      </c>
      <c r="I41" s="188" t="str">
        <f>IF(_epmOfflineCondition_,"T3",_xll.EVPRO($B$1,$H41,"STYLE"))</f>
        <v>T3</v>
      </c>
      <c r="J41" s="188" t="str">
        <f>IF(_epmOfflineCondition_,"Y",_xll.EVPRO($B$1,$H41,"CALC"))</f>
        <v>Y</v>
      </c>
      <c r="K41" s="189" t="str">
        <f t="shared" si="0"/>
        <v/>
      </c>
      <c r="L41" s="190" t="str">
        <f>IF(_epmOfflineCondition_,"400000",_xll.EVPRO($B$1,H41,"JDEID"))</f>
        <v>400000</v>
      </c>
      <c r="M41" s="190" t="str">
        <f>IF(_epmOfflineCondition_,"",IF(AND(I41="N",J41="N"),_xll.EVPRO($B$1,H41,"PSFTID"),""))</f>
        <v/>
      </c>
      <c r="N41" s="190" t="str">
        <f>IF(_epmOfflineCondition_,"Total Revenue",IF(_xll.EVDES(H41,$B$1)="#NODATA","",_xll.EVDES(H41,$B$1)))</f>
        <v>Total Revenue</v>
      </c>
      <c r="O41" s="589">
        <v>12000.78</v>
      </c>
      <c r="P41" s="589">
        <v>12626.71</v>
      </c>
      <c r="Q41" s="589">
        <v>8873</v>
      </c>
      <c r="R41" s="589"/>
      <c r="S41" s="589">
        <v>-238</v>
      </c>
      <c r="T41" s="225">
        <v>911</v>
      </c>
      <c r="U41" s="225">
        <v>779.75</v>
      </c>
      <c r="V41" s="225">
        <v>3190.5</v>
      </c>
      <c r="W41" s="225">
        <v>3328</v>
      </c>
      <c r="X41" s="225">
        <v>4773.1000000000004</v>
      </c>
      <c r="Y41" s="225">
        <v>3028</v>
      </c>
      <c r="Z41" s="225">
        <v>3365</v>
      </c>
      <c r="AA41" s="225">
        <f t="shared" si="1"/>
        <v>52637.84</v>
      </c>
      <c r="AB41" s="226">
        <f t="shared" si="2"/>
        <v>1</v>
      </c>
      <c r="AC41" s="227"/>
      <c r="AD41" s="225">
        <v>127041.85</v>
      </c>
      <c r="AE41" s="226">
        <f t="shared" si="3"/>
        <v>1</v>
      </c>
      <c r="AF41" s="228">
        <f t="shared" si="4"/>
        <v>-74404.010000000009</v>
      </c>
      <c r="AG41" s="225">
        <v>110812.64</v>
      </c>
      <c r="AH41" s="226">
        <f t="shared" si="5"/>
        <v>1</v>
      </c>
      <c r="AI41" s="228">
        <f t="shared" si="6"/>
        <v>-58174.8</v>
      </c>
      <c r="AJ41" s="229">
        <f t="shared" si="7"/>
        <v>2.6253286783042391</v>
      </c>
      <c r="AK41" s="230">
        <f t="shared" si="8"/>
        <v>3.3613401243550736</v>
      </c>
      <c r="AL41" s="232">
        <f t="shared" si="9"/>
        <v>3.3700091235326317</v>
      </c>
      <c r="AM41" s="427" t="str">
        <f t="shared" si="10"/>
        <v>0 pts.</v>
      </c>
      <c r="AN41" s="456" t="str">
        <f t="shared" si="11"/>
        <v>0 pts.</v>
      </c>
      <c r="AO41" s="11"/>
    </row>
    <row r="42" spans="1:41" x14ac:dyDescent="0.35">
      <c r="A42" s="11" t="s">
        <v>108</v>
      </c>
      <c r="B42" s="11"/>
      <c r="C42" s="106" t="s">
        <v>101</v>
      </c>
      <c r="D42" s="11" t="s">
        <v>106</v>
      </c>
      <c r="E42" s="11"/>
      <c r="F42" s="11" t="s">
        <v>98</v>
      </c>
      <c r="G42" s="11"/>
      <c r="H42" s="11"/>
      <c r="I42" s="59"/>
      <c r="J42" s="59"/>
      <c r="K42" s="11"/>
      <c r="L42" s="11"/>
      <c r="M42" s="11"/>
      <c r="N42" s="11"/>
      <c r="O42" s="203"/>
      <c r="P42" s="204"/>
      <c r="Q42" s="204"/>
      <c r="R42" s="204"/>
      <c r="S42" s="204"/>
      <c r="T42" s="204"/>
      <c r="U42" s="204"/>
      <c r="V42" s="204"/>
      <c r="W42" s="204"/>
      <c r="X42" s="204"/>
      <c r="Y42" s="204"/>
      <c r="Z42" s="204"/>
      <c r="AA42" s="204"/>
      <c r="AB42" s="118"/>
      <c r="AC42" s="11"/>
      <c r="AD42" s="203"/>
      <c r="AE42" s="204"/>
      <c r="AF42" s="118"/>
      <c r="AG42" s="203"/>
      <c r="AH42" s="204"/>
      <c r="AI42" s="118"/>
      <c r="AJ42" s="11"/>
      <c r="AK42" s="11"/>
      <c r="AL42" s="11"/>
      <c r="AM42" s="11"/>
      <c r="AN42" s="11"/>
      <c r="AO42" s="11"/>
    </row>
    <row r="43" spans="1:41" x14ac:dyDescent="0.35">
      <c r="A43" s="11" t="s">
        <v>108</v>
      </c>
      <c r="B43" s="11"/>
      <c r="C43" s="196" t="s">
        <v>101</v>
      </c>
      <c r="D43" s="11" t="s">
        <v>107</v>
      </c>
      <c r="E43" s="11"/>
      <c r="F43" s="11" t="s">
        <v>99</v>
      </c>
      <c r="G43" s="11"/>
      <c r="H43" s="11" t="s">
        <v>281</v>
      </c>
      <c r="I43" s="59" t="str">
        <f>IF(_epmOfflineCondition_,"B1",_xll.EVPRO($B$1,$H43,"STYLE"))</f>
        <v>B1</v>
      </c>
      <c r="J43" s="59" t="str">
        <f>IF(_epmOfflineCondition_,"Y",_xll.EVPRO($B$1,$H43,"CALC"))</f>
        <v>Y</v>
      </c>
      <c r="K43" s="11"/>
      <c r="L43" s="11"/>
      <c r="M43" s="11"/>
      <c r="N43" s="105" t="str">
        <f>IF(_epmOfflineCondition_,"Cost of Sales",IF(_xll.EVDES(H43,$B$1)="#NODATA","",_xll.EVDES(H43,$B$1)))</f>
        <v>Cost of Sales</v>
      </c>
      <c r="O43" s="203"/>
      <c r="P43" s="204"/>
      <c r="Q43" s="204"/>
      <c r="R43" s="204"/>
      <c r="S43" s="204"/>
      <c r="T43" s="204"/>
      <c r="U43" s="204"/>
      <c r="V43" s="204"/>
      <c r="W43" s="204"/>
      <c r="X43" s="204"/>
      <c r="Y43" s="204"/>
      <c r="Z43" s="204"/>
      <c r="AA43" s="204"/>
      <c r="AB43" s="118"/>
      <c r="AC43" s="11"/>
      <c r="AD43" s="203"/>
      <c r="AE43" s="204"/>
      <c r="AF43" s="118"/>
      <c r="AG43" s="203"/>
      <c r="AH43" s="204"/>
      <c r="AI43" s="118"/>
      <c r="AJ43" s="11"/>
      <c r="AK43" s="11"/>
      <c r="AL43" s="11"/>
      <c r="AM43" s="11"/>
      <c r="AN43" s="11"/>
      <c r="AO43" s="11"/>
    </row>
    <row r="44" spans="1:41" x14ac:dyDescent="0.35">
      <c r="A44" s="11"/>
      <c r="B44" s="11"/>
      <c r="C44" s="11"/>
      <c r="D44" s="11"/>
      <c r="E44" s="11"/>
      <c r="F44" s="11"/>
      <c r="G44" s="11"/>
      <c r="H44" s="11" t="s">
        <v>284</v>
      </c>
      <c r="I44" s="59" t="str">
        <f>IF(_epmOfflineCondition_,"B1",_xll.EVPRO($B$1,$H44,"STYLE"))</f>
        <v>B1</v>
      </c>
      <c r="J44" s="59" t="str">
        <f>IF(_epmOfflineCondition_,"Y",_xll.EVPRO($B$1,$H44,"CALC"))</f>
        <v>Y</v>
      </c>
      <c r="K44" s="11"/>
      <c r="L44" s="11"/>
      <c r="M44" s="11"/>
      <c r="N44" s="53" t="str">
        <f>IF(_epmOfflineCondition_,"Cost of Food &amp; Beverage Sales",IF(_xll.EVDES(H44,$B$1)="#NODATA","",_xll.EVDES(H44,$B$1)))</f>
        <v>Cost of Food &amp; Beverage Sales</v>
      </c>
      <c r="O44" s="203"/>
      <c r="P44" s="204"/>
      <c r="Q44" s="204"/>
      <c r="R44" s="204"/>
      <c r="S44" s="204"/>
      <c r="T44" s="204"/>
      <c r="U44" s="204"/>
      <c r="V44" s="204"/>
      <c r="W44" s="204"/>
      <c r="X44" s="204"/>
      <c r="Y44" s="204"/>
      <c r="Z44" s="204"/>
      <c r="AA44" s="204"/>
      <c r="AB44" s="118"/>
      <c r="AC44" s="11"/>
      <c r="AD44" s="203"/>
      <c r="AE44" s="204"/>
      <c r="AF44" s="118"/>
      <c r="AG44" s="203"/>
      <c r="AH44" s="204"/>
      <c r="AI44" s="118"/>
      <c r="AJ44" s="11"/>
      <c r="AK44" s="11"/>
      <c r="AL44" s="11"/>
      <c r="AM44" s="11"/>
      <c r="AN44" s="11"/>
      <c r="AO44" s="11"/>
    </row>
    <row r="45" spans="1:41" x14ac:dyDescent="0.35">
      <c r="A45" s="11"/>
      <c r="B45" s="11"/>
      <c r="C45" s="11"/>
      <c r="D45" s="11"/>
      <c r="E45" s="11"/>
      <c r="F45" s="11"/>
      <c r="G45" s="11"/>
      <c r="H45" s="88" t="s">
        <v>353</v>
      </c>
      <c r="I45" s="122" t="str">
        <f>IF(_epmOfflineCondition_,"N",_xll.EVPRO($B$1,$H45,"STYLE"))</f>
        <v>N</v>
      </c>
      <c r="J45" s="122" t="str">
        <f>IF(_epmOfflineCondition_,"N",_xll.EVPRO($B$1,$H45,"CALC"))</f>
        <v>N</v>
      </c>
      <c r="K45" s="179" t="str">
        <f t="shared" ref="K45:K51" si="12">IF(AND(I45&gt;="T5"),"&gt;","")</f>
        <v/>
      </c>
      <c r="L45" s="90" t="str">
        <f>IF(_epmOfflineCondition_,"567100",_xll.EVPRO($B$1,H45,"JDEID"))</f>
        <v>567100</v>
      </c>
      <c r="M45" s="90" t="str">
        <f>IF(_epmOfflineCondition_,"301010",IF(AND(I45="N",J45="N"),_xll.EVPRO($B$1,H45,"PSFTID"),""))</f>
        <v>301010</v>
      </c>
      <c r="N45" s="90" t="str">
        <f>IF(_epmOfflineCondition_,"Mini Bar Cost of Food",IF(_xll.EVDES(H45,$B$1)="#NODATA","",_xll.EVDES(H45,$B$1)))</f>
        <v>Mini Bar Cost of Food</v>
      </c>
      <c r="O45" s="587">
        <v>1101.54</v>
      </c>
      <c r="P45" s="587">
        <v>1441.82</v>
      </c>
      <c r="Q45" s="587">
        <v>790.23</v>
      </c>
      <c r="R45" s="587"/>
      <c r="S45" s="587"/>
      <c r="T45" s="143">
        <v>723.21</v>
      </c>
      <c r="U45" s="143">
        <v>208.8</v>
      </c>
      <c r="V45" s="143">
        <v>657.19</v>
      </c>
      <c r="W45" s="143">
        <v>782.75</v>
      </c>
      <c r="X45" s="143">
        <v>266.83999999999997</v>
      </c>
      <c r="Y45" s="143">
        <v>90.99</v>
      </c>
      <c r="Z45" s="143">
        <v>153.30000000000001</v>
      </c>
      <c r="AA45" s="250">
        <f>IF($I45="B1","",SUM(O45:Z45))</f>
        <v>6216.6699999999992</v>
      </c>
      <c r="AB45" s="144">
        <f>IF(_epmOfflineCondition_,0.26274143847268,IF(AA45=0,"",IFERROR(AA45/_xll.EVGTS($B$1,1,_xll.EVPRO($B$1,$H45,"COSBASIS"),$B$3,$B$5,$B$6,$B$7,$B$9,AA$16,AA$17,AA$11),"")))</f>
        <v>0.26274143847268</v>
      </c>
      <c r="AC45" s="140"/>
      <c r="AD45" s="143">
        <v>17145.488959999999</v>
      </c>
      <c r="AE45" s="144">
        <f>IF(_epmOfflineCondition_,0.2272,IF(AD45=0,"",IFERROR(AD45/_xll.EVGTS($B$1,1,_xll.EVPRO($B$1,$H45,"COSBASIS"),$B$3,$B$5,$B$6,$B$7,$B$9,AD$16,AD$17,AD$18),"")))</f>
        <v>0.22720000000000001</v>
      </c>
      <c r="AF45" s="145">
        <f t="shared" ref="AF45:AF51" si="13">IF(AND($AA45="",AD45=""),"",$AA45-AD45)</f>
        <v>-10928.818960000001</v>
      </c>
      <c r="AG45" s="143">
        <v>13969.8</v>
      </c>
      <c r="AH45" s="144">
        <f>IF(_epmOfflineCondition_,0.212668430251596,IF(AG45=0,"",IFERROR(AG45/_xll.EVGTS($B$1,1,_xll.EVPRO($B$1,$H45,"COSBASIS"),$B$3,$B$5,$B$6,$B$7,$B$9,AG$16,AG$17,AG$18),"")))</f>
        <v>0.21266843025159601</v>
      </c>
      <c r="AI45" s="145">
        <f t="shared" ref="AI45:AI51" si="14">IF(AND($AA45="",AG45=""),"",$AA45-AG45)</f>
        <v>-7753.13</v>
      </c>
      <c r="AJ45" s="440">
        <f t="shared" ref="AJ45:AJ51" si="15">IFERROR(AA45/AA$20,0)</f>
        <v>0.31005835411471316</v>
      </c>
      <c r="AK45" s="441">
        <f t="shared" ref="AK45:AK51" si="16">IFERROR(AD45/AD$20,0)</f>
        <v>0.45364436989019707</v>
      </c>
      <c r="AL45" s="442">
        <f t="shared" ref="AL45:AL51" si="17">IFERROR(AG45/AG$20,0)</f>
        <v>0.42484642053403077</v>
      </c>
      <c r="AM45" s="443" t="str">
        <f t="shared" ref="AM45:AM51" si="18">+IFERROR(ROUND(($AB45-AE45)*100,2)&amp;" pts.",0)</f>
        <v>3.55 pts.</v>
      </c>
      <c r="AN45" s="444" t="str">
        <f t="shared" ref="AN45:AN51" si="19">+IFERROR(ROUND(($AB45-AH45)*100,2)&amp;" pts.",0)</f>
        <v>5.01 pts.</v>
      </c>
      <c r="AO45" s="11"/>
    </row>
    <row r="46" spans="1:41" x14ac:dyDescent="0.35">
      <c r="A46" s="61" t="str">
        <f>IF(_epmOfflineCondition_,"Evdre:Ok",_xll.EVDRE($B$1,A49:B56,A59:B65))</f>
        <v>Evdre:Ok</v>
      </c>
      <c r="B46" s="11"/>
      <c r="C46" s="11"/>
      <c r="D46" s="11"/>
      <c r="E46" s="11"/>
      <c r="F46" s="11"/>
      <c r="G46" s="11"/>
      <c r="H46" s="88" t="s">
        <v>354</v>
      </c>
      <c r="I46" s="122" t="str">
        <f>IF(_epmOfflineCondition_,"N",_xll.EVPRO($B$1,$H46,"STYLE"))</f>
        <v>N</v>
      </c>
      <c r="J46" s="122" t="str">
        <f>IF(_epmOfflineCondition_,"N",_xll.EVPRO($B$1,$H46,"CALC"))</f>
        <v>N</v>
      </c>
      <c r="K46" s="179" t="str">
        <f t="shared" si="12"/>
        <v/>
      </c>
      <c r="L46" s="90" t="str">
        <f>IF(_epmOfflineCondition_,"567200",_xll.EVPRO($B$1,H46,"JDEID"))</f>
        <v>567200</v>
      </c>
      <c r="M46" s="90" t="str">
        <f>IF(_epmOfflineCondition_,"302010",IF(AND(I46="N",J46="N"),_xll.EVPRO($B$1,H46,"PSFTID"),""))</f>
        <v>302010</v>
      </c>
      <c r="N46" s="90" t="str">
        <f>IF(_epmOfflineCondition_,"Mini Bar Cost of Beverage",IF(_xll.EVDES(H46,$B$1)="#NODATA","",_xll.EVDES(H46,$B$1)))</f>
        <v>Mini Bar Cost of Beverage</v>
      </c>
      <c r="O46" s="588">
        <v>1133.05</v>
      </c>
      <c r="P46" s="588">
        <v>1606.36</v>
      </c>
      <c r="Q46" s="588">
        <v>-152.91</v>
      </c>
      <c r="R46" s="588"/>
      <c r="S46" s="588"/>
      <c r="T46" s="217">
        <v>281.31</v>
      </c>
      <c r="U46" s="217"/>
      <c r="V46" s="217">
        <v>110.84</v>
      </c>
      <c r="W46" s="217">
        <v>571.26</v>
      </c>
      <c r="X46" s="217">
        <v>1034.72</v>
      </c>
      <c r="Y46" s="217">
        <v>1289.5899999999999</v>
      </c>
      <c r="Z46" s="217">
        <v>709.07</v>
      </c>
      <c r="AA46" s="251">
        <f>IF($I46="B1","",SUM(O46:Z46))</f>
        <v>6583.29</v>
      </c>
      <c r="AB46" s="219">
        <f>IF(_epmOfflineCondition_,0.261171709958642,IF(AA46=0,"",IFERROR(AA46/_xll.EVGTS($B$1,1,_xll.EVPRO($B$1,$H46,"COSBASIS"),$B$3,$B$5,$B$6,$B$7,$B$9,AA$16,AA$17,AA$11),"")))</f>
        <v>0.26117170995864197</v>
      </c>
      <c r="AC46" s="140"/>
      <c r="AD46" s="217">
        <v>15127.753025</v>
      </c>
      <c r="AE46" s="219">
        <f>IF(_epmOfflineCondition_,0.319015628921069,IF(AD46=0,"",IFERROR(AD46/_xll.EVGTS($B$1,1,_xll.EVPRO($B$1,$H46,"COSBASIS"),$B$3,$B$5,$B$6,$B$7,$B$9,AD$16,AD$17,AD$18),"")))</f>
        <v>0.31901562892106899</v>
      </c>
      <c r="AF46" s="220">
        <f t="shared" si="13"/>
        <v>-8544.4630250000009</v>
      </c>
      <c r="AG46" s="217">
        <v>11563.65</v>
      </c>
      <c r="AH46" s="219">
        <f>IF(_epmOfflineCondition_,0.292033487385408,IF(AG46=0,"",IFERROR(AG46/_xll.EVGTS($B$1,1,_xll.EVPRO($B$1,$H46,"COSBASIS"),$B$3,$B$5,$B$6,$B$7,$B$9,AG$16,AG$17,AG$18),"")))</f>
        <v>0.29203348738540802</v>
      </c>
      <c r="AI46" s="220">
        <f t="shared" si="14"/>
        <v>-4980.3599999999997</v>
      </c>
      <c r="AJ46" s="449">
        <f t="shared" si="15"/>
        <v>0.32834364089775558</v>
      </c>
      <c r="AK46" s="450">
        <f t="shared" si="16"/>
        <v>0.40025805066807779</v>
      </c>
      <c r="AL46" s="451">
        <f t="shared" si="17"/>
        <v>0.35167112706039777</v>
      </c>
      <c r="AM46" s="452" t="str">
        <f t="shared" si="18"/>
        <v>-5.78 pts.</v>
      </c>
      <c r="AN46" s="453" t="str">
        <f t="shared" si="19"/>
        <v>-3.09 pts.</v>
      </c>
      <c r="AO46" s="11"/>
    </row>
    <row r="47" spans="1:41" x14ac:dyDescent="0.35">
      <c r="A47" s="11"/>
      <c r="B47" s="11"/>
      <c r="C47" s="11"/>
      <c r="D47" s="11"/>
      <c r="E47" s="11"/>
      <c r="F47" s="11"/>
      <c r="G47" s="11"/>
      <c r="H47" s="88" t="s">
        <v>286</v>
      </c>
      <c r="I47" s="188" t="str">
        <f>IF(_epmOfflineCondition_,"T4",_xll.EVPRO($B$1,$H47,"STYLE"))</f>
        <v>T4</v>
      </c>
      <c r="J47" s="188" t="str">
        <f>IF(_epmOfflineCondition_,"Y",_xll.EVPRO($B$1,$H47,"CALC"))</f>
        <v>Y</v>
      </c>
      <c r="K47" s="189" t="str">
        <f t="shared" si="12"/>
        <v/>
      </c>
      <c r="L47" s="190" t="str">
        <f>IF(_epmOfflineCondition_,"",_xll.EVPRO($B$1,H47,"JDEID"))</f>
        <v/>
      </c>
      <c r="M47" s="190" t="str">
        <f>IF(_epmOfflineCondition_,"",IF(AND(I47="N",J47="N"),_xll.EVPRO($B$1,H47,"PSFTID"),""))</f>
        <v/>
      </c>
      <c r="N47" s="190" t="str">
        <f>IF(_epmOfflineCondition_,"Total Cost of Food &amp; Beverage Sales",IF(_xll.EVDES(H47,$B$1)="#NODATA","",_xll.EVDES(H47,$B$1)))</f>
        <v>Total Cost of Food &amp; Beverage Sales</v>
      </c>
      <c r="O47" s="589">
        <v>2234.59</v>
      </c>
      <c r="P47" s="589">
        <v>3048.18</v>
      </c>
      <c r="Q47" s="589">
        <v>637.32000000000005</v>
      </c>
      <c r="R47" s="589"/>
      <c r="S47" s="589"/>
      <c r="T47" s="225">
        <v>1004.52</v>
      </c>
      <c r="U47" s="225">
        <v>208.8</v>
      </c>
      <c r="V47" s="225">
        <v>768.03</v>
      </c>
      <c r="W47" s="225">
        <v>1354.01</v>
      </c>
      <c r="X47" s="225">
        <v>1301.56</v>
      </c>
      <c r="Y47" s="225">
        <v>1380.58</v>
      </c>
      <c r="Z47" s="225">
        <v>862.37</v>
      </c>
      <c r="AA47" s="225">
        <f>IF($I47="B1","",SUM(O47:Z47))</f>
        <v>12799.960000000001</v>
      </c>
      <c r="AB47" s="226">
        <f>IF(_epmOfflineCondition_,0.262069194263697,IF(AA47=0,"",IFERROR(AA47/_xll.EVGTS($B$1,1,_xll.EVPRO($B$1,$H47,"COSBASIS"),$B$3,$B$5,$B$6,$B$7,$B$9,AA$16,AA$17,AA$11),"")))</f>
        <v>0.26206919426369701</v>
      </c>
      <c r="AC47" s="227"/>
      <c r="AD47" s="225">
        <v>32273.241985000001</v>
      </c>
      <c r="AE47" s="226">
        <f>IF(_epmOfflineCondition_,0.262630911531488,IF(AD47=0,"",IFERROR(AD47/_xll.EVGTS($B$1,1,_xll.EVPRO($B$1,$H47,"COSBASIS"),$B$3,$B$5,$B$6,$B$7,$B$9,AD$16,AD$17,AD$18),"")))</f>
        <v>0.26263091153148799</v>
      </c>
      <c r="AF47" s="228">
        <f t="shared" si="13"/>
        <v>-19473.281985000001</v>
      </c>
      <c r="AG47" s="225">
        <v>25533.45</v>
      </c>
      <c r="AH47" s="226">
        <f>IF(_epmOfflineCondition_,0.242630857809876,IF(AG47=0,"",IFERROR(AG47/_xll.EVGTS($B$1,1,_xll.EVPRO($B$1,$H47,"COSBASIS"),$B$3,$B$5,$B$6,$B$7,$B$9,AG$16,AG$17,AG$18),"")))</f>
        <v>0.242630857809876</v>
      </c>
      <c r="AI47" s="228">
        <f t="shared" si="14"/>
        <v>-12733.49</v>
      </c>
      <c r="AJ47" s="229">
        <f t="shared" si="15"/>
        <v>0.63840199501246886</v>
      </c>
      <c r="AK47" s="230">
        <f t="shared" si="16"/>
        <v>0.85390242055827492</v>
      </c>
      <c r="AL47" s="232">
        <f t="shared" si="17"/>
        <v>0.77651754759442859</v>
      </c>
      <c r="AM47" s="427" t="str">
        <f t="shared" si="18"/>
        <v>-0.06 pts.</v>
      </c>
      <c r="AN47" s="456" t="str">
        <f t="shared" si="19"/>
        <v>1.94 pts.</v>
      </c>
      <c r="AO47" s="11"/>
    </row>
    <row r="48" spans="1:41" x14ac:dyDescent="0.35">
      <c r="A48" s="62" t="s">
        <v>0</v>
      </c>
      <c r="B48" s="63" t="s">
        <v>1</v>
      </c>
      <c r="C48" s="11"/>
      <c r="D48" s="11"/>
      <c r="E48" s="11"/>
      <c r="F48" s="11"/>
      <c r="G48" s="11"/>
      <c r="H48" s="88" t="s">
        <v>355</v>
      </c>
      <c r="I48" s="122" t="str">
        <f>IF(_epmOfflineCondition_,"N",_xll.EVPRO($B$1,$H48,"STYLE"))</f>
        <v>N</v>
      </c>
      <c r="J48" s="122" t="str">
        <f>IF(_epmOfflineCondition_,"N",_xll.EVPRO($B$1,$H48,"CALC"))</f>
        <v>N</v>
      </c>
      <c r="K48" s="179" t="str">
        <f t="shared" si="12"/>
        <v/>
      </c>
      <c r="L48" s="90" t="str">
        <f>IF(_epmOfflineCondition_,"567300",_xll.EVPRO($B$1,H48,"JDEID"))</f>
        <v>567300</v>
      </c>
      <c r="M48" s="90" t="str">
        <f>IF(_epmOfflineCondition_,"306099",IF(AND(I48="N",J48="N"),_xll.EVPRO($B$1,H48,"PSFTID"),""))</f>
        <v>306099</v>
      </c>
      <c r="N48" s="90" t="str">
        <f>IF(_epmOfflineCondition_,"Mini Bar Cost of Merchandise",IF(_xll.EVDES(H48,$B$1)="#NODATA","",_xll.EVDES(H48,$B$1)))</f>
        <v>Mini Bar Cost of Merchandise</v>
      </c>
      <c r="O48" s="590">
        <v>685.36</v>
      </c>
      <c r="P48" s="590">
        <v>279.73</v>
      </c>
      <c r="Q48" s="590">
        <v>515.84</v>
      </c>
      <c r="R48" s="590"/>
      <c r="S48" s="590"/>
      <c r="T48" s="216">
        <v>4</v>
      </c>
      <c r="U48" s="216"/>
      <c r="V48" s="216">
        <v>-241.16</v>
      </c>
      <c r="W48" s="216">
        <v>245.63</v>
      </c>
      <c r="X48" s="216"/>
      <c r="Y48" s="216"/>
      <c r="Z48" s="216"/>
      <c r="AA48" s="216">
        <f>IF($I48="B1","",SUM(O48:Z48))</f>
        <v>1489.4</v>
      </c>
      <c r="AB48" s="218">
        <f>IF(_epmOfflineCondition_,0.392367614787417,IF(AA48=0,"",IFERROR(AA48/_xll.EVGTS($B$1,1,_xll.EVPRO($B$1,$H48,"COSBASIS"),$B$3,$B$5,$B$6,$B$7,$B$9,AA$16,AA$17,AA$11),"")))</f>
        <v>0.392367614787417</v>
      </c>
      <c r="AC48" s="140"/>
      <c r="AD48" s="216">
        <v>1330.384</v>
      </c>
      <c r="AE48" s="218">
        <f>IF(_epmOfflineCondition_,0.32,IF(AD48=0,"",IFERROR(AD48/_xll.EVGTS($B$1,1,_xll.EVPRO($B$1,$H48,"COSBASIS"),$B$3,$B$5,$B$6,$B$7,$B$9,AD$16,AD$17,AD$18),"")))</f>
        <v>0.32</v>
      </c>
      <c r="AF48" s="233">
        <f t="shared" si="13"/>
        <v>159.01600000000008</v>
      </c>
      <c r="AG48" s="216">
        <v>4209.7</v>
      </c>
      <c r="AH48" s="218">
        <f>IF(_epmOfflineCondition_,0.754852649793342,IF(AG48=0,"",IFERROR(AG48/_xll.EVGTS($B$1,1,_xll.EVPRO($B$1,$H48,"COSBASIS"),$B$3,$B$5,$B$6,$B$7,$B$9,AG$16,AG$17,AG$18),"")))</f>
        <v>0.75485264979334199</v>
      </c>
      <c r="AI48" s="233">
        <f t="shared" si="14"/>
        <v>-2720.2999999999997</v>
      </c>
      <c r="AJ48" s="537">
        <f t="shared" si="15"/>
        <v>7.4284289276807983E-2</v>
      </c>
      <c r="AK48" s="538">
        <f t="shared" si="16"/>
        <v>3.5200000000000002E-2</v>
      </c>
      <c r="AL48" s="539">
        <f t="shared" si="17"/>
        <v>0.1280244510674533</v>
      </c>
      <c r="AM48" s="540" t="str">
        <f t="shared" si="18"/>
        <v>7.24 pts.</v>
      </c>
      <c r="AN48" s="541" t="str">
        <f t="shared" si="19"/>
        <v>-36.25 pts.</v>
      </c>
      <c r="AO48" s="11"/>
    </row>
    <row r="49" spans="1:41" x14ac:dyDescent="0.35">
      <c r="A49" s="65" t="s">
        <v>2</v>
      </c>
      <c r="B49" s="66" t="str">
        <f>IF(_epmOfflineCondition_,"'Mini_Bar'!$B$2:$B$10",_xll.EVRNG($B$2:$B$10))</f>
        <v>'Mini_Bar'!$B$2:$B$10</v>
      </c>
      <c r="C49" s="11"/>
      <c r="D49" s="11"/>
      <c r="E49" s="11"/>
      <c r="F49" s="11"/>
      <c r="G49" s="11"/>
      <c r="H49" s="88" t="s">
        <v>289</v>
      </c>
      <c r="I49" s="188" t="str">
        <f>IF(_epmOfflineCondition_,"T3",_xll.EVPRO($B$1,$H49,"STYLE"))</f>
        <v>T3</v>
      </c>
      <c r="J49" s="188" t="str">
        <f>IF(_epmOfflineCondition_,"Y",_xll.EVPRO($B$1,$H49,"CALC"))</f>
        <v>Y</v>
      </c>
      <c r="K49" s="189" t="str">
        <f t="shared" si="12"/>
        <v/>
      </c>
      <c r="L49" s="190" t="str">
        <f>IF(_epmOfflineCondition_,"500001",_xll.EVPRO($B$1,H49,"JDEID"))</f>
        <v>500001</v>
      </c>
      <c r="M49" s="190" t="str">
        <f>IF(_epmOfflineCondition_,"",IF(AND(I49="N",J49="N"),_xll.EVPRO($B$1,H49,"PSFTID"),""))</f>
        <v/>
      </c>
      <c r="N49" s="190" t="str">
        <f>IF(_epmOfflineCondition_,"Total Cost of Sales",IF(_xll.EVDES(H49,$B$1)="#NODATA","",_xll.EVDES(H49,$B$1)))</f>
        <v>Total Cost of Sales</v>
      </c>
      <c r="O49" s="589">
        <v>2919.95</v>
      </c>
      <c r="P49" s="589">
        <v>3327.91</v>
      </c>
      <c r="Q49" s="589">
        <v>1153.1600000000001</v>
      </c>
      <c r="R49" s="589"/>
      <c r="S49" s="589"/>
      <c r="T49" s="225">
        <v>1008.52</v>
      </c>
      <c r="U49" s="225">
        <v>208.8</v>
      </c>
      <c r="V49" s="225">
        <v>526.87</v>
      </c>
      <c r="W49" s="225">
        <v>1599.64</v>
      </c>
      <c r="X49" s="225">
        <v>1301.56</v>
      </c>
      <c r="Y49" s="225">
        <v>1380.58</v>
      </c>
      <c r="Z49" s="225">
        <v>862.37</v>
      </c>
      <c r="AA49" s="225">
        <f>IF($I49="B1","",SUM(O49:Z49))</f>
        <v>14289.359999999999</v>
      </c>
      <c r="AB49" s="226">
        <f>IF(_epmOfflineCondition_,0.271465546458593,IF(AA49=0,"",IFERROR(AA49/_xll.EVGTS($B$1,1,_xll.EVPRO($B$1,$H49,"COSBASIS"),$B$3,$B$5,$B$6,$B$7,$B$9,AA$16,AA$17,AA$11),"")))</f>
        <v>0.271465546458593</v>
      </c>
      <c r="AC49" s="227"/>
      <c r="AD49" s="225">
        <v>33603.625984999999</v>
      </c>
      <c r="AE49" s="226">
        <f>IF(_epmOfflineCondition_,0.264508317416662,IF(AD49=0,"",IFERROR(AD49/_xll.EVGTS($B$1,1,_xll.EVPRO($B$1,$H49,"COSBASIS"),$B$3,$B$5,$B$6,$B$7,$B$9,AD$16,AD$17,AD$18),"")))</f>
        <v>0.26450831741666198</v>
      </c>
      <c r="AF49" s="228">
        <f t="shared" si="13"/>
        <v>-19314.265984999998</v>
      </c>
      <c r="AG49" s="225">
        <v>29743.15</v>
      </c>
      <c r="AH49" s="226">
        <f>IF(_epmOfflineCondition_,0.268409361964484,IF(AG49=0,"",IFERROR(AG49/_xll.EVGTS($B$1,1,_xll.EVPRO($B$1,$H49,"COSBASIS"),$B$3,$B$5,$B$6,$B$7,$B$9,AG$16,AG$17,AG$18),"")))</f>
        <v>0.26840936196448401</v>
      </c>
      <c r="AI49" s="228">
        <f t="shared" si="14"/>
        <v>-15453.790000000003</v>
      </c>
      <c r="AJ49" s="229">
        <f t="shared" si="15"/>
        <v>0.71268628428927672</v>
      </c>
      <c r="AK49" s="230">
        <f t="shared" si="16"/>
        <v>0.88910242055827482</v>
      </c>
      <c r="AL49" s="232">
        <f t="shared" si="17"/>
        <v>0.9045419986618819</v>
      </c>
      <c r="AM49" s="427" t="str">
        <f t="shared" si="18"/>
        <v>0.7 pts.</v>
      </c>
      <c r="AN49" s="456" t="str">
        <f t="shared" si="19"/>
        <v>0.31 pts.</v>
      </c>
      <c r="AO49" s="11"/>
    </row>
    <row r="50" spans="1:41" x14ac:dyDescent="0.35">
      <c r="A50" s="65" t="s">
        <v>3</v>
      </c>
      <c r="B50" s="66" t="str">
        <f>IF(_epmOfflineCondition_,"'Mini_Bar'!$O$16:$AN$18",_xll.EVRNG($O$16:$AN$18))</f>
        <v>'Mini_Bar'!$O$16:$AN$18</v>
      </c>
      <c r="C50" s="11"/>
      <c r="D50" s="11"/>
      <c r="E50" s="11"/>
      <c r="F50" s="11"/>
      <c r="G50" s="11"/>
      <c r="H50" s="185" t="s">
        <v>175</v>
      </c>
      <c r="I50" s="89" t="str">
        <f>IF(_epmOfflineCondition_,"B1",_xll.EVPRO($B$1,$H50,"STYLE"))</f>
        <v>B1</v>
      </c>
      <c r="J50" s="89" t="str">
        <f>IF(_epmOfflineCondition_,"Y",_xll.EVPRO($B$1,$H50,"CALC"))</f>
        <v>Y</v>
      </c>
      <c r="K50" s="265" t="str">
        <f t="shared" si="12"/>
        <v/>
      </c>
      <c r="L50" s="265"/>
      <c r="M50" s="265"/>
      <c r="N50" s="106" t="str">
        <f>IF(_epmOfflineCondition_,"BLANKROW",IF(_xll.EVDES(H50,$B$1)="#NODATA","",_xll.EVDES(H50,$B$1)))</f>
        <v>BLANKROW</v>
      </c>
      <c r="O50" s="205"/>
      <c r="P50" s="205"/>
      <c r="Q50" s="205"/>
      <c r="R50" s="205"/>
      <c r="S50" s="205"/>
      <c r="T50" s="205"/>
      <c r="U50" s="205"/>
      <c r="V50" s="205"/>
      <c r="W50" s="205"/>
      <c r="X50" s="205"/>
      <c r="Y50" s="205"/>
      <c r="Z50" s="205"/>
      <c r="AA50" s="205"/>
      <c r="AB50" s="206" t="str">
        <f>IF(_epmOfflineCondition_,"",IF(O50=0,"",IFERROR(O50/_xll.EVGTS($B$1,1,INDEX($C$150:$C$173,MATCH($H50,$A$150:$A$173,0)),$B$3,$B$5,$B$6,$B$7,$B$9,O$16,O$17,O$18),"")))</f>
        <v/>
      </c>
      <c r="AC50" s="11"/>
      <c r="AD50" s="205"/>
      <c r="AE50" s="206" t="str">
        <f>IF(_epmOfflineCondition_,"",IF(AD50=0,"",IFERROR(AD50/_xll.EVGTS($B$1,1,INDEX($C$150:$C$173,MATCH($H50,$A$150:$A$173,0)),$B$3,$B$5,$B$6,$B$7,$B$9,AD$16,AD$17,AD$18),"")))</f>
        <v/>
      </c>
      <c r="AF50" s="207" t="str">
        <f t="shared" si="13"/>
        <v/>
      </c>
      <c r="AG50" s="205"/>
      <c r="AH50" s="206" t="str">
        <f>IF(_epmOfflineCondition_,"",IF(AG50=0,"",IFERROR(AG50/_xll.EVGTS($B$1,1,INDEX($C$150:$C$173,MATCH($H50,$A$150:$A$173,0)),$B$3,$B$5,$B$6,$B$7,$B$9,AG$16,AG$17,AG$18),"")))</f>
        <v/>
      </c>
      <c r="AI50" s="207" t="str">
        <f t="shared" si="14"/>
        <v/>
      </c>
      <c r="AJ50" s="523">
        <f t="shared" si="15"/>
        <v>0</v>
      </c>
      <c r="AK50" s="524">
        <f t="shared" si="16"/>
        <v>0</v>
      </c>
      <c r="AL50" s="525">
        <f t="shared" si="17"/>
        <v>0</v>
      </c>
      <c r="AM50" s="526">
        <f t="shared" si="18"/>
        <v>0</v>
      </c>
      <c r="AN50" s="527">
        <f t="shared" si="19"/>
        <v>0</v>
      </c>
      <c r="AO50" s="11"/>
    </row>
    <row r="51" spans="1:41" x14ac:dyDescent="0.35">
      <c r="A51" s="65" t="s">
        <v>4</v>
      </c>
      <c r="B51" s="66" t="str">
        <f>IF(_epmOfflineCondition_,"'Mini_Bar'!$H$45:$H$49",_xll.EVRNG(H45:H49))</f>
        <v>'Mini_Bar'!$H$45:$H$49</v>
      </c>
      <c r="C51" s="11"/>
      <c r="D51" s="11"/>
      <c r="E51" s="11"/>
      <c r="F51" s="11"/>
      <c r="G51" s="11"/>
      <c r="H51" s="185" t="s">
        <v>292</v>
      </c>
      <c r="I51" s="89" t="str">
        <f>IF(_epmOfflineCondition_,"T3",_xll.EVPRO($B$1,$H51,"STYLE"))</f>
        <v>T3</v>
      </c>
      <c r="J51" s="89" t="str">
        <f>IF(_epmOfflineCondition_,"Y",_xll.EVPRO($B$1,$H51,"CALC"))</f>
        <v>Y</v>
      </c>
      <c r="K51" s="265" t="str">
        <f t="shared" si="12"/>
        <v/>
      </c>
      <c r="L51" s="265"/>
      <c r="M51" s="265"/>
      <c r="N51" s="106" t="str">
        <f>IF(_epmOfflineCondition_,"Gross Profit",IF(_xll.EVDES(H51,$B$1)="#NODATA","",_xll.EVDES(H51,$B$1)))</f>
        <v>Gross Profit</v>
      </c>
      <c r="O51" s="123">
        <f t="shared" ref="O51:Z51" si="20">SUMIF($H$35:$H$49,"400000",O35:O49)-SUMIF($H$35:$H$49,"500001",O35:O49)</f>
        <v>9080.8300000000017</v>
      </c>
      <c r="P51" s="123">
        <f t="shared" si="20"/>
        <v>9298.7999999999993</v>
      </c>
      <c r="Q51" s="123">
        <f t="shared" si="20"/>
        <v>7719.84</v>
      </c>
      <c r="R51" s="123">
        <f t="shared" si="20"/>
        <v>0</v>
      </c>
      <c r="S51" s="123">
        <f t="shared" si="20"/>
        <v>-238</v>
      </c>
      <c r="T51" s="123">
        <f t="shared" si="20"/>
        <v>-97.519999999999982</v>
      </c>
      <c r="U51" s="123">
        <f t="shared" si="20"/>
        <v>570.95000000000005</v>
      </c>
      <c r="V51" s="123">
        <f t="shared" si="20"/>
        <v>2663.63</v>
      </c>
      <c r="W51" s="123">
        <f t="shared" si="20"/>
        <v>1728.36</v>
      </c>
      <c r="X51" s="123">
        <f t="shared" si="20"/>
        <v>3471.5400000000004</v>
      </c>
      <c r="Y51" s="123">
        <f t="shared" si="20"/>
        <v>1647.42</v>
      </c>
      <c r="Z51" s="123">
        <f t="shared" si="20"/>
        <v>2502.63</v>
      </c>
      <c r="AA51" s="123">
        <f>IF($I51="B1","",SUM(O51:Z51))</f>
        <v>38348.479999999996</v>
      </c>
      <c r="AB51" s="192">
        <f>IF(AA51=0,"",IFERROR(AA51/AA$19,""))</f>
        <v>0.72853445354140667</v>
      </c>
      <c r="AC51" s="11"/>
      <c r="AD51" s="123">
        <f>SUMIF($H$35:$H$49,"400000",AD35:AD49)-SUMIF($H$35:$H$49,"500001",AD35:AD49)</f>
        <v>93438.224015000014</v>
      </c>
      <c r="AE51" s="192">
        <f>IF(AD51=0,"",IFERROR(AD51/AD$19,""))</f>
        <v>0.73549168258333775</v>
      </c>
      <c r="AF51" s="125">
        <f t="shared" si="13"/>
        <v>-55089.744015000018</v>
      </c>
      <c r="AG51" s="123">
        <f>SUMIF($H$35:$H$49,"400000",AG35:AG49)-SUMIF($H$35:$H$49,"500001",AG35:AG49)</f>
        <v>81069.489999999991</v>
      </c>
      <c r="AH51" s="192">
        <f>IF(AG51=0,"",IFERROR(AG51/AG$19,""))</f>
        <v>0.73159063803551649</v>
      </c>
      <c r="AI51" s="125">
        <f t="shared" si="14"/>
        <v>-42721.009999999995</v>
      </c>
      <c r="AJ51" s="388">
        <f t="shared" si="15"/>
        <v>1.9126423940149624</v>
      </c>
      <c r="AK51" s="389">
        <f t="shared" si="16"/>
        <v>2.4722377037967989</v>
      </c>
      <c r="AL51" s="390">
        <f t="shared" si="17"/>
        <v>2.4654671248707496</v>
      </c>
      <c r="AM51" s="391" t="str">
        <f t="shared" si="18"/>
        <v>-0.7 pts.</v>
      </c>
      <c r="AN51" s="544" t="str">
        <f t="shared" si="19"/>
        <v>-0.31 pts.</v>
      </c>
      <c r="AO51" s="11"/>
    </row>
    <row r="52" spans="1:41" x14ac:dyDescent="0.35">
      <c r="A52" s="65" t="s">
        <v>5</v>
      </c>
      <c r="B52" s="66"/>
      <c r="C52" s="11"/>
      <c r="D52" s="11"/>
      <c r="E52" s="11"/>
      <c r="F52" s="384"/>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393"/>
      <c r="AE52" s="204"/>
      <c r="AF52" s="118"/>
      <c r="AG52" s="393"/>
      <c r="AH52" s="204"/>
      <c r="AI52" s="118"/>
      <c r="AJ52" s="11"/>
      <c r="AK52" s="11"/>
      <c r="AL52" s="11"/>
      <c r="AM52" s="11"/>
      <c r="AN52" s="11"/>
      <c r="AO52" s="11"/>
    </row>
    <row r="53" spans="1:41" x14ac:dyDescent="0.35">
      <c r="A53" s="65" t="s">
        <v>6</v>
      </c>
      <c r="B53" s="66"/>
      <c r="C53" s="11"/>
      <c r="D53" s="11"/>
      <c r="E53" s="11"/>
      <c r="F53" s="384"/>
      <c r="G53" s="11"/>
      <c r="H53" s="11" t="s">
        <v>73</v>
      </c>
      <c r="I53" s="59" t="str">
        <f>IF(_epmOfflineCondition_,"B1",_xll.EVPRO($B$1,$H53,"STYLE"))</f>
        <v>B1</v>
      </c>
      <c r="J53" s="59" t="str">
        <f>IF(_epmOfflineCondition_,"Y",_xll.EVPRO($B$1,$H53,"CALC"))</f>
        <v>Y</v>
      </c>
      <c r="K53" s="11"/>
      <c r="L53" s="11"/>
      <c r="M53" s="11"/>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35">
      <c r="A54" s="65" t="s">
        <v>7</v>
      </c>
      <c r="B54" s="66" t="str">
        <f>IF(_epmOfflineCondition_,"'Mini_Bar'!$A$68:$F$75",_xll.EVRNG(A68:F75))</f>
        <v>'Mini_Bar'!$A$68:$F$75</v>
      </c>
      <c r="C54" s="11"/>
      <c r="D54" s="11"/>
      <c r="E54" s="11"/>
      <c r="F54" s="384"/>
      <c r="G54" s="11"/>
      <c r="H54" s="11" t="s">
        <v>74</v>
      </c>
      <c r="I54" s="59" t="str">
        <f>IF(_epmOfflineCondition_,"B1",_xll.EVPRO($B$1,$H54,"STYLE"))</f>
        <v>B1</v>
      </c>
      <c r="J54" s="59" t="str">
        <f>IF(_epmOfflineCondition_,"Y",_xll.EVPRO($B$1,$H54,"CALC"))</f>
        <v>Y</v>
      </c>
      <c r="K54" s="11"/>
      <c r="L54" s="11"/>
      <c r="M54" s="11"/>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20"/>
      <c r="AH54" s="120"/>
      <c r="AI54" s="121"/>
      <c r="AJ54" s="11"/>
      <c r="AK54" s="11"/>
      <c r="AL54" s="11"/>
      <c r="AM54" s="11"/>
      <c r="AN54" s="11"/>
      <c r="AO54" s="11"/>
    </row>
    <row r="55" spans="1:41" hidden="1" x14ac:dyDescent="0.35">
      <c r="A55" s="65" t="s">
        <v>47</v>
      </c>
      <c r="B55" s="66" t="str">
        <f>IF(_epmOfflineCondition_,"'Mini_Bar'!$A$123:$B$144",_xll.EVRNG($A$123:$B$144))</f>
        <v>'Mini_Bar'!$A$123:$B$144</v>
      </c>
      <c r="C55" s="11"/>
      <c r="D55" s="11"/>
      <c r="E55" s="11"/>
      <c r="F55" s="11"/>
      <c r="G55" s="11"/>
      <c r="H55" s="88" t="s">
        <v>667</v>
      </c>
      <c r="I55" s="122" t="str">
        <f>IF(_epmOfflineCondition_,"",_xll.EVPRO($B$1,$H55,"STYLE"))</f>
        <v/>
      </c>
      <c r="J55" s="122" t="str">
        <f>IF(_epmOfflineCondition_,"",_xll.EVPRO($B$1,$H55,"CALC"))</f>
        <v/>
      </c>
      <c r="K55" s="179" t="str">
        <f>IF(AND(I55&lt;&gt;"B1",J55="Y"),"&gt;","")</f>
        <v/>
      </c>
      <c r="L55" s="90" t="str">
        <f>IF(_epmOfflineCondition_,"",_xll.EVPRO($B$1,H55,"JDEID"))</f>
        <v/>
      </c>
      <c r="M55" s="90" t="str">
        <f>IF(_epmOfflineCondition_,"",IF(AND(I55="N",J55="N"),_xll.EVPRO($B$1,H55,"PSFTID"),""))</f>
        <v/>
      </c>
      <c r="N55" s="90" t="str">
        <f>IF(_epmOfflineCondition_,"",IF(_xll.EVDES(H55,$B$1)="#NODATA","",_xll.EVDES(H55,$B$1)))</f>
        <v/>
      </c>
      <c r="O55" s="143"/>
      <c r="P55" s="143"/>
      <c r="Q55" s="143"/>
      <c r="R55" s="143"/>
      <c r="S55" s="143"/>
      <c r="T55" s="143"/>
      <c r="U55" s="143"/>
      <c r="V55" s="143"/>
      <c r="W55" s="143"/>
      <c r="X55" s="143"/>
      <c r="Y55" s="143"/>
      <c r="Z55" s="143"/>
      <c r="AA55" s="250">
        <f t="shared" ref="AA55:AA65" si="21">IF($I55="B1","",SUM(O55:Z55))</f>
        <v>0</v>
      </c>
      <c r="AB55" s="144" t="str">
        <f t="shared" ref="AB55:AB65" si="22">IF(AA55=0,"",IFERROR(AA55/AA$19,""))</f>
        <v/>
      </c>
      <c r="AC55" s="140"/>
      <c r="AD55" s="143"/>
      <c r="AE55" s="144" t="str">
        <f t="shared" ref="AE55:AE65" si="23">IF(AD55=0,"",IFERROR(AD55/AD$19,""))</f>
        <v/>
      </c>
      <c r="AF55" s="145">
        <f t="shared" ref="AF55:AF65" si="24">IF(AND($AA55="",AD55=""),"",$AA55-AD55)</f>
        <v>0</v>
      </c>
      <c r="AG55" s="143"/>
      <c r="AH55" s="144" t="str">
        <f t="shared" ref="AH55:AH65" si="25">IF(AG55=0,"",IFERROR(AG55/AG$19,""))</f>
        <v/>
      </c>
      <c r="AI55" s="145">
        <f t="shared" ref="AI55:AI65" si="26">IF(AND($AA55="",AG55=""),"",$AA55-AG55)</f>
        <v>0</v>
      </c>
      <c r="AJ55" s="440">
        <f t="shared" ref="AJ55:AJ65" si="27">IFERROR(AA55/AA$20,0)</f>
        <v>0</v>
      </c>
      <c r="AK55" s="441">
        <f t="shared" ref="AK55:AK65" si="28">IFERROR(AD55/AD$20,0)</f>
        <v>0</v>
      </c>
      <c r="AL55" s="442">
        <f t="shared" ref="AL55:AL65" si="29">IFERROR(AG55/AG$20,0)</f>
        <v>0</v>
      </c>
      <c r="AM55" s="443">
        <f t="shared" ref="AM55:AM65" si="30">+IFERROR(ROUND(($AB55-AE55)*100,2)&amp;" pts.",0)</f>
        <v>0</v>
      </c>
      <c r="AN55" s="444">
        <f t="shared" ref="AN55:AN65" si="31">+IFERROR(ROUND(($AB55-AH55)*100,2)&amp;" pts.",0)</f>
        <v>0</v>
      </c>
      <c r="AO55" s="11"/>
    </row>
    <row r="56" spans="1:41" hidden="1" x14ac:dyDescent="0.35">
      <c r="A56" s="65" t="s">
        <v>8</v>
      </c>
      <c r="B56" s="66"/>
      <c r="C56" s="11"/>
      <c r="D56" s="11"/>
      <c r="E56" s="11"/>
      <c r="F56" s="11"/>
      <c r="G56" s="11"/>
      <c r="H56" s="88"/>
      <c r="I56" s="122" t="str">
        <f>IF(_epmOfflineCondition_,"",_xll.EVPRO($B$1,$H56,"STYLE"))</f>
        <v/>
      </c>
      <c r="J56" s="122" t="str">
        <f>IF(_epmOfflineCondition_,"",_xll.EVPRO($B$1,$H56,"CALC"))</f>
        <v/>
      </c>
      <c r="K56" s="179" t="str">
        <f>IF(AND(I56&lt;&gt;"B1",J56="Y"),"&gt;","")</f>
        <v/>
      </c>
      <c r="L56" s="90" t="str">
        <f>IF(_epmOfflineCondition_,"",_xll.EVPRO($B$1,H56,"JDEID"))</f>
        <v/>
      </c>
      <c r="M56" s="90" t="str">
        <f>IF(_epmOfflineCondition_,"",IF(AND(I56="N",J56="N"),_xll.EVPRO($B$1,H56,"PSFTID"),""))</f>
        <v/>
      </c>
      <c r="N56" s="90" t="str">
        <f>IF(_epmOfflineCondition_,"",IF(_xll.EVDES(H56,$B$1)="#NODATA","",_xll.EVDES(H56,$B$1)))</f>
        <v/>
      </c>
      <c r="O56" s="143"/>
      <c r="P56" s="143"/>
      <c r="Q56" s="143"/>
      <c r="R56" s="143"/>
      <c r="S56" s="143"/>
      <c r="T56" s="143"/>
      <c r="U56" s="143"/>
      <c r="V56" s="143"/>
      <c r="W56" s="143"/>
      <c r="X56" s="143"/>
      <c r="Y56" s="143"/>
      <c r="Z56" s="143"/>
      <c r="AA56" s="250">
        <f t="shared" si="21"/>
        <v>0</v>
      </c>
      <c r="AB56" s="144" t="str">
        <f t="shared" si="22"/>
        <v/>
      </c>
      <c r="AC56" s="140"/>
      <c r="AD56" s="143"/>
      <c r="AE56" s="144" t="str">
        <f t="shared" si="23"/>
        <v/>
      </c>
      <c r="AF56" s="145">
        <f t="shared" si="24"/>
        <v>0</v>
      </c>
      <c r="AG56" s="143"/>
      <c r="AH56" s="144" t="str">
        <f t="shared" si="25"/>
        <v/>
      </c>
      <c r="AI56" s="145">
        <f t="shared" si="26"/>
        <v>0</v>
      </c>
      <c r="AJ56" s="440">
        <f t="shared" si="27"/>
        <v>0</v>
      </c>
      <c r="AK56" s="441">
        <f t="shared" si="28"/>
        <v>0</v>
      </c>
      <c r="AL56" s="442">
        <f t="shared" si="29"/>
        <v>0</v>
      </c>
      <c r="AM56" s="443">
        <f t="shared" si="30"/>
        <v>0</v>
      </c>
      <c r="AN56" s="444">
        <f t="shared" si="31"/>
        <v>0</v>
      </c>
      <c r="AO56" s="11"/>
    </row>
    <row r="57" spans="1:41" x14ac:dyDescent="0.35">
      <c r="A57" s="11"/>
      <c r="B57" s="11"/>
      <c r="C57" s="11"/>
      <c r="D57" s="11"/>
      <c r="E57" s="11"/>
      <c r="F57" s="11"/>
      <c r="G57" s="11"/>
      <c r="H57" s="88" t="s">
        <v>75</v>
      </c>
      <c r="I57" s="89" t="str">
        <f>IF(_epmOfflineCondition_,"B1",_xll.EVPRO($B$1,$H57,"STYLE"))</f>
        <v>B1</v>
      </c>
      <c r="J57" s="89" t="str">
        <f>IF(_epmOfflineCondition_,"Y",_xll.EVPRO($B$1,$H57,"CALC"))</f>
        <v>Y</v>
      </c>
      <c r="K57" s="265" t="str">
        <f>IF(AND(I57&gt;="T3"),"&gt;","")</f>
        <v/>
      </c>
      <c r="L57" s="106"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180" t="str">
        <f t="shared" si="21"/>
        <v/>
      </c>
      <c r="AB57" s="198" t="str">
        <f t="shared" si="22"/>
        <v/>
      </c>
      <c r="AC57" s="11"/>
      <c r="AD57" s="197"/>
      <c r="AE57" s="198" t="str">
        <f t="shared" si="23"/>
        <v/>
      </c>
      <c r="AF57" s="199" t="str">
        <f t="shared" si="24"/>
        <v/>
      </c>
      <c r="AG57" s="197"/>
      <c r="AH57" s="198" t="str">
        <f t="shared" si="25"/>
        <v/>
      </c>
      <c r="AI57" s="199" t="str">
        <f t="shared" si="26"/>
        <v/>
      </c>
      <c r="AJ57" s="397">
        <f t="shared" si="27"/>
        <v>0</v>
      </c>
      <c r="AK57" s="398">
        <f t="shared" si="28"/>
        <v>0</v>
      </c>
      <c r="AL57" s="399">
        <f t="shared" si="29"/>
        <v>0</v>
      </c>
      <c r="AM57" s="400">
        <f t="shared" si="30"/>
        <v>0</v>
      </c>
      <c r="AN57" s="401">
        <f t="shared" si="31"/>
        <v>0</v>
      </c>
      <c r="AO57" s="11"/>
    </row>
    <row r="58" spans="1:41" x14ac:dyDescent="0.35">
      <c r="A58" s="62" t="s">
        <v>9</v>
      </c>
      <c r="B58" s="63" t="s">
        <v>10</v>
      </c>
      <c r="C58" s="11"/>
      <c r="D58" s="11"/>
      <c r="E58" s="11"/>
      <c r="F58" s="11"/>
      <c r="G58" s="11"/>
      <c r="H58" s="88" t="s">
        <v>872</v>
      </c>
      <c r="I58" s="122" t="str">
        <f>IF(_epmOfflineCondition_,"T3",_xll.EVPRO($B$1,$H58,"STYLE"))</f>
        <v>T3</v>
      </c>
      <c r="J58" s="122" t="str">
        <f>IF(_epmOfflineCondition_,"Y",_xll.EVPRO($B$1,$H58,"CALC"))</f>
        <v>Y</v>
      </c>
      <c r="K58" s="179" t="str">
        <f t="shared" ref="K58:K65" si="32">IF(AND(I58&lt;&gt;"B1",J58="Y"),"&gt;","")</f>
        <v>&gt;</v>
      </c>
      <c r="L58" s="90" t="str">
        <f>IF(_epmOfflineCondition_,"",_xll.EVPRO($B$1,H58,"JDEID"))</f>
        <v/>
      </c>
      <c r="M58" s="90" t="str">
        <f>IF(_epmOfflineCondition_,"",IF(AND(I58="N",J58="N"),_xll.EVPRO($B$1,H58,"PSFTID"),""))</f>
        <v/>
      </c>
      <c r="N58" s="90" t="str">
        <f>IF(_epmOfflineCondition_,"F&amp;B Venues",IF(_xll.EVDES(H58,$B$1)="#NODATA","",_xll.EVDES(H58,$B$1)))</f>
        <v>F&amp;B Venues</v>
      </c>
      <c r="O58" s="588">
        <v>3535.44</v>
      </c>
      <c r="P58" s="588">
        <v>3412.17</v>
      </c>
      <c r="Q58" s="588">
        <v>1285.95</v>
      </c>
      <c r="R58" s="588"/>
      <c r="S58" s="588"/>
      <c r="T58" s="217"/>
      <c r="U58" s="217"/>
      <c r="V58" s="217"/>
      <c r="W58" s="217"/>
      <c r="X58" s="217"/>
      <c r="Y58" s="217"/>
      <c r="Z58" s="217"/>
      <c r="AA58" s="251">
        <f t="shared" si="21"/>
        <v>8233.5600000000013</v>
      </c>
      <c r="AB58" s="219">
        <f t="shared" si="22"/>
        <v>0.15641903239190669</v>
      </c>
      <c r="AC58" s="140"/>
      <c r="AD58" s="217">
        <v>40989.574999999997</v>
      </c>
      <c r="AE58" s="219">
        <f t="shared" si="23"/>
        <v>0.32264623822779653</v>
      </c>
      <c r="AF58" s="220">
        <f t="shared" si="24"/>
        <v>-32756.014999999996</v>
      </c>
      <c r="AG58" s="217">
        <v>31664.07</v>
      </c>
      <c r="AH58" s="219">
        <f t="shared" si="25"/>
        <v>0.28574420752000856</v>
      </c>
      <c r="AI58" s="220">
        <f t="shared" si="26"/>
        <v>-23430.51</v>
      </c>
      <c r="AJ58" s="449">
        <f t="shared" si="27"/>
        <v>0.4106513715710724</v>
      </c>
      <c r="AK58" s="450">
        <f t="shared" si="28"/>
        <v>1.0845237465273183</v>
      </c>
      <c r="AL58" s="451">
        <f t="shared" si="29"/>
        <v>0.96296058633903048</v>
      </c>
      <c r="AM58" s="452" t="str">
        <f t="shared" si="30"/>
        <v>-16.62 pts.</v>
      </c>
      <c r="AN58" s="453" t="str">
        <f t="shared" si="31"/>
        <v>-12.93 pts.</v>
      </c>
      <c r="AO58" s="11"/>
    </row>
    <row r="59" spans="1:41" x14ac:dyDescent="0.35">
      <c r="A59" s="65" t="s">
        <v>11</v>
      </c>
      <c r="B59" s="66" t="s">
        <v>21</v>
      </c>
      <c r="C59" s="11"/>
      <c r="D59" s="11"/>
      <c r="E59" s="11"/>
      <c r="F59" s="11"/>
      <c r="G59" s="11"/>
      <c r="H59" s="88" t="s">
        <v>852</v>
      </c>
      <c r="I59" s="188" t="str">
        <f>IF(_epmOfflineCondition_,"T2",_xll.EVPRO($B$1,$H59,"STYLE"))</f>
        <v>T2</v>
      </c>
      <c r="J59" s="188" t="str">
        <f>IF(_epmOfflineCondition_,"Y",_xll.EVPRO($B$1,$H59,"CALC"))</f>
        <v>Y</v>
      </c>
      <c r="K59" s="189" t="str">
        <f t="shared" si="32"/>
        <v>&gt;</v>
      </c>
      <c r="L59" s="190" t="str">
        <f>IF(_epmOfflineCondition_,"",_xll.EVPRO($B$1,H59,"JDEID"))</f>
        <v/>
      </c>
      <c r="M59" s="190" t="str">
        <f>IF(_epmOfflineCondition_,"",IF(AND(I59="N",J59="N"),_xll.EVPRO($B$1,H59,"PSFTID"),""))</f>
        <v/>
      </c>
      <c r="N59" s="190" t="str">
        <f>IF(_epmOfflineCondition_,"Total Salaries and Wages",IF(_xll.EVDES(H59,$B$1)="#NODATA","",_xll.EVDES(H59,$B$1)))</f>
        <v>Total Salaries and Wages</v>
      </c>
      <c r="O59" s="591">
        <v>3535.44</v>
      </c>
      <c r="P59" s="591">
        <v>3412.17</v>
      </c>
      <c r="Q59" s="591">
        <v>1285.95</v>
      </c>
      <c r="R59" s="591"/>
      <c r="S59" s="591"/>
      <c r="T59" s="238"/>
      <c r="U59" s="238"/>
      <c r="V59" s="238"/>
      <c r="W59" s="238"/>
      <c r="X59" s="238"/>
      <c r="Y59" s="238"/>
      <c r="Z59" s="238"/>
      <c r="AA59" s="238">
        <f t="shared" si="21"/>
        <v>8233.5600000000013</v>
      </c>
      <c r="AB59" s="239">
        <f t="shared" si="22"/>
        <v>0.15641903239190669</v>
      </c>
      <c r="AC59" s="240"/>
      <c r="AD59" s="238">
        <v>40989.574999999997</v>
      </c>
      <c r="AE59" s="239">
        <f t="shared" si="23"/>
        <v>0.32264623822779653</v>
      </c>
      <c r="AF59" s="241">
        <f t="shared" si="24"/>
        <v>-32756.014999999996</v>
      </c>
      <c r="AG59" s="238">
        <v>31664.07</v>
      </c>
      <c r="AH59" s="239">
        <f t="shared" si="25"/>
        <v>0.28574420752000856</v>
      </c>
      <c r="AI59" s="241">
        <f t="shared" si="26"/>
        <v>-23430.51</v>
      </c>
      <c r="AJ59" s="242">
        <f t="shared" si="27"/>
        <v>0.4106513715710724</v>
      </c>
      <c r="AK59" s="243">
        <f t="shared" si="28"/>
        <v>1.0845237465273183</v>
      </c>
      <c r="AL59" s="245">
        <f t="shared" si="29"/>
        <v>0.96296058633903048</v>
      </c>
      <c r="AM59" s="431" t="str">
        <f t="shared" si="30"/>
        <v>-16.62 pts.</v>
      </c>
      <c r="AN59" s="465" t="str">
        <f t="shared" si="31"/>
        <v>-12.93 pts.</v>
      </c>
      <c r="AO59" s="11"/>
    </row>
    <row r="60" spans="1:41" x14ac:dyDescent="0.35">
      <c r="A60" s="65" t="s">
        <v>12</v>
      </c>
      <c r="B60" s="66" t="s">
        <v>22</v>
      </c>
      <c r="C60" s="11"/>
      <c r="D60" s="11"/>
      <c r="E60" s="11"/>
      <c r="F60" s="11"/>
      <c r="G60" s="11"/>
      <c r="H60" s="88" t="s">
        <v>854</v>
      </c>
      <c r="I60" s="188" t="str">
        <f>IF(_epmOfflineCondition_,"T2",_xll.EVPRO($B$1,$H60,"STYLE"))</f>
        <v>T2</v>
      </c>
      <c r="J60" s="188" t="str">
        <f>IF(_epmOfflineCondition_,"Y",_xll.EVPRO($B$1,$H60,"CALC"))</f>
        <v>Y</v>
      </c>
      <c r="K60" s="189" t="str">
        <f t="shared" si="32"/>
        <v>&gt;</v>
      </c>
      <c r="L60" s="190" t="str">
        <f>IF(_epmOfflineCondition_,"",_xll.EVPRO($B$1,H60,"JDEID"))</f>
        <v/>
      </c>
      <c r="M60" s="190" t="str">
        <f>IF(_epmOfflineCondition_,"",IF(AND(I60="N",J60="N"),_xll.EVPRO($B$1,H60,"PSFTID"),""))</f>
        <v/>
      </c>
      <c r="N60" s="190" t="str">
        <f>IF(_epmOfflineCondition_,"Total Labor Expense",IF(_xll.EVDES(H60,$B$1)="#NODATA","",_xll.EVDES(H60,$B$1)))</f>
        <v>Total Labor Expense</v>
      </c>
      <c r="O60" s="592">
        <v>3535.44</v>
      </c>
      <c r="P60" s="592">
        <v>3412.17</v>
      </c>
      <c r="Q60" s="592">
        <v>1285.95</v>
      </c>
      <c r="R60" s="592"/>
      <c r="S60" s="592"/>
      <c r="T60" s="593"/>
      <c r="U60" s="593"/>
      <c r="V60" s="593"/>
      <c r="W60" s="593"/>
      <c r="X60" s="593"/>
      <c r="Y60" s="593"/>
      <c r="Z60" s="593"/>
      <c r="AA60" s="594">
        <f t="shared" si="21"/>
        <v>8233.5600000000013</v>
      </c>
      <c r="AB60" s="595">
        <f t="shared" si="22"/>
        <v>0.15641903239190669</v>
      </c>
      <c r="AC60" s="596"/>
      <c r="AD60" s="593">
        <v>40989.574999999997</v>
      </c>
      <c r="AE60" s="595">
        <f t="shared" si="23"/>
        <v>0.32264623822779653</v>
      </c>
      <c r="AF60" s="597">
        <f t="shared" si="24"/>
        <v>-32756.014999999996</v>
      </c>
      <c r="AG60" s="593">
        <v>31664.07</v>
      </c>
      <c r="AH60" s="595">
        <f t="shared" si="25"/>
        <v>0.28574420752000856</v>
      </c>
      <c r="AI60" s="597">
        <f t="shared" si="26"/>
        <v>-23430.51</v>
      </c>
      <c r="AJ60" s="598">
        <f t="shared" si="27"/>
        <v>0.4106513715710724</v>
      </c>
      <c r="AK60" s="599">
        <f t="shared" si="28"/>
        <v>1.0845237465273183</v>
      </c>
      <c r="AL60" s="600">
        <f t="shared" si="29"/>
        <v>0.96296058633903048</v>
      </c>
      <c r="AM60" s="601" t="str">
        <f t="shared" si="30"/>
        <v>-16.62 pts.</v>
      </c>
      <c r="AN60" s="602" t="str">
        <f t="shared" si="31"/>
        <v>-12.93 pts.</v>
      </c>
      <c r="AO60" s="11"/>
    </row>
    <row r="61" spans="1:41" x14ac:dyDescent="0.35">
      <c r="A61" s="65" t="s">
        <v>13</v>
      </c>
      <c r="B61" s="66" t="str">
        <f>"lDEP(2,COS_FB) AND "&amp;$E$6&amp;"=Y,COS_FB,DEP(COS_MISC) AND "&amp;$E$6&amp;"=Y,500001"</f>
        <v>lDEP(2,COS_FB) AND D1149=Y,COS_FB,DEP(COS_MISC) AND D1149=Y,500001</v>
      </c>
      <c r="C61" s="11"/>
      <c r="D61" s="11"/>
      <c r="E61" s="11"/>
      <c r="F61" s="11"/>
      <c r="G61" s="76"/>
      <c r="H61" s="88" t="s">
        <v>855</v>
      </c>
      <c r="I61" s="122" t="str">
        <f>IF(_epmOfflineCondition_,"T3",_xll.EVPRO($B$1,$H61,"STYLE"))</f>
        <v>T3</v>
      </c>
      <c r="J61" s="122" t="str">
        <f>IF(_epmOfflineCondition_,"Y",_xll.EVPRO($B$1,$H61,"CALC"))</f>
        <v>Y</v>
      </c>
      <c r="K61" s="179" t="str">
        <f t="shared" si="32"/>
        <v>&gt;</v>
      </c>
      <c r="L61" s="90" t="str">
        <f>IF(_epmOfflineCondition_,"",_xll.EVPRO($B$1,H61,"JDEID"))</f>
        <v/>
      </c>
      <c r="M61" s="90" t="str">
        <f>IF(_epmOfflineCondition_,"",IF(AND(I61="N",J61="N"),_xll.EVPRO($B$1,H61,"PSFTID"),""))</f>
        <v/>
      </c>
      <c r="N61" s="90" t="str">
        <f>IF(_epmOfflineCondition_,"Payroll Taxes",IF(_xll.EVDES(H61,$B$1)="#NODATA","",_xll.EVDES(H61,$B$1)))</f>
        <v>Payroll Taxes</v>
      </c>
      <c r="O61" s="590">
        <v>189.73</v>
      </c>
      <c r="P61" s="590">
        <v>163.58000000000001</v>
      </c>
      <c r="Q61" s="590">
        <v>127.87</v>
      </c>
      <c r="R61" s="590"/>
      <c r="S61" s="590"/>
      <c r="T61" s="216"/>
      <c r="U61" s="216"/>
      <c r="V61" s="216"/>
      <c r="W61" s="216"/>
      <c r="X61" s="216"/>
      <c r="Y61" s="216"/>
      <c r="Z61" s="216"/>
      <c r="AA61" s="216">
        <f t="shared" si="21"/>
        <v>481.18</v>
      </c>
      <c r="AB61" s="218">
        <f t="shared" si="22"/>
        <v>9.1413325470802009E-3</v>
      </c>
      <c r="AC61" s="140"/>
      <c r="AD61" s="216">
        <v>5300.1719784933002</v>
      </c>
      <c r="AE61" s="218">
        <f t="shared" si="23"/>
        <v>4.171988977249072E-2</v>
      </c>
      <c r="AF61" s="233">
        <f t="shared" si="24"/>
        <v>-4818.9919784932999</v>
      </c>
      <c r="AG61" s="216">
        <v>2405.39</v>
      </c>
      <c r="AH61" s="218">
        <f t="shared" si="25"/>
        <v>2.1706819727424595E-2</v>
      </c>
      <c r="AI61" s="233">
        <f t="shared" si="26"/>
        <v>-1924.2099999999998</v>
      </c>
      <c r="AJ61" s="537">
        <f t="shared" si="27"/>
        <v>2.3999002493765586E-2</v>
      </c>
      <c r="AK61" s="538">
        <f t="shared" si="28"/>
        <v>0.14023473947594392</v>
      </c>
      <c r="AL61" s="539">
        <f t="shared" si="29"/>
        <v>7.3152180524299004E-2</v>
      </c>
      <c r="AM61" s="540" t="str">
        <f t="shared" si="30"/>
        <v>-3.26 pts.</v>
      </c>
      <c r="AN61" s="541" t="str">
        <f t="shared" si="31"/>
        <v>-1.26 pts.</v>
      </c>
      <c r="AO61" s="11"/>
    </row>
    <row r="62" spans="1:41" x14ac:dyDescent="0.35">
      <c r="A62" s="65" t="s">
        <v>14</v>
      </c>
      <c r="B62" s="66"/>
      <c r="C62" s="11"/>
      <c r="D62" s="11"/>
      <c r="E62" s="11"/>
      <c r="F62" s="11"/>
      <c r="G62" s="11"/>
      <c r="H62" s="88" t="s">
        <v>856</v>
      </c>
      <c r="I62" s="122" t="str">
        <f>IF(_epmOfflineCondition_,"T3",_xll.EVPRO($B$1,$H62,"STYLE"))</f>
        <v>T3</v>
      </c>
      <c r="J62" s="122" t="str">
        <f>IF(_epmOfflineCondition_,"Y",_xll.EVPRO($B$1,$H62,"CALC"))</f>
        <v>Y</v>
      </c>
      <c r="K62" s="179" t="str">
        <f t="shared" si="32"/>
        <v>&gt;</v>
      </c>
      <c r="L62" s="90" t="str">
        <f>IF(_epmOfflineCondition_,"",_xll.EVPRO($B$1,H62,"JDEID"))</f>
        <v/>
      </c>
      <c r="M62" s="90" t="str">
        <f>IF(_epmOfflineCondition_,"",IF(AND(I62="N",J62="N"),_xll.EVPRO($B$1,H62,"PSFTID"),""))</f>
        <v/>
      </c>
      <c r="N62" s="90" t="str">
        <f>IF(_epmOfflineCondition_,"Supplemental Pay",IF(_xll.EVDES(H62,$B$1)="#NODATA","",_xll.EVDES(H62,$B$1)))</f>
        <v>Supplemental Pay</v>
      </c>
      <c r="O62" s="588">
        <v>101.5</v>
      </c>
      <c r="P62" s="588">
        <v>109.54</v>
      </c>
      <c r="Q62" s="588">
        <v>-236.27</v>
      </c>
      <c r="R62" s="588">
        <v>34.18</v>
      </c>
      <c r="S62" s="588"/>
      <c r="T62" s="217"/>
      <c r="U62" s="217"/>
      <c r="V62" s="217"/>
      <c r="W62" s="217"/>
      <c r="X62" s="217">
        <v>-0.16</v>
      </c>
      <c r="Y62" s="217"/>
      <c r="Z62" s="217"/>
      <c r="AA62" s="251">
        <f t="shared" si="21"/>
        <v>8.7900000000000098</v>
      </c>
      <c r="AB62" s="219">
        <f t="shared" si="22"/>
        <v>1.6699013485355801E-4</v>
      </c>
      <c r="AC62" s="140"/>
      <c r="AD62" s="217">
        <v>2729.9805165859998</v>
      </c>
      <c r="AE62" s="219">
        <f t="shared" si="23"/>
        <v>2.1488828418241703E-2</v>
      </c>
      <c r="AF62" s="220">
        <f t="shared" si="24"/>
        <v>-2721.1905165859998</v>
      </c>
      <c r="AG62" s="217">
        <v>2345.4499999999998</v>
      </c>
      <c r="AH62" s="219">
        <f t="shared" si="25"/>
        <v>2.116590670522785E-2</v>
      </c>
      <c r="AI62" s="220">
        <f t="shared" si="26"/>
        <v>-2336.66</v>
      </c>
      <c r="AJ62" s="449">
        <f t="shared" si="27"/>
        <v>4.3840399002493814E-4</v>
      </c>
      <c r="AK62" s="450">
        <f t="shared" si="28"/>
        <v>7.2231261187617399E-2</v>
      </c>
      <c r="AL62" s="451">
        <f t="shared" si="29"/>
        <v>7.1329298704458366E-2</v>
      </c>
      <c r="AM62" s="452" t="str">
        <f t="shared" si="30"/>
        <v>-2.13 pts.</v>
      </c>
      <c r="AN62" s="453" t="str">
        <f t="shared" si="31"/>
        <v>-2.1 pts.</v>
      </c>
      <c r="AO62" s="11"/>
    </row>
    <row r="63" spans="1:41" x14ac:dyDescent="0.35">
      <c r="A63" s="65" t="s">
        <v>15</v>
      </c>
      <c r="B63" s="66"/>
      <c r="C63" s="11"/>
      <c r="D63" s="11"/>
      <c r="E63" s="11"/>
      <c r="F63" s="11"/>
      <c r="G63" s="11"/>
      <c r="H63" s="88" t="s">
        <v>857</v>
      </c>
      <c r="I63" s="122" t="str">
        <f>IF(_epmOfflineCondition_,"T3",_xll.EVPRO($B$1,$H63,"STYLE"))</f>
        <v>T3</v>
      </c>
      <c r="J63" s="122" t="str">
        <f>IF(_epmOfflineCondition_,"Y",_xll.EVPRO($B$1,$H63,"CALC"))</f>
        <v>Y</v>
      </c>
      <c r="K63" s="179" t="str">
        <f t="shared" si="32"/>
        <v>&gt;</v>
      </c>
      <c r="L63" s="90" t="str">
        <f>IF(_epmOfflineCondition_,"",_xll.EVPRO($B$1,H63,"JDEID"))</f>
        <v/>
      </c>
      <c r="M63" s="90" t="str">
        <f>IF(_epmOfflineCondition_,"",IF(AND(I63="N",J63="N"),_xll.EVPRO($B$1,H63,"PSFTID"),""))</f>
        <v/>
      </c>
      <c r="N63" s="90" t="str">
        <f>IF(_epmOfflineCondition_,"Employee Benefits",IF(_xll.EVDES(H63,$B$1)="#NODATA","",_xll.EVDES(H63,$B$1)))</f>
        <v>Employee Benefits</v>
      </c>
      <c r="O63" s="588">
        <v>245.46</v>
      </c>
      <c r="P63" s="588">
        <v>243.34</v>
      </c>
      <c r="Q63" s="588">
        <v>243.34</v>
      </c>
      <c r="R63" s="588">
        <v>423.8</v>
      </c>
      <c r="S63" s="588">
        <v>425.1</v>
      </c>
      <c r="T63" s="217">
        <v>4.7699999999999996</v>
      </c>
      <c r="U63" s="217">
        <v>85.65</v>
      </c>
      <c r="V63" s="217">
        <v>86.88</v>
      </c>
      <c r="W63" s="217">
        <v>81.849999999999994</v>
      </c>
      <c r="X63" s="217">
        <v>79.16</v>
      </c>
      <c r="Y63" s="217"/>
      <c r="Z63" s="217"/>
      <c r="AA63" s="251">
        <f t="shared" si="21"/>
        <v>1919.3500000000001</v>
      </c>
      <c r="AB63" s="219">
        <f t="shared" si="22"/>
        <v>3.64633123243659E-2</v>
      </c>
      <c r="AC63" s="140"/>
      <c r="AD63" s="217">
        <v>4848.9303246398003</v>
      </c>
      <c r="AE63" s="219">
        <f t="shared" si="23"/>
        <v>3.8167976337244773E-2</v>
      </c>
      <c r="AF63" s="220">
        <f t="shared" si="24"/>
        <v>-2929.5803246398</v>
      </c>
      <c r="AG63" s="217">
        <v>2463.09</v>
      </c>
      <c r="AH63" s="219">
        <f t="shared" si="25"/>
        <v>2.2227518449158871E-2</v>
      </c>
      <c r="AI63" s="220">
        <f t="shared" si="26"/>
        <v>-543.74</v>
      </c>
      <c r="AJ63" s="449">
        <f t="shared" si="27"/>
        <v>9.57281795511222E-2</v>
      </c>
      <c r="AK63" s="450">
        <f t="shared" si="28"/>
        <v>0.12829555032781587</v>
      </c>
      <c r="AL63" s="451">
        <f t="shared" si="29"/>
        <v>7.4906939967155292E-2</v>
      </c>
      <c r="AM63" s="452" t="str">
        <f t="shared" si="30"/>
        <v>-0.17 pts.</v>
      </c>
      <c r="AN63" s="453" t="str">
        <f t="shared" si="31"/>
        <v>1.42 pts.</v>
      </c>
      <c r="AO63" s="11"/>
    </row>
    <row r="64" spans="1:41" x14ac:dyDescent="0.35">
      <c r="A64" s="65" t="s">
        <v>16</v>
      </c>
      <c r="B64" s="66"/>
      <c r="C64" s="11"/>
      <c r="D64" s="11"/>
      <c r="E64" s="11"/>
      <c r="F64" s="11"/>
      <c r="G64" s="11"/>
      <c r="H64" s="88" t="s">
        <v>858</v>
      </c>
      <c r="I64" s="188" t="str">
        <f>IF(_epmOfflineCondition_,"T2",_xll.EVPRO($B$1,$H64,"STYLE"))</f>
        <v>T2</v>
      </c>
      <c r="J64" s="188" t="str">
        <f>IF(_epmOfflineCondition_,"Y",_xll.EVPRO($B$1,$H64,"CALC"))</f>
        <v>Y</v>
      </c>
      <c r="K64" s="189" t="str">
        <f t="shared" si="32"/>
        <v>&gt;</v>
      </c>
      <c r="L64" s="190" t="str">
        <f>IF(_epmOfflineCondition_,"",_xll.EVPRO($B$1,H64,"JDEID"))</f>
        <v/>
      </c>
      <c r="M64" s="190" t="str">
        <f>IF(_epmOfflineCondition_,"",IF(AND(I64="N",J64="N"),_xll.EVPRO($B$1,H64,"PSFTID"),""))</f>
        <v/>
      </c>
      <c r="N64" s="190" t="str">
        <f>IF(_epmOfflineCondition_,"Total Payroll Related",IF(_xll.EVDES(H64,$B$1)="#NODATA","",_xll.EVDES(H64,$B$1)))</f>
        <v>Total Payroll Related</v>
      </c>
      <c r="O64" s="591">
        <v>536.69000000000005</v>
      </c>
      <c r="P64" s="591">
        <v>516.46</v>
      </c>
      <c r="Q64" s="591">
        <v>134.94</v>
      </c>
      <c r="R64" s="591">
        <v>457.98</v>
      </c>
      <c r="S64" s="591">
        <v>425.1</v>
      </c>
      <c r="T64" s="238">
        <v>4.7699999999999996</v>
      </c>
      <c r="U64" s="238">
        <v>85.65</v>
      </c>
      <c r="V64" s="238">
        <v>86.88</v>
      </c>
      <c r="W64" s="238">
        <v>81.849999999999994</v>
      </c>
      <c r="X64" s="238">
        <v>79</v>
      </c>
      <c r="Y64" s="238"/>
      <c r="Z64" s="238"/>
      <c r="AA64" s="238">
        <f t="shared" si="21"/>
        <v>2409.3200000000002</v>
      </c>
      <c r="AB64" s="239">
        <f t="shared" si="22"/>
        <v>4.577163500629966E-2</v>
      </c>
      <c r="AC64" s="240"/>
      <c r="AD64" s="238">
        <v>12879.0828197191</v>
      </c>
      <c r="AE64" s="239">
        <f t="shared" si="23"/>
        <v>0.10137669452797719</v>
      </c>
      <c r="AF64" s="241">
        <f t="shared" si="24"/>
        <v>-10469.762819719101</v>
      </c>
      <c r="AG64" s="238">
        <v>7213.93</v>
      </c>
      <c r="AH64" s="239">
        <f t="shared" si="25"/>
        <v>6.510024488181132E-2</v>
      </c>
      <c r="AI64" s="241">
        <f t="shared" si="26"/>
        <v>-4804.6100000000006</v>
      </c>
      <c r="AJ64" s="242">
        <f t="shared" si="27"/>
        <v>0.12016558603491273</v>
      </c>
      <c r="AK64" s="243">
        <f t="shared" si="28"/>
        <v>0.34076155099137717</v>
      </c>
      <c r="AL64" s="245">
        <f t="shared" si="29"/>
        <v>0.21938841919591268</v>
      </c>
      <c r="AM64" s="431" t="str">
        <f t="shared" si="30"/>
        <v>-5.56 pts.</v>
      </c>
      <c r="AN64" s="465" t="str">
        <f t="shared" si="31"/>
        <v>-1.93 pts.</v>
      </c>
      <c r="AO64" s="11"/>
    </row>
    <row r="65" spans="1:41" x14ac:dyDescent="0.35">
      <c r="A65" s="65" t="s">
        <v>17</v>
      </c>
      <c r="B65" s="66"/>
      <c r="C65" s="11"/>
      <c r="D65" s="11"/>
      <c r="E65" s="11"/>
      <c r="F65" s="11"/>
      <c r="G65" s="11"/>
      <c r="H65" s="88" t="s">
        <v>76</v>
      </c>
      <c r="I65" s="188" t="str">
        <f>IF(_epmOfflineCondition_,"T1",_xll.EVPRO($B$1,$H65,"STYLE"))</f>
        <v>T1</v>
      </c>
      <c r="J65" s="188" t="str">
        <f>IF(_epmOfflineCondition_,"Y",_xll.EVPRO($B$1,$H65,"CALC"))</f>
        <v>Y</v>
      </c>
      <c r="K65" s="189" t="str">
        <f t="shared" si="32"/>
        <v>&gt;</v>
      </c>
      <c r="L65" s="190" t="str">
        <f>IF(_epmOfflineCondition_,"600000",_xll.EVPRO($B$1,H65,"JDEID"))</f>
        <v>600000</v>
      </c>
      <c r="M65" s="190" t="str">
        <f>IF(_epmOfflineCondition_,"",IF(AND(I65="N",J65="N"),_xll.EVPRO($B$1,H65,"PSFTID"),""))</f>
        <v/>
      </c>
      <c r="N65" s="190" t="str">
        <f>IF(_epmOfflineCondition_,"Total Labor &amp; Related Exp",IF(_xll.EVDES(H65,$B$1)="#NODATA","",_xll.EVDES(H65,$B$1)))</f>
        <v>Total Labor &amp; Related Exp</v>
      </c>
      <c r="O65" s="591">
        <v>4072.13</v>
      </c>
      <c r="P65" s="591">
        <v>3928.63</v>
      </c>
      <c r="Q65" s="591">
        <v>1420.89</v>
      </c>
      <c r="R65" s="591">
        <v>457.98</v>
      </c>
      <c r="S65" s="591">
        <v>425.1</v>
      </c>
      <c r="T65" s="238">
        <v>4.7699999999999996</v>
      </c>
      <c r="U65" s="238">
        <v>85.65</v>
      </c>
      <c r="V65" s="238">
        <v>86.88</v>
      </c>
      <c r="W65" s="238">
        <v>81.849999999999994</v>
      </c>
      <c r="X65" s="238">
        <v>79</v>
      </c>
      <c r="Y65" s="238"/>
      <c r="Z65" s="238"/>
      <c r="AA65" s="238">
        <f t="shared" si="21"/>
        <v>10642.88</v>
      </c>
      <c r="AB65" s="239">
        <f t="shared" si="22"/>
        <v>0.20219066739820632</v>
      </c>
      <c r="AC65" s="240"/>
      <c r="AD65" s="238">
        <v>53868.657819719097</v>
      </c>
      <c r="AE65" s="239">
        <f t="shared" si="23"/>
        <v>0.42402293275577374</v>
      </c>
      <c r="AF65" s="241">
        <f t="shared" si="24"/>
        <v>-43225.7778197191</v>
      </c>
      <c r="AG65" s="238">
        <v>38878</v>
      </c>
      <c r="AH65" s="239">
        <f t="shared" si="25"/>
        <v>0.35084445240181988</v>
      </c>
      <c r="AI65" s="241">
        <f t="shared" si="26"/>
        <v>-28235.120000000003</v>
      </c>
      <c r="AJ65" s="242">
        <f t="shared" si="27"/>
        <v>0.53081695760598502</v>
      </c>
      <c r="AK65" s="243">
        <f t="shared" si="28"/>
        <v>1.4252852975186956</v>
      </c>
      <c r="AL65" s="245">
        <f t="shared" si="29"/>
        <v>1.182349005534943</v>
      </c>
      <c r="AM65" s="431" t="str">
        <f t="shared" si="30"/>
        <v>-22.18 pts.</v>
      </c>
      <c r="AN65" s="465" t="str">
        <f t="shared" si="31"/>
        <v>-14.87 pts.</v>
      </c>
      <c r="AO65" s="11"/>
    </row>
    <row r="66" spans="1:41" x14ac:dyDescent="0.35">
      <c r="A66" s="11"/>
      <c r="B66" s="11"/>
      <c r="C66" s="11"/>
      <c r="D66" s="11"/>
      <c r="E66" s="11"/>
      <c r="F66" s="11"/>
      <c r="G66" s="11"/>
      <c r="H66" s="11"/>
      <c r="I66" s="59"/>
      <c r="J66" s="59"/>
      <c r="K66" s="11"/>
      <c r="L66" s="11"/>
      <c r="M66" s="11"/>
      <c r="N66" s="11"/>
      <c r="O66" s="129"/>
      <c r="P66" s="130"/>
      <c r="Q66" s="130"/>
      <c r="R66" s="130"/>
      <c r="S66" s="130"/>
      <c r="T66" s="130"/>
      <c r="U66" s="130"/>
      <c r="V66" s="130"/>
      <c r="W66" s="130"/>
      <c r="X66" s="130"/>
      <c r="Y66" s="130"/>
      <c r="Z66" s="130"/>
      <c r="AA66" s="130"/>
      <c r="AB66" s="131"/>
      <c r="AC66" s="11"/>
      <c r="AD66" s="129"/>
      <c r="AE66" s="130"/>
      <c r="AF66" s="131"/>
      <c r="AG66" s="129"/>
      <c r="AH66" s="130"/>
      <c r="AI66" s="131"/>
      <c r="AJ66" s="11"/>
      <c r="AK66" s="11"/>
      <c r="AL66" s="11"/>
      <c r="AM66" s="11"/>
      <c r="AN66" s="11"/>
      <c r="AO66" s="11"/>
    </row>
    <row r="67" spans="1:41" x14ac:dyDescent="0.35">
      <c r="A67" s="97" t="s">
        <v>92</v>
      </c>
      <c r="B67" s="98" t="s">
        <v>93</v>
      </c>
      <c r="C67" s="98" t="s">
        <v>94</v>
      </c>
      <c r="D67" s="98" t="s">
        <v>95</v>
      </c>
      <c r="E67" s="98" t="s">
        <v>96</v>
      </c>
      <c r="F67" s="99" t="s">
        <v>97</v>
      </c>
      <c r="G67" s="11"/>
      <c r="H67" s="11" t="s">
        <v>82</v>
      </c>
      <c r="I67" s="59" t="str">
        <f>IF(_epmOfflineCondition_,"B1",_xll.EVPRO($B$1,$H67,"STYLE"))</f>
        <v>B1</v>
      </c>
      <c r="J67" s="59" t="str">
        <f>IF(_epmOfflineCondition_,"Y",_xll.EVPRO($B$1,$H67,"CALC"))</f>
        <v>Y</v>
      </c>
      <c r="K67" s="11"/>
      <c r="L67" s="11"/>
      <c r="M67" s="11"/>
      <c r="N67" s="105" t="str">
        <f>IF(_epmOfflineCondition_,"Other Expenses",IF(_xll.EVDES(H67,$B$1)="#NODATA","",_xll.EVDES(H67,$B$1)))</f>
        <v>Other Expenses</v>
      </c>
      <c r="O67" s="119"/>
      <c r="P67" s="120"/>
      <c r="Q67" s="120"/>
      <c r="R67" s="120"/>
      <c r="S67" s="120"/>
      <c r="T67" s="120"/>
      <c r="U67" s="120"/>
      <c r="V67" s="120"/>
      <c r="W67" s="120"/>
      <c r="X67" s="120"/>
      <c r="Y67" s="120"/>
      <c r="Z67" s="120"/>
      <c r="AA67" s="120"/>
      <c r="AB67" s="121"/>
      <c r="AC67" s="11"/>
      <c r="AD67" s="119"/>
      <c r="AE67" s="120"/>
      <c r="AF67" s="121"/>
      <c r="AG67" s="119"/>
      <c r="AH67" s="120"/>
      <c r="AI67" s="121"/>
      <c r="AJ67" s="11"/>
      <c r="AK67" s="11"/>
      <c r="AL67" s="11"/>
      <c r="AM67" s="11"/>
      <c r="AN67" s="11"/>
      <c r="AO67" s="11"/>
    </row>
    <row r="68" spans="1:41" hidden="1" x14ac:dyDescent="0.35">
      <c r="A68" s="11"/>
      <c r="B68" s="11"/>
      <c r="C68" s="11"/>
      <c r="D68" s="11"/>
      <c r="E68" s="11"/>
      <c r="F68" s="11"/>
      <c r="G68" s="11"/>
      <c r="H68" s="88" t="s">
        <v>667</v>
      </c>
      <c r="I68" s="122" t="str">
        <f>IF(_epmOfflineCondition_,"",_xll.EVPRO($B$1,$H68,"STYLE"))</f>
        <v/>
      </c>
      <c r="J68" s="122" t="str">
        <f>IF(_epmOfflineCondition_,"",_xll.EVPRO($B$1,$H68,"CALC"))</f>
        <v/>
      </c>
      <c r="K68" s="179" t="str">
        <f>IF(AND(I68&lt;&gt;"B1",J68="Y"),"&gt;","")</f>
        <v/>
      </c>
      <c r="L68" s="90" t="str">
        <f>IF(_epmOfflineCondition_,"",_xll.EVPRO($B$1,H68,"JDEID"))</f>
        <v/>
      </c>
      <c r="M68" s="90" t="str">
        <f>IF(_epmOfflineCondition_,"",IF(AND(I68="N",J68="N"),_xll.EVPRO($B$1,H68,"PSFTID"),""))</f>
        <v/>
      </c>
      <c r="N68" s="90" t="str">
        <f>IF(_epmOfflineCondition_,"",IF(_xll.EVDES(H68,$B$1)="#NODATA","",_xll.EVDES(H68,$B$1)))</f>
        <v/>
      </c>
      <c r="O68" s="143"/>
      <c r="P68" s="143"/>
      <c r="Q68" s="143"/>
      <c r="R68" s="143"/>
      <c r="S68" s="143"/>
      <c r="T68" s="143"/>
      <c r="U68" s="143"/>
      <c r="V68" s="143"/>
      <c r="W68" s="143"/>
      <c r="X68" s="143"/>
      <c r="Y68" s="143"/>
      <c r="Z68" s="143"/>
      <c r="AA68" s="250">
        <f>IF($I68="B1","",SUM(O68:Z68))</f>
        <v>0</v>
      </c>
      <c r="AB68" s="144" t="str">
        <f>IF(AA68=0,"",IFERROR(AA68/AA$19,""))</f>
        <v/>
      </c>
      <c r="AC68" s="140"/>
      <c r="AD68" s="143"/>
      <c r="AE68" s="144" t="str">
        <f>IF(AD68=0,"",IFERROR(AD68/AD$19,""))</f>
        <v/>
      </c>
      <c r="AF68" s="145">
        <f>IF(AND($AA68="",AD68=""),"",$AA68-AD68)</f>
        <v>0</v>
      </c>
      <c r="AG68" s="143"/>
      <c r="AH68" s="144" t="str">
        <f>IF(AG68=0,"",IFERROR(AG68/AG$19,""))</f>
        <v/>
      </c>
      <c r="AI68" s="145">
        <f>IF(AND($AA68="",AG68=""),"",$AA68-AG68)</f>
        <v>0</v>
      </c>
      <c r="AJ68" s="440">
        <f>IFERROR(AA68/AA$20,0)</f>
        <v>0</v>
      </c>
      <c r="AK68" s="441">
        <f>IFERROR(AD68/AD$20,0)</f>
        <v>0</v>
      </c>
      <c r="AL68" s="442">
        <f>IFERROR(AG68/AG$20,0)</f>
        <v>0</v>
      </c>
      <c r="AM68" s="443">
        <f>+IFERROR(ROUND(($AB68-AE68)*100,2)&amp;" pts.",0)</f>
        <v>0</v>
      </c>
      <c r="AN68" s="444">
        <f>+IFERROR(ROUND(($AB68-AH68)*100,2)&amp;" pts.",0)</f>
        <v>0</v>
      </c>
      <c r="AO68" s="11"/>
    </row>
    <row r="69" spans="1:41" hidden="1" x14ac:dyDescent="0.35">
      <c r="A69" s="11" t="s">
        <v>105</v>
      </c>
      <c r="B69" s="11"/>
      <c r="C69" s="104" t="s">
        <v>101</v>
      </c>
      <c r="D69" s="11" t="s">
        <v>106</v>
      </c>
      <c r="E69" s="11"/>
      <c r="F69" s="11" t="s">
        <v>98</v>
      </c>
      <c r="G69" s="11"/>
      <c r="H69" s="88"/>
      <c r="I69" s="122" t="str">
        <f>IF(_epmOfflineCondition_,"",_xll.EVPRO($B$1,$H69,"STYLE"))</f>
        <v/>
      </c>
      <c r="J69" s="122" t="str">
        <f>IF(_epmOfflineCondition_,"",_xll.EVPRO($B$1,$H69,"CALC"))</f>
        <v/>
      </c>
      <c r="K69" s="179" t="str">
        <f>IF(AND(I69&lt;&gt;"B1",J69="Y"),"&gt;","")</f>
        <v/>
      </c>
      <c r="L69" s="90" t="str">
        <f>IF(_epmOfflineCondition_,"",_xll.EVPRO($B$1,H69,"JDEID"))</f>
        <v/>
      </c>
      <c r="M69" s="90" t="str">
        <f>IF(_epmOfflineCondition_,"",IF(AND(I69="N",J69="N"),_xll.EVPRO($B$1,H69,"PSFTID"),""))</f>
        <v/>
      </c>
      <c r="N69" s="90" t="str">
        <f>IF(_epmOfflineCondition_,"",IF(_xll.EVDES(H69,$B$1)="#NODATA","",_xll.EVDES(H69,$B$1)))</f>
        <v/>
      </c>
      <c r="O69" s="143"/>
      <c r="P69" s="143"/>
      <c r="Q69" s="143"/>
      <c r="R69" s="143"/>
      <c r="S69" s="143"/>
      <c r="T69" s="143"/>
      <c r="U69" s="143"/>
      <c r="V69" s="143"/>
      <c r="W69" s="143"/>
      <c r="X69" s="143"/>
      <c r="Y69" s="143"/>
      <c r="Z69" s="143"/>
      <c r="AA69" s="250">
        <f>IF($I69="B1","",SUM(O69:Z69))</f>
        <v>0</v>
      </c>
      <c r="AB69" s="144" t="str">
        <f>IF(AA69=0,"",IFERROR(AA69/AA$19,""))</f>
        <v/>
      </c>
      <c r="AC69" s="140"/>
      <c r="AD69" s="143"/>
      <c r="AE69" s="144" t="str">
        <f>IF(AD69=0,"",IFERROR(AD69/AD$19,""))</f>
        <v/>
      </c>
      <c r="AF69" s="145">
        <f>IF(AND($AA69="",AD69=""),"",$AA69-AD69)</f>
        <v>0</v>
      </c>
      <c r="AG69" s="143"/>
      <c r="AH69" s="144" t="str">
        <f>IF(AG69=0,"",IFERROR(AG69/AG$19,""))</f>
        <v/>
      </c>
      <c r="AI69" s="145">
        <f>IF(AND($AA69="",AG69=""),"",$AA69-AG69)</f>
        <v>0</v>
      </c>
      <c r="AJ69" s="440">
        <f>IFERROR(AA69/AA$20,0)</f>
        <v>0</v>
      </c>
      <c r="AK69" s="441">
        <f>IFERROR(AD69/AD$20,0)</f>
        <v>0</v>
      </c>
      <c r="AL69" s="442">
        <f>IFERROR(AG69/AG$20,0)</f>
        <v>0</v>
      </c>
      <c r="AM69" s="443">
        <f>+IFERROR(ROUND(($AB69-AE69)*100,2)&amp;" pts.",0)</f>
        <v>0</v>
      </c>
      <c r="AN69" s="444">
        <f>+IFERROR(ROUND(($AB69-AH69)*100,2)&amp;" pts.",0)</f>
        <v>0</v>
      </c>
      <c r="AO69" s="11"/>
    </row>
    <row r="70" spans="1:41" x14ac:dyDescent="0.35">
      <c r="A70" s="11" t="s">
        <v>104</v>
      </c>
      <c r="B70" s="11"/>
      <c r="C70" s="104" t="s">
        <v>101</v>
      </c>
      <c r="D70" s="11" t="s">
        <v>106</v>
      </c>
      <c r="E70" s="11"/>
      <c r="F70" s="11" t="s">
        <v>98</v>
      </c>
      <c r="G70" s="11"/>
      <c r="H70" s="88" t="s">
        <v>79</v>
      </c>
      <c r="I70" s="136" t="str">
        <f>IF(_epmOfflineCondition_,"T3",_xll.EVPRO($B$1,$H70,"STYLE"))</f>
        <v>T3</v>
      </c>
      <c r="J70" s="136" t="str">
        <f>IF(_epmOfflineCondition_,"Y",_xll.EVPRO($B$1,$H70,"CALC"))</f>
        <v>Y</v>
      </c>
      <c r="K70" s="104"/>
      <c r="L70" s="104"/>
      <c r="M70" s="104"/>
      <c r="N70" s="106" t="str">
        <f>IF(_epmOfflineCondition_,"Total Operations Expense",IF(_xll.EVDES(H70,$B$1)="#NODATA","",_xll.EVDES(H70,$B$1)))</f>
        <v>Total Operations Expense</v>
      </c>
      <c r="O70" s="154"/>
      <c r="P70" s="154"/>
      <c r="Q70" s="154"/>
      <c r="R70" s="154"/>
      <c r="S70" s="154"/>
      <c r="T70" s="154"/>
      <c r="U70" s="154"/>
      <c r="V70" s="154"/>
      <c r="W70" s="154"/>
      <c r="X70" s="154"/>
      <c r="Y70" s="154"/>
      <c r="Z70" s="154"/>
      <c r="AA70" s="154">
        <f>IF($I70="B1","",SUM(O70:Z70))</f>
        <v>0</v>
      </c>
      <c r="AB70" s="155" t="str">
        <f>IF(AA70=0,"",IFERROR(AA70/AA$19,""))</f>
        <v/>
      </c>
      <c r="AC70" s="140"/>
      <c r="AD70" s="154"/>
      <c r="AE70" s="155" t="str">
        <f>IF(AD70=0,"",IFERROR(AD70/AD$19,""))</f>
        <v/>
      </c>
      <c r="AF70" s="156">
        <f>IF(AND($AA70="",AD70=""),"",$AA70-AD70)</f>
        <v>0</v>
      </c>
      <c r="AG70" s="154"/>
      <c r="AH70" s="155" t="str">
        <f>IF(AG70=0,"",IFERROR(AG70/AG$19,""))</f>
        <v/>
      </c>
      <c r="AI70" s="156">
        <f>IF(AND($AA70="",AG70=""),"",$AA70-AG70)</f>
        <v>0</v>
      </c>
      <c r="AJ70" s="466">
        <f>IFERROR(AA70/AA$20,0)</f>
        <v>0</v>
      </c>
      <c r="AK70" s="467">
        <f>IFERROR(AD70/AD$20,0)</f>
        <v>0</v>
      </c>
      <c r="AL70" s="468">
        <f>IFERROR(AG70/AG$20,0)</f>
        <v>0</v>
      </c>
      <c r="AM70" s="469">
        <f>+IFERROR(ROUND(($AB70-AE70)*100,2)&amp;" pts.",0)</f>
        <v>0</v>
      </c>
      <c r="AN70" s="555">
        <f>+IFERROR(ROUND(($AB70-AH70)*100,2)&amp;" pts.",0)</f>
        <v>0</v>
      </c>
      <c r="AO70" s="11"/>
    </row>
    <row r="71" spans="1:41" x14ac:dyDescent="0.35">
      <c r="A71" s="11" t="s">
        <v>100</v>
      </c>
      <c r="B71" s="11"/>
      <c r="C71" s="53" t="s">
        <v>101</v>
      </c>
      <c r="D71" s="11" t="s">
        <v>106</v>
      </c>
      <c r="E71" s="11"/>
      <c r="F71" s="11" t="s">
        <v>98</v>
      </c>
      <c r="G71" s="11"/>
      <c r="H71" s="11"/>
      <c r="I71" s="59"/>
      <c r="J71" s="59"/>
      <c r="K71" s="11"/>
      <c r="L71" s="11"/>
      <c r="M71" s="11"/>
      <c r="N71" s="11"/>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1"/>
    </row>
    <row r="72" spans="1:41" x14ac:dyDescent="0.35">
      <c r="A72" s="11" t="s">
        <v>102</v>
      </c>
      <c r="B72" s="11"/>
      <c r="C72" s="106" t="s">
        <v>101</v>
      </c>
      <c r="D72" s="11" t="s">
        <v>106</v>
      </c>
      <c r="E72" s="11"/>
      <c r="F72" s="11" t="s">
        <v>98</v>
      </c>
      <c r="G72" s="11"/>
      <c r="H72" s="88" t="s">
        <v>80</v>
      </c>
      <c r="I72" s="136" t="str">
        <f>IF(_epmOfflineCondition_,"T3",_xll.EVPRO($B$1,$H72,"STYLE"))</f>
        <v>T3</v>
      </c>
      <c r="J72" s="136" t="str">
        <f>IF(_epmOfflineCondition_,"Y",_xll.EVPRO($B$1,$H72,"CALC"))</f>
        <v>Y</v>
      </c>
      <c r="K72" s="106"/>
      <c r="L72" s="106"/>
      <c r="M72" s="106"/>
      <c r="N72" s="106" t="str">
        <f>IF(_epmOfflineCondition_,"Total Expenses",IF(_xll.EVDES(H72,$B$1)="#NODATA","",_xll.EVDES(H72,$B$1)))</f>
        <v>Total Expenses</v>
      </c>
      <c r="O72" s="238">
        <v>4072.13</v>
      </c>
      <c r="P72" s="238">
        <v>3928.63</v>
      </c>
      <c r="Q72" s="238">
        <v>1420.89</v>
      </c>
      <c r="R72" s="238">
        <v>457.98</v>
      </c>
      <c r="S72" s="238">
        <v>425.1</v>
      </c>
      <c r="T72" s="238">
        <v>4.7699999999999996</v>
      </c>
      <c r="U72" s="238">
        <v>85.65</v>
      </c>
      <c r="V72" s="238">
        <v>86.88</v>
      </c>
      <c r="W72" s="238">
        <v>81.849999999999994</v>
      </c>
      <c r="X72" s="238">
        <v>79</v>
      </c>
      <c r="Y72" s="238"/>
      <c r="Z72" s="238"/>
      <c r="AA72" s="238">
        <f>IF($I72="B1","",SUM(O72:Z72))</f>
        <v>10642.88</v>
      </c>
      <c r="AB72" s="239">
        <f>IF(AA72=0,"",IFERROR(AA72/AA$19,""))</f>
        <v>0.20219066739820632</v>
      </c>
      <c r="AC72" s="140"/>
      <c r="AD72" s="238">
        <v>53868.657819719097</v>
      </c>
      <c r="AE72" s="239">
        <f>IF(AD72=0,"",IFERROR(AD72/AD$19,""))</f>
        <v>0.42402293275577374</v>
      </c>
      <c r="AF72" s="254">
        <f>IF(AND($AA72="",AD72=""),"",$AA72-AD72)</f>
        <v>-43225.7778197191</v>
      </c>
      <c r="AG72" s="255">
        <v>38878</v>
      </c>
      <c r="AH72" s="256">
        <f>IF(AG72=0,"",IFERROR(AG72/AG$19,""))</f>
        <v>0.35084445240181988</v>
      </c>
      <c r="AI72" s="254">
        <f>IF(AND($AA72="",AG72=""),"",$AA72-AG72)</f>
        <v>-28235.120000000003</v>
      </c>
      <c r="AJ72" s="472">
        <f>IFERROR(AA72/AA$20,0)</f>
        <v>0.53081695760598502</v>
      </c>
      <c r="AK72" s="473">
        <f>IFERROR(AD72/AD$20,0)</f>
        <v>1.4252852975186956</v>
      </c>
      <c r="AL72" s="474">
        <f>IFERROR(AG72/AG$20,0)</f>
        <v>1.182349005534943</v>
      </c>
      <c r="AM72" s="475" t="str">
        <f>+IFERROR(ROUND(($AB72-AE72)*100,2)&amp;" pts.",0)</f>
        <v>-22.18 pts.</v>
      </c>
      <c r="AN72" s="556" t="str">
        <f>+IFERROR(ROUND(($AB72-AH72)*100,2)&amp;" pts.",0)</f>
        <v>-14.87 pts.</v>
      </c>
      <c r="AO72" s="11"/>
    </row>
    <row r="73" spans="1:41" ht="15" thickBot="1" x14ac:dyDescent="0.4">
      <c r="A73" s="11" t="s">
        <v>102</v>
      </c>
      <c r="B73" s="11"/>
      <c r="C73" s="196" t="s">
        <v>101</v>
      </c>
      <c r="D73" s="11" t="s">
        <v>107</v>
      </c>
      <c r="E73" s="11"/>
      <c r="F73" s="11" t="s">
        <v>99</v>
      </c>
      <c r="G73" s="11"/>
      <c r="H73" s="88" t="s">
        <v>81</v>
      </c>
      <c r="I73" s="136" t="str">
        <f>IF(_epmOfflineCondition_,"T3",_xll.EVPRO($B$1,$H73,"STYLE"))</f>
        <v>T3</v>
      </c>
      <c r="J73" s="136" t="str">
        <f>IF(_epmOfflineCondition_,"Y",_xll.EVPRO($B$1,$H73,"CALC"))</f>
        <v>Y</v>
      </c>
      <c r="K73" s="106"/>
      <c r="L73" s="106"/>
      <c r="M73" s="106"/>
      <c r="N73" s="106" t="str">
        <f>IF(_epmOfflineCondition_,"Department Profit (Loss)",IF(_xll.EVDES(H73,$B$1)="#NODATA","",_xll.EVDES(H73,$B$1)))</f>
        <v>Department Profit (Loss)</v>
      </c>
      <c r="O73" s="169">
        <v>5008.7</v>
      </c>
      <c r="P73" s="169">
        <v>5370.17</v>
      </c>
      <c r="Q73" s="169">
        <v>6298.95</v>
      </c>
      <c r="R73" s="169">
        <v>-457.98</v>
      </c>
      <c r="S73" s="169">
        <v>-663.1</v>
      </c>
      <c r="T73" s="169">
        <v>-102.29</v>
      </c>
      <c r="U73" s="169">
        <v>485.3</v>
      </c>
      <c r="V73" s="169">
        <v>2576.75</v>
      </c>
      <c r="W73" s="169">
        <v>1646.51</v>
      </c>
      <c r="X73" s="169">
        <v>3392.54</v>
      </c>
      <c r="Y73" s="169">
        <v>1647.42</v>
      </c>
      <c r="Z73" s="169">
        <v>2502.63</v>
      </c>
      <c r="AA73" s="169">
        <f>IF($I73="B1","",SUM(O73:Z73))</f>
        <v>27705.600000000002</v>
      </c>
      <c r="AB73" s="170">
        <f>IF(AA73=0,"",IFERROR(AA73/AA$19,""))</f>
        <v>0.52634378614320043</v>
      </c>
      <c r="AC73" s="140"/>
      <c r="AD73" s="169">
        <v>39569.566195280902</v>
      </c>
      <c r="AE73" s="170">
        <f>IF(AD73=0,"",IFERROR(AD73/AD$19,""))</f>
        <v>0.3114687498275639</v>
      </c>
      <c r="AF73" s="171">
        <f>IF(AND($AA73="",AD73=""),"",$AA73-AD73)</f>
        <v>-11863.9661952809</v>
      </c>
      <c r="AG73" s="169">
        <v>42191.49</v>
      </c>
      <c r="AH73" s="170">
        <f>IF(AG73=0,"",IFERROR(AG73/AG$19,""))</f>
        <v>0.38074618563369667</v>
      </c>
      <c r="AI73" s="171">
        <f>IF(AND($AA73="",AG73=""),"",$AA73-AG73)</f>
        <v>-14485.889999999996</v>
      </c>
      <c r="AJ73" s="477">
        <f>IFERROR(AA73/AA$20,0)</f>
        <v>1.3818254364089777</v>
      </c>
      <c r="AK73" s="478">
        <f>IFERROR(AD73/AD$20,0)</f>
        <v>1.046952406278103</v>
      </c>
      <c r="AL73" s="479">
        <f>IFERROR(AG73/AG$20,0)</f>
        <v>1.2831181193358068</v>
      </c>
      <c r="AM73" s="480" t="str">
        <f>+IFERROR(ROUND(($AB73-AE73)*100,2)&amp;" pts.",0)</f>
        <v>21.49 pts.</v>
      </c>
      <c r="AN73" s="557" t="str">
        <f>+IFERROR(ROUND(($AB73-AH73)*100,2)&amp;" pts.",0)</f>
        <v>14.56 pts.</v>
      </c>
      <c r="AO73" s="11"/>
    </row>
    <row r="74" spans="1:41" ht="15" thickTop="1" x14ac:dyDescent="0.35">
      <c r="A74" s="11" t="s">
        <v>108</v>
      </c>
      <c r="B74" s="11"/>
      <c r="C74" s="106" t="s">
        <v>101</v>
      </c>
      <c r="D74" s="11" t="s">
        <v>106</v>
      </c>
      <c r="E74" s="11"/>
      <c r="F74" s="11" t="s">
        <v>98</v>
      </c>
      <c r="G74" s="11"/>
      <c r="H74" s="11"/>
      <c r="I74" s="59"/>
      <c r="J74" s="59"/>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t="s">
        <v>108</v>
      </c>
      <c r="B75" s="11"/>
      <c r="C75" s="196" t="s">
        <v>101</v>
      </c>
      <c r="D75" s="11" t="s">
        <v>107</v>
      </c>
      <c r="E75" s="11"/>
      <c r="F75" s="11" t="s">
        <v>99</v>
      </c>
      <c r="G75" s="11"/>
      <c r="H75" s="11"/>
      <c r="I75" s="59"/>
      <c r="J75" s="59"/>
      <c r="K75" s="11"/>
      <c r="L75" s="11"/>
      <c r="M75" s="11"/>
      <c r="N75" s="104" t="str">
        <f>N72&amp;" - Check"</f>
        <v>Total Expenses - Check</v>
      </c>
      <c r="O75" s="209">
        <f t="shared" ref="O75:AA75" si="33">SUMIF($H$35:$H$73,"600000",O$35:O$73)+SUMIF($H$35:$H$73,"700000",O$35:O$73)-SUMIF($H$35:$H$73,"TOTDEPTEXP",O$35:O$73)</f>
        <v>0</v>
      </c>
      <c r="P75" s="209">
        <f t="shared" si="33"/>
        <v>0</v>
      </c>
      <c r="Q75" s="209">
        <f t="shared" si="33"/>
        <v>0</v>
      </c>
      <c r="R75" s="209">
        <f t="shared" si="33"/>
        <v>0</v>
      </c>
      <c r="S75" s="209">
        <f t="shared" si="33"/>
        <v>0</v>
      </c>
      <c r="T75" s="209">
        <f t="shared" si="33"/>
        <v>0</v>
      </c>
      <c r="U75" s="209">
        <f t="shared" si="33"/>
        <v>0</v>
      </c>
      <c r="V75" s="209">
        <f t="shared" si="33"/>
        <v>0</v>
      </c>
      <c r="W75" s="209">
        <f t="shared" si="33"/>
        <v>0</v>
      </c>
      <c r="X75" s="209">
        <f t="shared" si="33"/>
        <v>0</v>
      </c>
      <c r="Y75" s="209">
        <f t="shared" si="33"/>
        <v>0</v>
      </c>
      <c r="Z75" s="209">
        <f t="shared" si="33"/>
        <v>0</v>
      </c>
      <c r="AA75" s="209">
        <f t="shared" si="33"/>
        <v>0</v>
      </c>
      <c r="AB75" s="100"/>
      <c r="AC75" s="11"/>
      <c r="AD75" s="209">
        <f>SUMIF($H$35:$H$73,"600000",AD$35:AD$73)+SUMIF($H$35:$H$73,"700000",AD$35:AD$73)-SUMIF($H$35:$H$73,"TOTDEPTEXP",AD$35:AD$73)</f>
        <v>0</v>
      </c>
      <c r="AE75" s="100"/>
      <c r="AF75" s="91"/>
      <c r="AG75" s="209">
        <f>SUMIF($H$35:$H$73,"600000",AG$35:AG$73)+SUMIF($H$35:$H$73,"700000",AG$35:AG$73)-SUMIF($H$35:$H$73,"TOTDEPTEXP",AG$35:AG$73)</f>
        <v>0</v>
      </c>
      <c r="AH75" s="100"/>
      <c r="AI75" s="91"/>
      <c r="AJ75" s="11"/>
      <c r="AK75" s="11"/>
      <c r="AL75" s="11"/>
      <c r="AM75" s="11"/>
      <c r="AN75" s="11"/>
      <c r="AO75" s="11"/>
    </row>
    <row r="76" spans="1:41" x14ac:dyDescent="0.35">
      <c r="A76" s="11"/>
      <c r="B76" s="11"/>
      <c r="C76" s="11"/>
      <c r="D76" s="11"/>
      <c r="E76" s="11"/>
      <c r="F76" s="11"/>
      <c r="G76" s="11"/>
      <c r="H76" s="11"/>
      <c r="I76" s="59"/>
      <c r="J76" s="59"/>
      <c r="K76" s="11"/>
      <c r="L76" s="11"/>
      <c r="M76" s="11"/>
      <c r="N76" s="104" t="str">
        <f>N73&amp;" - Check"</f>
        <v>Department Profit (Loss) - Check</v>
      </c>
      <c r="O76" s="209">
        <f t="shared" ref="O76:AA76" si="34">SUMIF($H$35:$H$73,"KPI_GP",O$35:O$73)-SUMIF($H$35:$H$73,"TOTDEPTEXP",O$35:O$73)-SUMIF($H$35:$H$73,"TOTDEPTPL",O$35:O$73)</f>
        <v>0</v>
      </c>
      <c r="P76" s="209">
        <f t="shared" si="34"/>
        <v>0</v>
      </c>
      <c r="Q76" s="209">
        <f t="shared" si="34"/>
        <v>0</v>
      </c>
      <c r="R76" s="209">
        <f t="shared" si="34"/>
        <v>0</v>
      </c>
      <c r="S76" s="209">
        <f t="shared" si="34"/>
        <v>0</v>
      </c>
      <c r="T76" s="209">
        <f t="shared" si="34"/>
        <v>0</v>
      </c>
      <c r="U76" s="209">
        <f t="shared" si="34"/>
        <v>0</v>
      </c>
      <c r="V76" s="209">
        <f t="shared" si="34"/>
        <v>0</v>
      </c>
      <c r="W76" s="209">
        <f t="shared" si="34"/>
        <v>0</v>
      </c>
      <c r="X76" s="209">
        <f t="shared" si="34"/>
        <v>0</v>
      </c>
      <c r="Y76" s="209">
        <f t="shared" si="34"/>
        <v>0</v>
      </c>
      <c r="Z76" s="209">
        <f t="shared" si="34"/>
        <v>0</v>
      </c>
      <c r="AA76" s="209">
        <f t="shared" si="34"/>
        <v>0</v>
      </c>
      <c r="AB76" s="100"/>
      <c r="AC76" s="11"/>
      <c r="AD76" s="209">
        <f>SUMIF($H$35:$H$73,"KPI_GP",AD$35:AD$73)-SUMIF($H$35:$H$73,"TOTDEPTEXP",AD$35:AD$73)-SUMIF($H$35:$H$73,"TOTDEPTPL",AD$35:AD$73)</f>
        <v>0</v>
      </c>
      <c r="AE76" s="100"/>
      <c r="AF76" s="91"/>
      <c r="AG76" s="209">
        <f>SUMIF($H$35:$H$73,"KPI_GP",AG$35:AG$73)-SUMIF($H$35:$H$73,"TOTDEPTEXP",AG$35:AG$73)-SUMIF($H$35:$H$73,"TOTDEPTPL",AG$35:AG$73)</f>
        <v>0</v>
      </c>
      <c r="AH76" s="100"/>
      <c r="AI76" s="91"/>
      <c r="AJ76" s="11"/>
      <c r="AK76" s="11"/>
      <c r="AL76" s="11"/>
      <c r="AM76" s="11"/>
      <c r="AN76" s="11"/>
      <c r="AO76" s="11"/>
    </row>
    <row r="77" spans="1:41" x14ac:dyDescent="0.35">
      <c r="A77" s="11"/>
      <c r="B77" s="11"/>
      <c r="C77" s="208"/>
      <c r="D77" s="11"/>
      <c r="E77" s="11"/>
      <c r="F77" s="11"/>
      <c r="G77" s="11"/>
      <c r="H77" s="11"/>
      <c r="I77" s="59"/>
      <c r="J77" s="59"/>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1" t="str">
        <f>IF(_epmOfflineCondition_,"Evdre:Ok",_xll.EVDRE($B$1,A81:B88,A91:B97))</f>
        <v>Evdre:Ok</v>
      </c>
      <c r="B78" s="11"/>
      <c r="C78" s="11"/>
      <c r="D78" s="11"/>
      <c r="E78" s="11"/>
      <c r="F78" s="11"/>
      <c r="G78" s="11"/>
      <c r="H78" s="11"/>
      <c r="I78" s="59"/>
      <c r="J78" s="59"/>
      <c r="K78" s="11"/>
      <c r="L78" s="11"/>
      <c r="M78" s="11"/>
      <c r="N78" s="11"/>
      <c r="O78" s="137"/>
      <c r="P78" s="137"/>
      <c r="Q78" s="137"/>
      <c r="R78" s="137"/>
      <c r="S78" s="137"/>
      <c r="T78" s="137"/>
      <c r="U78" s="137"/>
      <c r="V78" s="137"/>
      <c r="W78" s="137"/>
      <c r="X78" s="137"/>
      <c r="Y78" s="137"/>
      <c r="Z78" s="137"/>
      <c r="AA78" s="137"/>
      <c r="AB78" s="11"/>
      <c r="AC78" s="11"/>
      <c r="AD78" s="137"/>
      <c r="AE78" s="11"/>
      <c r="AF78" s="11"/>
      <c r="AG78" s="137"/>
      <c r="AH78" s="11"/>
      <c r="AI78" s="11"/>
      <c r="AJ78" s="11"/>
      <c r="AK78" s="11"/>
      <c r="AL78" s="11"/>
      <c r="AM78" s="11"/>
      <c r="AN78" s="11"/>
      <c r="AO78" s="11"/>
    </row>
    <row r="79" spans="1:41" x14ac:dyDescent="0.35">
      <c r="A79" s="11"/>
      <c r="B79" s="11"/>
      <c r="C79" s="11"/>
      <c r="D79" s="11"/>
      <c r="E79" s="11"/>
      <c r="F79" s="11"/>
      <c r="G79" s="11"/>
      <c r="H79" s="11"/>
      <c r="I79" s="59"/>
      <c r="J79" s="59"/>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2" t="s">
        <v>0</v>
      </c>
      <c r="B80" s="63" t="s">
        <v>1</v>
      </c>
      <c r="C80" s="11"/>
      <c r="D80" s="11"/>
      <c r="E80" s="11"/>
      <c r="F80" s="11"/>
      <c r="G80" s="11"/>
      <c r="H80" s="11"/>
      <c r="I80" s="59"/>
      <c r="J80" s="59"/>
      <c r="K80" s="11"/>
      <c r="L80" s="11"/>
      <c r="M80" s="11"/>
      <c r="N80" s="11"/>
      <c r="O80" s="137"/>
      <c r="P80" s="137"/>
      <c r="Q80" s="137"/>
      <c r="R80" s="137"/>
      <c r="S80" s="137"/>
      <c r="T80" s="137"/>
      <c r="U80" s="137"/>
      <c r="V80" s="137"/>
      <c r="W80" s="137"/>
      <c r="X80" s="137"/>
      <c r="Y80" s="137"/>
      <c r="Z80" s="137"/>
      <c r="AA80" s="137"/>
      <c r="AB80" s="11"/>
      <c r="AC80" s="11"/>
      <c r="AD80" s="137"/>
      <c r="AE80" s="11"/>
      <c r="AF80" s="11"/>
      <c r="AG80" s="137"/>
      <c r="AH80" s="11"/>
      <c r="AI80" s="11"/>
      <c r="AJ80" s="11"/>
      <c r="AK80" s="11"/>
      <c r="AL80" s="11"/>
      <c r="AM80" s="11"/>
      <c r="AN80" s="11"/>
      <c r="AO80" s="11"/>
    </row>
    <row r="81" spans="1:41" x14ac:dyDescent="0.35">
      <c r="A81" s="65" t="s">
        <v>2</v>
      </c>
      <c r="B81" s="66" t="str">
        <f>IF(_epmOfflineCondition_,"'Mini_Bar'!$B$2:$B$10",_xll.EVRNG($B$2:$B$10))</f>
        <v>'Mini_Bar'!$B$2:$B$10</v>
      </c>
      <c r="C81" s="11"/>
      <c r="D81" s="11"/>
      <c r="E81" s="11"/>
      <c r="F81" s="11"/>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3</v>
      </c>
      <c r="B82" s="66" t="str">
        <f>IF(_epmOfflineCondition_,"'Mini_Bar'!$O$16:$AN$18",_xll.EVRNG($O$16:$AN$18))</f>
        <v>'Mini_Bar'!$O$16:$AN$18</v>
      </c>
      <c r="C82" s="11"/>
      <c r="D82" s="11"/>
      <c r="E82" s="11"/>
      <c r="F82" s="11"/>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4</v>
      </c>
      <c r="B83" s="66" t="str">
        <f>IF(_epmOfflineCondition_,"'Mini_Bar'!$H$55:$H$56,'Mini_Bar'!$H$58:$H$65,'Mini_Bar'!$H$68:$H$69",_xll.EVRNG(H55:H56,H58:H65,H68:H69))</f>
        <v>'Mini_Bar'!$H$55:$H$56,'Mini_Bar'!$H$58:$H$65,'Mini_Bar'!$H$68:$H$69</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5</v>
      </c>
      <c r="B84" s="66"/>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6</v>
      </c>
      <c r="B85" s="66"/>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7</v>
      </c>
      <c r="B86" s="66" t="str">
        <f>IF(_epmOfflineCondition_,"'Mini_Bar'!$A$100:$F$106",_xll.EVRNG(A100:F106))</f>
        <v>'Mini_Bar'!$A$100:$F$106</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47</v>
      </c>
      <c r="B87" s="66" t="str">
        <f>IF(_epmOfflineCondition_,"'Mini_Bar'!$A$123:$B$144",_xll.EVRNG($A$123:$B$144))</f>
        <v>'Mini_Bar'!$A$123:$B$144</v>
      </c>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8</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2" t="s">
        <v>9</v>
      </c>
      <c r="B90" s="63" t="s">
        <v>10</v>
      </c>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5" t="s">
        <v>11</v>
      </c>
      <c r="B91" s="66" t="s">
        <v>21</v>
      </c>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5" t="s">
        <v>12</v>
      </c>
      <c r="B92" s="66" t="s">
        <v>22</v>
      </c>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13</v>
      </c>
      <c r="B93" s="66" t="s">
        <v>737</v>
      </c>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14</v>
      </c>
      <c r="B94" s="66"/>
      <c r="C94" s="11"/>
      <c r="D94" s="11"/>
      <c r="E94" s="11"/>
      <c r="F94" s="11"/>
      <c r="G94" s="76"/>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15</v>
      </c>
      <c r="B95" s="66"/>
      <c r="C95" s="11"/>
      <c r="D95" s="11"/>
      <c r="E95" s="11"/>
      <c r="F95" s="11"/>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16</v>
      </c>
      <c r="B96" s="66" t="s">
        <v>78</v>
      </c>
      <c r="C96" s="11"/>
      <c r="D96" s="11"/>
      <c r="E96" s="11"/>
      <c r="F96" s="11"/>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17</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97" t="s">
        <v>92</v>
      </c>
      <c r="B99" s="98" t="s">
        <v>93</v>
      </c>
      <c r="C99" s="98" t="s">
        <v>94</v>
      </c>
      <c r="D99" s="98" t="s">
        <v>95</v>
      </c>
      <c r="E99" s="98" t="s">
        <v>96</v>
      </c>
      <c r="F99" s="99" t="s">
        <v>97</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t="s">
        <v>108</v>
      </c>
      <c r="B101" s="11"/>
      <c r="C101" s="104" t="s">
        <v>101</v>
      </c>
      <c r="D101" s="11" t="s">
        <v>106</v>
      </c>
      <c r="E101" s="11"/>
      <c r="F101" s="11" t="s">
        <v>98</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t="s">
        <v>100</v>
      </c>
      <c r="B102" s="11"/>
      <c r="C102" s="53" t="s">
        <v>101</v>
      </c>
      <c r="D102" s="11" t="s">
        <v>106</v>
      </c>
      <c r="E102" s="11"/>
      <c r="F102" s="11" t="s">
        <v>98</v>
      </c>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t="s">
        <v>109</v>
      </c>
      <c r="B103" s="11"/>
      <c r="C103" s="106"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t="s">
        <v>109</v>
      </c>
      <c r="B104" s="11"/>
      <c r="C104" s="196" t="s">
        <v>101</v>
      </c>
      <c r="D104" s="11" t="s">
        <v>107</v>
      </c>
      <c r="E104" s="11"/>
      <c r="F104" s="11" t="s">
        <v>99</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t="s">
        <v>110</v>
      </c>
      <c r="B105" s="11"/>
      <c r="C105" s="106" t="s">
        <v>101</v>
      </c>
      <c r="D105" s="11" t="s">
        <v>106</v>
      </c>
      <c r="E105" s="11"/>
      <c r="F105" s="11" t="s">
        <v>98</v>
      </c>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t="s">
        <v>110</v>
      </c>
      <c r="B106" s="11"/>
      <c r="C106" s="109"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208"/>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c r="B108" s="11"/>
      <c r="C108" s="11"/>
      <c r="D108" s="11"/>
      <c r="E108" s="11"/>
      <c r="F108" s="11"/>
      <c r="G108" s="76"/>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1" t="str">
        <f>IF(_epmOfflineCondition_,"Evdre:Ok",_xll.EVDRE($B$1,A112:B119))</f>
        <v>Evdre:Ok</v>
      </c>
      <c r="B109" s="11" t="s">
        <v>736</v>
      </c>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2" t="s">
        <v>0</v>
      </c>
      <c r="B111" s="63" t="s">
        <v>1</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2</v>
      </c>
      <c r="B112" s="66" t="str">
        <f>IF(_epmOfflineCondition_,"'Mini_Bar'!$B$2:$B$10",_xll.EVRNG($B$2:$B$10))</f>
        <v>'Mini_Bar'!$B$2:$B$10</v>
      </c>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5" t="s">
        <v>3</v>
      </c>
      <c r="B113" s="66" t="str">
        <f>IF(_epmOfflineCondition_,"'Mini_Bar'!$O$16:$AN$18",_xll.EVRNG($O$16:$AN$18))</f>
        <v>'Mini_Bar'!$O$16:$AN$18</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4</v>
      </c>
      <c r="B114" s="66" t="str">
        <f>IF(_epmOfflineCondition_,"'Mini_Bar'!$H$70:$H$73",_xll.EVRNG(H70:H73))</f>
        <v>'Mini_Bar'!$H$70:$H$73</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5</v>
      </c>
      <c r="B115" s="66"/>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6</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7</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47</v>
      </c>
      <c r="B118" s="66" t="str">
        <f>IF(_epmOfflineCondition_,"'Mini_Bar'!$A$123:$B$144",_xll.EVRNG($A$123:$B$144))</f>
        <v>'Mini_Bar'!$A$123:$B$144</v>
      </c>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2" t="s">
        <v>23</v>
      </c>
      <c r="B122" s="63" t="s">
        <v>24</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25</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26</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27</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28</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29</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30</v>
      </c>
      <c r="B128" s="66" t="s">
        <v>78</v>
      </c>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31</v>
      </c>
      <c r="B129" s="66" t="s">
        <v>78</v>
      </c>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32</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33</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34</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35</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36</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37</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38</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39</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65" t="s">
        <v>40</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65" t="s">
        <v>41</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65" t="s">
        <v>42</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65" t="s">
        <v>43</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65" t="s">
        <v>44</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65" t="s">
        <v>45</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65" t="s">
        <v>46</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267"/>
      <c r="J146" s="11"/>
      <c r="K146" s="267"/>
      <c r="L146" s="267"/>
      <c r="M146" s="267"/>
      <c r="N146" s="11"/>
      <c r="O146" s="267"/>
      <c r="P146" s="267"/>
      <c r="Q146" s="267"/>
      <c r="R146" s="267"/>
      <c r="S146" s="267"/>
      <c r="T146" s="267"/>
      <c r="U146" s="267"/>
      <c r="V146" s="267"/>
      <c r="W146" s="267"/>
      <c r="X146" s="267"/>
      <c r="Y146" s="267"/>
      <c r="Z146" s="267"/>
      <c r="AA146" s="267"/>
      <c r="AB146" s="11"/>
      <c r="AC146" s="11"/>
      <c r="AD146" s="267"/>
      <c r="AE146" s="11"/>
      <c r="AF146" s="267"/>
      <c r="AG146" s="11"/>
      <c r="AH146" s="267"/>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267"/>
      <c r="J150" s="11"/>
      <c r="K150" s="267"/>
      <c r="L150" s="267"/>
      <c r="M150" s="267"/>
      <c r="N150" s="11"/>
      <c r="O150" s="267"/>
      <c r="P150" s="267"/>
      <c r="Q150" s="267"/>
      <c r="R150" s="267"/>
      <c r="S150" s="267"/>
      <c r="T150" s="267"/>
      <c r="U150" s="267"/>
      <c r="V150" s="267"/>
      <c r="W150" s="267"/>
      <c r="X150" s="267"/>
      <c r="Y150" s="267"/>
      <c r="Z150" s="267"/>
      <c r="AA150" s="267"/>
      <c r="AB150" s="11"/>
      <c r="AC150" s="11"/>
      <c r="AD150" s="267"/>
      <c r="AE150" s="11"/>
      <c r="AF150" s="267"/>
      <c r="AG150" s="11"/>
      <c r="AH150" s="267"/>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267"/>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267"/>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267"/>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267"/>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sheetData>
  <sheetProtection algorithmName="SHA-512" hashValue="FEdBOEtXlqUlMdhXkx/U4gzue2X+bTjpVj1PIRM2s3j9tiekrYboMlnhTvrSRVi/5TtYGiGFfxNBTbdCVSq3Mg==" saltValue="r40b7DCe4m55cpSmPZ4OCA==" spinCount="100000" sheet="1" scenarios="1"/>
  <mergeCells count="2">
    <mergeCell ref="AD31:AE31"/>
    <mergeCell ref="AG31:AH31"/>
  </mergeCells>
  <dataValidations disablePrompts="1" count="2">
    <dataValidation type="list" allowBlank="1" sqref="B93 B29 B61" xr:uid="{00000000-0002-0000-1D00-000000000000}">
      <formula1>"SELF,ALL,BAS,DEP,BASMEMBERS,MEMBERS,NOEXPAND,GDEP"</formula1>
    </dataValidation>
    <dataValidation type="list" allowBlank="1" sqref="B60 B28 B92" xr:uid="{00000000-0002-0000-1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491"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20491" r:id="rId7" name="FPMExcelClientSheetOptionstb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4">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1" hidden="1" customWidth="1" outlineLevel="1"/>
    <col min="13" max="13" width="36.7265625" style="1" customWidth="1" collapsed="1"/>
    <col min="14" max="25" width="11.7265625" style="1" customWidth="1" outlineLevel="1"/>
    <col min="26" max="26" width="12.7265625" style="1" customWidth="1"/>
    <col min="27" max="27" width="7.7265625" style="1" customWidth="1"/>
    <col min="28" max="28" width="1.7265625" style="1" customWidth="1"/>
    <col min="29" max="29" width="12.7265625" style="1" customWidth="1"/>
    <col min="30" max="30" width="7.7265625" style="1" customWidth="1"/>
    <col min="31" max="31" width="11.7265625" style="1" customWidth="1"/>
    <col min="32" max="32" width="12.7265625" style="1" customWidth="1"/>
    <col min="33" max="33" width="7.7265625" style="1" customWidth="1"/>
    <col min="34" max="34" width="11.7265625" style="1" customWidth="1"/>
    <col min="35" max="39" width="9.1796875" style="1" hidden="1" customWidth="1" outlineLevel="1"/>
    <col min="40" max="40" width="9.1796875" style="1" collapsed="1"/>
    <col min="41" max="16384" width="9.1796875" style="1"/>
  </cols>
  <sheetData>
    <row r="1" spans="1:42"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row>
    <row r="2" spans="1:42"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row>
    <row r="3" spans="1:42"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row>
    <row r="4" spans="1:42"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row>
    <row r="6" spans="1:42" hidden="1" outlineLevel="1" x14ac:dyDescent="0.35">
      <c r="A6" s="53" t="s">
        <v>52</v>
      </c>
      <c r="B6" s="56" t="s">
        <v>463</v>
      </c>
      <c r="C6" s="11" t="str">
        <f>IF(_epmOfflineCondition_,"Other Operated Departments",_xll.EVDES(B6,$B$1))</f>
        <v>Other Operated Departments</v>
      </c>
      <c r="D6" s="11"/>
      <c r="E6" s="58" t="str">
        <f>IF(_epmOfflineCondition_,"",_xll.EVPRO($B$1,$B$6,$F$6))</f>
        <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row>
    <row r="9" spans="1:42"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row>
    <row r="10" spans="1:42"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row>
    <row r="11" spans="1:42" hidden="1" outlineLevel="1" x14ac:dyDescent="0.35">
      <c r="A11" s="11"/>
      <c r="B11" s="53"/>
      <c r="C11" s="11"/>
      <c r="D11" s="11"/>
      <c r="E11" s="11"/>
      <c r="F11" s="11"/>
      <c r="G11" s="11"/>
      <c r="H11" s="11"/>
      <c r="I11" s="59"/>
      <c r="J11" s="59"/>
      <c r="K11" s="11"/>
      <c r="L11" s="58" t="str">
        <f>IF(LEFT(SetUp!$D$6,3)="ALT","Y","N")</f>
        <v>N</v>
      </c>
      <c r="M11" s="11" t="s">
        <v>800</v>
      </c>
      <c r="N11" s="60" t="str">
        <f>IF(_epmOfflineCondition_,"ACTUAL_CON",IF(N13&lt;$F$4,_xll.EVPRO($B$1,$B$4,"COMPARISON"),$B$4))</f>
        <v>ACTUAL_CON</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11"/>
      <c r="AA11" s="11"/>
      <c r="AB11" s="11"/>
      <c r="AC11" s="11"/>
      <c r="AD11" s="11"/>
      <c r="AE11" s="11"/>
      <c r="AF11" s="11"/>
      <c r="AG11" s="11"/>
      <c r="AH11" s="11"/>
      <c r="AI11" s="11"/>
      <c r="AJ11" s="11"/>
      <c r="AK11" s="11"/>
      <c r="AL11" s="11"/>
      <c r="AM11" s="11"/>
      <c r="AN11" s="11"/>
      <c r="AO11" s="11"/>
      <c r="AP11" s="11"/>
    </row>
    <row r="12" spans="1:42" hidden="1" outlineLevel="1" x14ac:dyDescent="0.35">
      <c r="A12" s="11" t="s">
        <v>115</v>
      </c>
      <c r="B12" s="58" t="str">
        <f>IF(_epmOfflineCondition_,"2020",_xll.EVPRO($B$1,$B$10,"YEAR"))</f>
        <v>2020</v>
      </c>
      <c r="C12" s="11"/>
      <c r="D12" s="11"/>
      <c r="E12" s="11"/>
      <c r="F12" s="11"/>
      <c r="G12" s="11"/>
      <c r="H12" s="11"/>
      <c r="I12" s="59"/>
      <c r="J12" s="59"/>
      <c r="K12" s="11"/>
      <c r="L12" s="59"/>
      <c r="M12" s="11" t="s">
        <v>597</v>
      </c>
      <c r="N12" s="4" t="str">
        <f>IF(_epmOfflineCondition_,"Y",_xll.EVPRO($B$1,N$16,$M$12))</f>
        <v>Y</v>
      </c>
      <c r="O12" s="4" t="str">
        <f>IF(_epmOfflineCondition_,"Y",_xll.EVPRO($B$1,O$16,$M$12))</f>
        <v>Y</v>
      </c>
      <c r="P12" s="4" t="str">
        <f>IF(_epmOfflineCondition_,"Y",_xll.EVPRO($B$1,P$16,$M$12))</f>
        <v>Y</v>
      </c>
      <c r="Q12" s="4" t="str">
        <f>IF(_epmOfflineCondition_,"Y",_xll.EVPRO($B$1,Q$16,$M$12))</f>
        <v>Y</v>
      </c>
      <c r="R12" s="4" t="str">
        <f>IF(_epmOfflineCondition_,"Y",_xll.EVPRO($B$1,R$16,$M$12))</f>
        <v>Y</v>
      </c>
      <c r="S12" s="4" t="str">
        <f>IF(_epmOfflineCondition_,"Y",_xll.EVPRO($B$1,S$16,$M$12))</f>
        <v>Y</v>
      </c>
      <c r="T12" s="4" t="str">
        <f>IF(_epmOfflineCondition_,"Y",_xll.EVPRO($B$1,T$16,$M$12))</f>
        <v>Y</v>
      </c>
      <c r="U12" s="4" t="str">
        <f>IF(_epmOfflineCondition_,"Y",_xll.EVPRO($B$1,U$16,$M$12))</f>
        <v>Y</v>
      </c>
      <c r="V12" s="4" t="str">
        <f>IF(_epmOfflineCondition_,"Y",_xll.EVPRO($B$1,V$16,$M$12))</f>
        <v>Y</v>
      </c>
      <c r="W12" s="4" t="str">
        <f>IF(_epmOfflineCondition_,"Y",_xll.EVPRO($B$1,W$16,$M$12))</f>
        <v>Y</v>
      </c>
      <c r="X12" s="4" t="str">
        <f>IF(_epmOfflineCondition_,"Y",_xll.EVPRO($B$1,X$16,$M$12))</f>
        <v>Y</v>
      </c>
      <c r="Y12" s="4" t="str">
        <f>IF(_epmOfflineCondition_,"Y",_xll.EVPRO($B$1,Y$16,$M$12))</f>
        <v>Y</v>
      </c>
      <c r="Z12" s="4" t="str">
        <f>IF(_epmOfflineCondition_,"",_xll.EVPRO($B$1,Z$16,$M$12))</f>
        <v/>
      </c>
      <c r="AA12" s="11"/>
      <c r="AB12" s="11"/>
      <c r="AC12" s="4" t="str">
        <f>IF(_epmOfflineCondition_,"",_xll.EVPRO($B$1,AC$16,$M$12))</f>
        <v/>
      </c>
      <c r="AD12" s="11"/>
      <c r="AE12" s="11"/>
      <c r="AF12" s="4" t="str">
        <f>IF(_epmOfflineCondition_,"",_xll.EVPRO($B$1,AF$16,$M$12))</f>
        <v/>
      </c>
      <c r="AG12" s="11"/>
      <c r="AH12" s="11"/>
      <c r="AI12" s="11"/>
      <c r="AJ12" s="11"/>
      <c r="AK12" s="11"/>
      <c r="AL12" s="11"/>
      <c r="AM12" s="11"/>
      <c r="AN12" s="11"/>
      <c r="AO12" s="11"/>
      <c r="AP12" s="11"/>
    </row>
    <row r="13" spans="1:42"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11" t="s">
        <v>598</v>
      </c>
      <c r="N13" s="5" t="str">
        <f>IF(_epmOfflineCondition_,"20200100",_xll.EVPRO($B$1,N16,"TIMEID"))</f>
        <v>20200100</v>
      </c>
      <c r="O13" s="5" t="str">
        <f>IF(_epmOfflineCondition_,"20200200",_xll.EVPRO($B$1,O16,"TIMEID"))</f>
        <v>20200200</v>
      </c>
      <c r="P13" s="5" t="str">
        <f>IF(_epmOfflineCondition_,"20200300",_xll.EVPRO($B$1,P16,"TIMEID"))</f>
        <v>20200300</v>
      </c>
      <c r="Q13" s="5" t="str">
        <f>IF(_epmOfflineCondition_,"20200400",_xll.EVPRO($B$1,Q16,"TIMEID"))</f>
        <v>20200400</v>
      </c>
      <c r="R13" s="5" t="str">
        <f>IF(_epmOfflineCondition_,"20200500",_xll.EVPRO($B$1,R16,"TIMEID"))</f>
        <v>20200500</v>
      </c>
      <c r="S13" s="5" t="str">
        <f>IF(_epmOfflineCondition_,"20200600",_xll.EVPRO($B$1,S16,"TIMEID"))</f>
        <v>20200600</v>
      </c>
      <c r="T13" s="5" t="str">
        <f>IF(_epmOfflineCondition_,"20200700",_xll.EVPRO($B$1,T16,"TIMEID"))</f>
        <v>20200700</v>
      </c>
      <c r="U13" s="5" t="str">
        <f>IF(_epmOfflineCondition_,"20200800",_xll.EVPRO($B$1,U16,"TIMEID"))</f>
        <v>20200800</v>
      </c>
      <c r="V13" s="5" t="str">
        <f>IF(_epmOfflineCondition_,"20200900",_xll.EVPRO($B$1,V16,"TIMEID"))</f>
        <v>20200900</v>
      </c>
      <c r="W13" s="5" t="str">
        <f>IF(_epmOfflineCondition_,"20201000",_xll.EVPRO($B$1,W16,"TIMEID"))</f>
        <v>20201000</v>
      </c>
      <c r="X13" s="5" t="str">
        <f>IF(_epmOfflineCondition_,"20201100",_xll.EVPRO($B$1,X16,"TIMEID"))</f>
        <v>20201100</v>
      </c>
      <c r="Y13" s="5" t="str">
        <f>IF(_epmOfflineCondition_,"20201200",_xll.EVPRO($B$1,Y16,"TIMEID"))</f>
        <v>20201200</v>
      </c>
      <c r="Z13" s="5" t="str">
        <f>IF(_epmOfflineCondition_,"10000159",_xll.EVPRO($B$1,Z16,"TIMEID"))</f>
        <v>10000159</v>
      </c>
      <c r="AA13" s="11"/>
      <c r="AB13" s="11"/>
      <c r="AC13" s="5" t="str">
        <f>IF(_epmOfflineCondition_,"10000159",_xll.EVPRO($B$1,AC16,"TIMEID"))</f>
        <v>10000159</v>
      </c>
      <c r="AD13" s="11"/>
      <c r="AE13" s="11"/>
      <c r="AF13" s="5" t="str">
        <f>IF(_epmOfflineCondition_,"10000149",_xll.EVPRO($B$1,AF16,"TIMEID"))</f>
        <v>10000149</v>
      </c>
      <c r="AG13" s="11"/>
      <c r="AH13" s="11"/>
      <c r="AI13" s="11"/>
      <c r="AJ13" s="11"/>
      <c r="AK13" s="11"/>
      <c r="AL13" s="11"/>
      <c r="AM13" s="11"/>
      <c r="AN13" s="11"/>
      <c r="AO13" s="11"/>
      <c r="AP13" s="11"/>
    </row>
    <row r="14" spans="1:42" hidden="1" outlineLevel="1" x14ac:dyDescent="0.35">
      <c r="A14" s="61" t="str">
        <f>IF(_epmOfflineCondition_,"Evdre:Ok",_xll.EVDRE($B$1,A17:B24,A27:C33))</f>
        <v>Evdre:Ok</v>
      </c>
      <c r="B14" s="11"/>
      <c r="C14" s="11"/>
      <c r="D14" s="11"/>
      <c r="E14" s="11"/>
      <c r="F14" s="11"/>
      <c r="G14" s="11"/>
      <c r="H14" s="11"/>
      <c r="I14" s="59"/>
      <c r="J14" s="59"/>
      <c r="K14" s="11"/>
      <c r="L14" s="59"/>
      <c r="M14" s="11" t="s">
        <v>599</v>
      </c>
      <c r="N14" s="5" t="s">
        <v>603</v>
      </c>
      <c r="O14" s="5" t="s">
        <v>604</v>
      </c>
      <c r="P14" s="5" t="s">
        <v>605</v>
      </c>
      <c r="Q14" s="5" t="s">
        <v>606</v>
      </c>
      <c r="R14" s="5" t="s">
        <v>607</v>
      </c>
      <c r="S14" s="5" t="s">
        <v>608</v>
      </c>
      <c r="T14" s="5" t="s">
        <v>609</v>
      </c>
      <c r="U14" s="5" t="s">
        <v>610</v>
      </c>
      <c r="V14" s="5" t="s">
        <v>611</v>
      </c>
      <c r="W14" s="5" t="s">
        <v>612</v>
      </c>
      <c r="X14" s="5" t="s">
        <v>613</v>
      </c>
      <c r="Y14" s="5" t="s">
        <v>614</v>
      </c>
      <c r="Z14" s="5" t="s">
        <v>116</v>
      </c>
      <c r="AA14" s="11"/>
      <c r="AB14" s="11"/>
      <c r="AC14" s="5" t="s">
        <v>116</v>
      </c>
      <c r="AD14" s="11"/>
      <c r="AE14" s="11"/>
      <c r="AF14" s="5" t="s">
        <v>116</v>
      </c>
      <c r="AG14" s="11"/>
      <c r="AH14" s="11"/>
      <c r="AI14" s="11"/>
      <c r="AJ14" s="11"/>
      <c r="AK14" s="11"/>
      <c r="AL14" s="11"/>
      <c r="AM14" s="11"/>
      <c r="AN14" s="11"/>
      <c r="AO14" s="11"/>
      <c r="AP14" s="11"/>
    </row>
    <row r="15" spans="1:42" hidden="1" outlineLevel="1" x14ac:dyDescent="0.35">
      <c r="A15" s="11"/>
      <c r="B15" s="11"/>
      <c r="C15" s="11"/>
      <c r="D15" s="11"/>
      <c r="E15" s="11"/>
      <c r="F15" s="11"/>
      <c r="G15" s="11"/>
      <c r="H15" s="11"/>
      <c r="I15" s="59"/>
      <c r="J15" s="59"/>
      <c r="K15" s="11"/>
      <c r="L15" s="59"/>
      <c r="M15" s="11" t="s">
        <v>600</v>
      </c>
      <c r="N15" s="6" t="s">
        <v>615</v>
      </c>
      <c r="O15" s="6" t="s">
        <v>616</v>
      </c>
      <c r="P15" s="7" t="s">
        <v>617</v>
      </c>
      <c r="Q15" s="7" t="s">
        <v>618</v>
      </c>
      <c r="R15" s="7" t="s">
        <v>619</v>
      </c>
      <c r="S15" s="7" t="s">
        <v>620</v>
      </c>
      <c r="T15" s="7" t="s">
        <v>621</v>
      </c>
      <c r="U15" s="7" t="s">
        <v>622</v>
      </c>
      <c r="V15" s="7" t="s">
        <v>623</v>
      </c>
      <c r="W15" s="7" t="s">
        <v>624</v>
      </c>
      <c r="X15" s="7" t="s">
        <v>625</v>
      </c>
      <c r="Y15" s="7" t="s">
        <v>626</v>
      </c>
      <c r="Z15" s="5" t="s">
        <v>116</v>
      </c>
      <c r="AA15" s="11"/>
      <c r="AB15" s="11"/>
      <c r="AC15" s="5" t="s">
        <v>116</v>
      </c>
      <c r="AD15" s="11"/>
      <c r="AE15" s="11"/>
      <c r="AF15" s="5" t="s">
        <v>116</v>
      </c>
      <c r="AG15" s="11"/>
      <c r="AH15" s="11"/>
      <c r="AI15" s="11"/>
      <c r="AJ15" s="11"/>
      <c r="AK15" s="11"/>
      <c r="AL15" s="11"/>
      <c r="AM15" s="11"/>
      <c r="AN15" s="11"/>
      <c r="AO15" s="11"/>
      <c r="AP15" s="11"/>
    </row>
    <row r="16" spans="1:42" hidden="1" outlineLevel="1" x14ac:dyDescent="0.35">
      <c r="A16" s="62" t="s">
        <v>0</v>
      </c>
      <c r="B16" s="63" t="s">
        <v>1</v>
      </c>
      <c r="C16" s="11"/>
      <c r="D16" s="11"/>
      <c r="E16" s="11"/>
      <c r="F16" s="11"/>
      <c r="G16" s="11"/>
      <c r="H16" s="11"/>
      <c r="I16" s="59"/>
      <c r="J16" s="59"/>
      <c r="K16" s="11"/>
      <c r="L16" s="59"/>
      <c r="M16" s="11" t="s">
        <v>18</v>
      </c>
      <c r="N16" s="60" t="str">
        <f>IF(_epmOfflineCondition_,"2020.JAN",IF(SetUp!$O$1=TRUE,_xll.EVTIM($B$1,O16,-1),IF($D$10="FY",LEFT($B$10,6)&amp;"."&amp;N15,$B$12&amp;"."&amp;N14)))</f>
        <v>2020.JAN</v>
      </c>
      <c r="O16" s="60" t="str">
        <f>IF(_epmOfflineCondition_,"2020.FEB",IF(SetUp!$O$1=TRUE,_xll.EVTIM($B$1,P16,-1),IF($D$10="FY",LEFT($B$10,6)&amp;"."&amp;O15,$B$12&amp;"."&amp;O14)))</f>
        <v>2020.FEB</v>
      </c>
      <c r="P16" s="60" t="str">
        <f>IF(_epmOfflineCondition_,"2020.MAR",IF(SetUp!$O$1=TRUE,_xll.EVTIM($B$1,Q16,-1),IF($D$10="FY",LEFT($B$10,6)&amp;"."&amp;P15,$B$12&amp;"."&amp;P14)))</f>
        <v>2020.MAR</v>
      </c>
      <c r="Q16" s="60" t="str">
        <f>IF(_epmOfflineCondition_,"2020.APR",IF(SetUp!$O$1=TRUE,_xll.EVTIM($B$1,R16,-1),IF($D$10="FY",LEFT($B$10,6)&amp;"."&amp;Q15,$B$12&amp;"."&amp;Q14)))</f>
        <v>2020.APR</v>
      </c>
      <c r="R16" s="60" t="str">
        <f>IF(_epmOfflineCondition_,"2020.MAY",IF(SetUp!$O$1=TRUE,_xll.EVTIM($B$1,S16,-1),IF($D$10="FY",LEFT($B$10,6)&amp;"."&amp;R15,$B$12&amp;"."&amp;R14)))</f>
        <v>2020.MAY</v>
      </c>
      <c r="S16" s="60" t="str">
        <f>IF(_epmOfflineCondition_,"2020.JUN",IF(SetUp!$O$1=TRUE,_xll.EVTIM($B$1,T16,-1),IF($D$10="FY",LEFT($B$10,6)&amp;"."&amp;S15,$B$12&amp;"."&amp;S14)))</f>
        <v>2020.JUN</v>
      </c>
      <c r="T16" s="60" t="str">
        <f>IF(_epmOfflineCondition_,"2020.JUL",IF(SetUp!$O$1=TRUE,_xll.EVTIM($B$1,U16,-1),IF($D$10="FY",LEFT($B$10,6)&amp;"."&amp;T15,$B$12&amp;"."&amp;T14)))</f>
        <v>2020.JUL</v>
      </c>
      <c r="U16" s="60" t="str">
        <f>IF(_epmOfflineCondition_,"2020.AUG",IF(SetUp!$O$1=TRUE,_xll.EVTIM($B$1,V16,-1),IF($D$10="FY",LEFT($B$10,6)&amp;"."&amp;U15,$B$12&amp;"."&amp;U14)))</f>
        <v>2020.AUG</v>
      </c>
      <c r="V16" s="60" t="str">
        <f>IF(_epmOfflineCondition_,"2020.SEP",IF(SetUp!$O$1=TRUE,_xll.EVTIM($B$1,W16,-1),IF($D$10="FY",LEFT($B$10,6)&amp;"."&amp;V15,$B$12&amp;"."&amp;V14)))</f>
        <v>2020.SEP</v>
      </c>
      <c r="W16" s="60" t="str">
        <f>IF(_epmOfflineCondition_,"2020.OCT",IF(SetUp!$O$1=TRUE,_xll.EVTIM($B$1,X16,-1),IF($D$10="FY",LEFT($B$10,6)&amp;"."&amp;W15,$B$12&amp;"."&amp;W14)))</f>
        <v>2020.OCT</v>
      </c>
      <c r="X16" s="60" t="str">
        <f>IF(_epmOfflineCondition_,"2020.NOV",IF(SetUp!$O$1=TRUE,_xll.EVTIM($B$1,Y16,-1),IF($D$10="FY",LEFT($B$10,6)&amp;"."&amp;X15,$B$12&amp;"."&amp;X14)))</f>
        <v>2020.NOV</v>
      </c>
      <c r="Y16" s="60" t="str">
        <f>IF(SetUp!$O$1=TRUE,SetUp!$Q$6,IF($D$10="FY",LEFT($B$10,6)&amp;"."&amp;Y15,$B$12&amp;"."&amp;Y14))</f>
        <v>2020.DEC</v>
      </c>
      <c r="Z16" s="60" t="str">
        <f>IF($D$10="FY",LEFT($B$10,6)&amp;"."&amp;Z15,$B$12&amp;"."&amp;Z14)</f>
        <v>2020.TOTAL</v>
      </c>
      <c r="AA16" s="64"/>
      <c r="AB16" s="64"/>
      <c r="AC16" s="60" t="str">
        <f>IF(SetUp!$O$1=TRUE,SetUp!$Q$6,SetUp!$G$7)</f>
        <v>2020.TOTAL</v>
      </c>
      <c r="AD16" s="64"/>
      <c r="AE16" s="64"/>
      <c r="AF16" s="60" t="str">
        <f>IF(_epmOfflineCondition_,"2019.TOTAL",IF(SetUp!$O$1=TRUE,_xll.EVTIM($B$1,AC16,-1,"YEAR"),SetUp!$J$7))</f>
        <v>2019.TOTAL</v>
      </c>
      <c r="AG16" s="64"/>
      <c r="AH16" s="64"/>
      <c r="AI16" s="11"/>
      <c r="AJ16" s="11"/>
      <c r="AK16" s="11"/>
      <c r="AL16" s="11"/>
      <c r="AM16" s="11"/>
      <c r="AN16" s="11"/>
      <c r="AO16" s="11"/>
      <c r="AP16" s="11"/>
    </row>
    <row r="17" spans="1:42" hidden="1" outlineLevel="1" x14ac:dyDescent="0.35">
      <c r="A17" s="65" t="s">
        <v>2</v>
      </c>
      <c r="B17" s="66" t="str">
        <f>IF(_epmOfflineCondition_,"'OTH_OP'!$B$2:$B$10",_xll.EVRNG($B$2:$B$10))</f>
        <v>'OTH_OP'!$B$2:$B$10</v>
      </c>
      <c r="C17" s="11"/>
      <c r="D17" s="11"/>
      <c r="E17" s="11"/>
      <c r="F17" s="11"/>
      <c r="G17" s="11"/>
      <c r="H17" s="11"/>
      <c r="I17" s="59"/>
      <c r="J17" s="59"/>
      <c r="K17" s="11"/>
      <c r="L17" s="59"/>
      <c r="M17" s="11" t="s">
        <v>19</v>
      </c>
      <c r="N17" s="60" t="str">
        <f>IF(_epmOfflineCondition_,"ACTUAL_CON",IF($L$11="Y",N11,IF(N13&lt;$E$4,_xll.EVPRO($B$1,$B$4,"COMPARISON"),$B$4)))</f>
        <v>ACTUAL_CON</v>
      </c>
      <c r="O17" s="60" t="str">
        <f>IF(_epmOfflineCondition_,"ACTUAL_CON",IF($L$11="y",O11,IF(O13&lt;$E$4,_xll.EVPRO($B$1,$B$4,"COMPARISON"),$B$4)))</f>
        <v>ACTUAL_CON</v>
      </c>
      <c r="P17" s="60" t="str">
        <f>IF(_epmOfflineCondition_,"ACTUAL_CON",IF($L$11="y",P11,IF(P13&lt;$E$4,_xll.EVPRO($B$1,$B$4,"COMPARISON"),$B$4)))</f>
        <v>ACTUAL_CON</v>
      </c>
      <c r="Q17" s="60" t="str">
        <f>IF(_epmOfflineCondition_,"ACTUAL_CON",IF($L$11="y",Q11,IF(Q13&lt;$E$4,_xll.EVPRO($B$1,$B$4,"COMPARISON"),$B$4)))</f>
        <v>ACTUAL_CON</v>
      </c>
      <c r="R17" s="60" t="str">
        <f>IF(_epmOfflineCondition_,"ACTUAL_CON",IF($L$11="y",R11,IF(R13&lt;$E$4,_xll.EVPRO($B$1,$B$4,"COMPARISON"),$B$4)))</f>
        <v>ACTUAL_CON</v>
      </c>
      <c r="S17" s="60" t="str">
        <f>IF(_epmOfflineCondition_,"ACTUAL_CON",IF($L$11="y",S11,IF(S13&lt;$E$4,_xll.EVPRO($B$1,$B$4,"COMPARISON"),$B$4)))</f>
        <v>ACTUAL_CON</v>
      </c>
      <c r="T17" s="60" t="str">
        <f>IF(_epmOfflineCondition_,"ACTUAL_CON",IF($L$11="y",T11,IF(T13&lt;$E$4,_xll.EVPRO($B$1,$B$4,"COMPARISON"),$B$4)))</f>
        <v>ACTUAL_CON</v>
      </c>
      <c r="U17" s="60" t="str">
        <f>IF(_epmOfflineCondition_,"ACTUAL_CON",IF($L$11="y",U11,IF(U13&lt;$E$4,_xll.EVPRO($B$1,$B$4,"COMPARISON"),$B$4)))</f>
        <v>ACTUAL_CON</v>
      </c>
      <c r="V17" s="60" t="str">
        <f>IF(_epmOfflineCondition_,"ACTUAL_CON",IF($L$11="y",V11,IF(V13&lt;$E$4,_xll.EVPRO($B$1,$B$4,"COMPARISON"),$B$4)))</f>
        <v>ACTUAL_CON</v>
      </c>
      <c r="W17" s="60" t="str">
        <f>IF(_epmOfflineCondition_,"ACTUAL_CON",IF($L$11="y",W11,IF(W13&lt;$E$4,_xll.EVPRO($B$1,$B$4,"COMPARISON"),$B$4)))</f>
        <v>ACTUAL_CON</v>
      </c>
      <c r="X17" s="60" t="str">
        <f>IF(_epmOfflineCondition_,"ACTUAL_CON",IF($L$11="y",X11,IF(X13&lt;$E$4,_xll.EVPRO($B$1,$B$4,"COMPARISON"),$B$4)))</f>
        <v>ACTUAL_CON</v>
      </c>
      <c r="Y17" s="60" t="str">
        <f>IF(_epmOfflineCondition_,"ACTUAL_CON",IF($L$11="y",Y11,IF(Y13&lt;$E$4,_xll.EVPRO($B$1,$B$4,"COMPARISON"),$B$4)))</f>
        <v>ACTUAL_CON</v>
      </c>
      <c r="Z17" s="60"/>
      <c r="AA17" s="64"/>
      <c r="AB17" s="64"/>
      <c r="AC17" s="60" t="str">
        <f>SetUp!$G$6</f>
        <v>BUDGET</v>
      </c>
      <c r="AD17" s="64"/>
      <c r="AE17" s="64"/>
      <c r="AF17" s="60" t="str">
        <f>SetUp!$J$6</f>
        <v>ACTUAL_CON</v>
      </c>
      <c r="AG17" s="64"/>
      <c r="AH17" s="64"/>
      <c r="AI17" s="11"/>
      <c r="AJ17" s="11"/>
      <c r="AK17" s="11"/>
      <c r="AL17" s="11"/>
      <c r="AM17" s="11"/>
      <c r="AN17" s="11"/>
      <c r="AO17" s="11"/>
      <c r="AP17" s="11"/>
    </row>
    <row r="18" spans="1:42" hidden="1" outlineLevel="1" x14ac:dyDescent="0.35">
      <c r="A18" s="65" t="s">
        <v>3</v>
      </c>
      <c r="B18" s="66" t="str">
        <f>IF(_epmOfflineCondition_,"'OTH_OP'!$N$16:$AM$18",_xll.EVRNG($N$16:$AM$18))</f>
        <v>'OTH_OP'!$N$16:$AM$18</v>
      </c>
      <c r="C18" s="11"/>
      <c r="D18" s="11"/>
      <c r="E18" s="11"/>
      <c r="F18" s="11"/>
      <c r="G18" s="11"/>
      <c r="H18" s="11"/>
      <c r="I18" s="59"/>
      <c r="J18" s="59"/>
      <c r="K18" s="11"/>
      <c r="L18" s="59"/>
      <c r="M18" s="11" t="s">
        <v>601</v>
      </c>
      <c r="N18" s="64" t="s">
        <v>55</v>
      </c>
      <c r="O18" s="64" t="s">
        <v>55</v>
      </c>
      <c r="P18" s="64" t="s">
        <v>55</v>
      </c>
      <c r="Q18" s="64" t="s">
        <v>55</v>
      </c>
      <c r="R18" s="64" t="s">
        <v>55</v>
      </c>
      <c r="S18" s="64" t="s">
        <v>55</v>
      </c>
      <c r="T18" s="64" t="s">
        <v>55</v>
      </c>
      <c r="U18" s="64" t="s">
        <v>55</v>
      </c>
      <c r="V18" s="64" t="s">
        <v>55</v>
      </c>
      <c r="W18" s="64" t="s">
        <v>55</v>
      </c>
      <c r="X18" s="64" t="s">
        <v>55</v>
      </c>
      <c r="Y18" s="64" t="s">
        <v>55</v>
      </c>
      <c r="Z18" s="64"/>
      <c r="AA18" s="64"/>
      <c r="AB18" s="64"/>
      <c r="AC18" s="60" t="str">
        <f>IF(SetUp!$O$1=TRUE,"TRAILING12",IF(AC17="CURRENT","ROLLINGFORECAST","PERIODIC"))</f>
        <v>PERIODIC</v>
      </c>
      <c r="AD18" s="64"/>
      <c r="AE18" s="64"/>
      <c r="AF18" s="60" t="str">
        <f>IF(SetUp!$O$1=TRUE,"TRAILING12",IF(AF17="CURRENT","ROLLINGFORECAST","PERIODIC"))</f>
        <v>PERIODIC</v>
      </c>
      <c r="AG18" s="64"/>
      <c r="AH18" s="64"/>
      <c r="AI18" s="11"/>
      <c r="AJ18" s="11"/>
      <c r="AK18" s="11"/>
      <c r="AL18" s="11"/>
      <c r="AM18" s="11"/>
      <c r="AN18" s="11"/>
      <c r="AO18" s="11"/>
      <c r="AP18" s="11"/>
    </row>
    <row r="19" spans="1:42" hidden="1" outlineLevel="1" x14ac:dyDescent="0.35">
      <c r="A19" s="65" t="s">
        <v>4</v>
      </c>
      <c r="B19" s="66" t="str">
        <f>IF(_epmOfflineCondition_,"'OTH_OP'!$G$34:$H$39,'OTH_OP'!$G$43:$H$48,'OTH_OP'!$G$52:$H$57",_xll.EVRNG(G34:H39,G43:H48,G52:H57))</f>
        <v>'OTH_OP'!$G$34:$H$39,'OTH_OP'!$G$43:$H$48,'OTH_OP'!$G$52:$H$57</v>
      </c>
      <c r="C19" s="11"/>
      <c r="D19" s="11"/>
      <c r="E19" s="11"/>
      <c r="F19" s="11"/>
      <c r="G19" s="67" t="str">
        <f>$B$6</f>
        <v>D_OTHER_CON</v>
      </c>
      <c r="H19" s="67">
        <v>400000</v>
      </c>
      <c r="I19" s="68"/>
      <c r="J19" s="68"/>
      <c r="K19" s="67"/>
      <c r="L19" s="67"/>
      <c r="M19" s="67" t="str">
        <f>IF(_epmOfflineCondition_,"Total Revenue",_xll.EVDES(H19))</f>
        <v>Total Revenue</v>
      </c>
      <c r="N19" s="69">
        <f>IF(_epmOfflineCondition_,27910.84,_xll.EVGTS($B$1,1,$B$3,$B$5,$B$7,$B$9,N$16,N$17,N$18,$G$19,$H$19))</f>
        <v>27910.84</v>
      </c>
      <c r="O19" s="69">
        <f>IF(_epmOfflineCondition_,24134.17,_xll.EVGTS($B$1,1,$B$3,$B$5,$B$7,$B$9,O$16,O$17,O$18,$G$19,$H$19))</f>
        <v>24134.17</v>
      </c>
      <c r="P19" s="69">
        <f>IF(_epmOfflineCondition_,13133.12,_xll.EVGTS($B$1,1,$B$3,$B$5,$B$7,$B$9,P$16,P$17,P$18,$G$19,$H$19))</f>
        <v>13133.12</v>
      </c>
      <c r="Q19" s="69">
        <f>IF(_epmOfflineCondition_,71.78,_xll.EVGTS($B$1,1,$B$3,$B$5,$B$7,$B$9,Q$16,Q$17,Q$18,$G$19,$H$19))</f>
        <v>71.78</v>
      </c>
      <c r="R19" s="69">
        <f>IF(_epmOfflineCondition_,-72.9,_xll.EVGTS($B$1,1,$B$3,$B$5,$B$7,$B$9,R$16,R$17,R$18,$G$19,$H$19))</f>
        <v>-72.900000000000006</v>
      </c>
      <c r="S19" s="69">
        <f>IF(_epmOfflineCondition_,181.69,_xll.EVGTS($B$1,1,$B$3,$B$5,$B$7,$B$9,S$16,S$17,S$18,$G$19,$H$19))</f>
        <v>181.69</v>
      </c>
      <c r="T19" s="69">
        <f>IF(_epmOfflineCondition_,403.74,_xll.EVGTS($B$1,1,$B$3,$B$5,$B$7,$B$9,T$16,T$17,T$18,$G$19,$H$19))</f>
        <v>403.74</v>
      </c>
      <c r="U19" s="69">
        <f>IF(_epmOfflineCondition_,264.17,_xll.EVGTS($B$1,1,$B$3,$B$5,$B$7,$B$9,U$16,U$17,U$18,$G$19,$H$19))</f>
        <v>264.17</v>
      </c>
      <c r="V19" s="69">
        <f>IF(_epmOfflineCondition_,1140.21,_xll.EVGTS($B$1,1,$B$3,$B$5,$B$7,$B$9,V$16,V$17,V$18,$G$19,$H$19))</f>
        <v>1140.21</v>
      </c>
      <c r="W19" s="69">
        <f>IF(_epmOfflineCondition_,863.46,_xll.EVGTS($B$1,1,$B$3,$B$5,$B$7,$B$9,W$16,W$17,W$18,$G$19,$H$19))</f>
        <v>863.46</v>
      </c>
      <c r="X19" s="69">
        <f>IF(_epmOfflineCondition_,-32.57,_xll.EVGTS($B$1,1,$B$3,$B$5,$B$7,$B$9,X$16,X$17,X$18,$G$19,$H$19))</f>
        <v>-32.57</v>
      </c>
      <c r="Y19" s="69">
        <f>IF(_epmOfflineCondition_,415.66,_xll.EVGTS($B$1,1,$B$3,$B$5,$B$7,$B$9,Y$16,Y$17,Y$18,$G$19,$H$19))</f>
        <v>415.66</v>
      </c>
      <c r="Z19" s="69">
        <f>SUM(N19:Y19)</f>
        <v>68413.37000000001</v>
      </c>
      <c r="AA19" s="67"/>
      <c r="AB19" s="67"/>
      <c r="AC19" s="69">
        <f>IF(_epmOfflineCondition_,283462.5,_xll.EVGTS($B$1,1,$B$3,$B$5,$B$7,$B$9,AC$16,AC$17,AC$18,$G$19,$H$19))</f>
        <v>283462.5</v>
      </c>
      <c r="AD19" s="67"/>
      <c r="AE19" s="67"/>
      <c r="AF19" s="69">
        <f>IF(_epmOfflineCondition_,245528.77,_xll.EVGTS($B$1,1,$B$3,$B$5,$B$7,$B$9,AF$16,AF$17,AF$18,$G$19,$H$19))</f>
        <v>245528.77</v>
      </c>
      <c r="AG19" s="67"/>
      <c r="AH19" s="67"/>
      <c r="AI19" s="11"/>
      <c r="AJ19" s="11"/>
      <c r="AK19" s="11"/>
      <c r="AL19" s="11"/>
      <c r="AM19" s="11"/>
      <c r="AN19" s="11"/>
      <c r="AO19" s="11"/>
      <c r="AP19" s="11"/>
    </row>
    <row r="20" spans="1:42" hidden="1" outlineLevel="1" x14ac:dyDescent="0.35">
      <c r="A20" s="65" t="s">
        <v>5</v>
      </c>
      <c r="B20" s="66"/>
      <c r="C20" s="11"/>
      <c r="D20" s="11"/>
      <c r="E20" s="11"/>
      <c r="F20" s="11"/>
      <c r="G20" s="67" t="s">
        <v>749</v>
      </c>
      <c r="H20" s="67">
        <v>900200</v>
      </c>
      <c r="I20" s="68"/>
      <c r="J20" s="68"/>
      <c r="K20" s="67"/>
      <c r="L20" s="68"/>
      <c r="M20" s="67" t="str">
        <f>IF(_epmOfflineCondition_,"Total Rooms Occupied",_xll.EVDES(H20))</f>
        <v>Total Rooms Occupied</v>
      </c>
      <c r="N20" s="69">
        <f>IF(_epmOfflineCondition_,3596,_xll.EVGTS($B$1,1,$B$3,$B$5,$B$7,$B$9,N$16,N$17,N$18,$G$20,$H$20))</f>
        <v>3596</v>
      </c>
      <c r="O20" s="69">
        <f>IF(_epmOfflineCondition_,3382,_xll.EVGTS($B$1,1,$B$3,$B$5,$B$7,$B$9,O$16,O$17,O$18,$G$20,$H$20))</f>
        <v>3382</v>
      </c>
      <c r="P20" s="69">
        <f>IF(_epmOfflineCondition_,1661,_xll.EVGTS($B$1,1,$B$3,$B$5,$B$7,$B$9,P$16,P$17,P$18,$G$20,$H$20))</f>
        <v>1661</v>
      </c>
      <c r="Q20" s="69">
        <f>IF(_epmOfflineCondition_,0,_xll.EVGTS($B$1,1,$B$3,$B$5,$B$7,$B$9,Q$16,Q$17,Q$18,$G$20,$H$20))</f>
        <v>0</v>
      </c>
      <c r="R20" s="69">
        <f>IF(_epmOfflineCondition_,0,_xll.EVGTS($B$1,1,$B$3,$B$5,$B$7,$B$9,R$16,R$17,R$18,$G$20,$H$20))</f>
        <v>0</v>
      </c>
      <c r="S20" s="69">
        <f>IF(_epmOfflineCondition_,721,_xll.EVGTS($B$1,1,$B$3,$B$5,$B$7,$B$9,S$16,S$17,S$18,$G$20,$H$20))</f>
        <v>721</v>
      </c>
      <c r="T20" s="69">
        <f>IF(_epmOfflineCondition_,549,_xll.EVGTS($B$1,1,$B$3,$B$5,$B$7,$B$9,T$16,T$17,T$18,$G$20,$H$20))</f>
        <v>549</v>
      </c>
      <c r="U20" s="69">
        <f>IF(_epmOfflineCondition_,1066,_xll.EVGTS($B$1,1,$B$3,$B$5,$B$7,$B$9,U$16,U$17,U$18,$G$20,$H$20))</f>
        <v>1066</v>
      </c>
      <c r="V20" s="69">
        <f>IF(_epmOfflineCondition_,1892,_xll.EVGTS($B$1,1,$B$3,$B$5,$B$7,$B$9,V$16,V$17,V$18,$G$20,$H$20))</f>
        <v>1892</v>
      </c>
      <c r="W20" s="69">
        <f>IF(_epmOfflineCondition_,2174,_xll.EVGTS($B$1,1,$B$3,$B$5,$B$7,$B$9,W$16,W$17,W$18,$G$20,$H$20))</f>
        <v>2174</v>
      </c>
      <c r="X20" s="69">
        <f>IF(_epmOfflineCondition_,2060,_xll.EVGTS($B$1,1,$B$3,$B$5,$B$7,$B$9,X$16,X$17,X$18,$G$20,$H$20))</f>
        <v>2060</v>
      </c>
      <c r="Y20" s="69">
        <f>IF(_epmOfflineCondition_,2949,_xll.EVGTS($B$1,1,$B$3,$B$5,$B$7,$B$9,Y$16,Y$17,Y$18,$G$20,$H$20))</f>
        <v>2949</v>
      </c>
      <c r="Z20" s="69">
        <f>SUM(N20:Y20)</f>
        <v>20050</v>
      </c>
      <c r="AA20" s="67"/>
      <c r="AB20" s="67"/>
      <c r="AC20" s="69">
        <f>IF(_epmOfflineCondition_,37795,_xll.EVGTS($B$1,1,$B$3,$B$5,$B$7,$B$9,AC$16,AC$17,AC$18,$G$20,$H$20))</f>
        <v>37795</v>
      </c>
      <c r="AD20" s="67"/>
      <c r="AE20" s="67"/>
      <c r="AF20" s="69">
        <f>IF(_epmOfflineCondition_,32882,_xll.EVGTS($B$1,1,$B$3,$B$5,$B$7,$B$9,AF$16,AF$17,AF$18,$G$20,$H$20))</f>
        <v>32882</v>
      </c>
      <c r="AG20" s="67"/>
      <c r="AH20" s="67"/>
      <c r="AI20" s="11"/>
      <c r="AJ20" s="11"/>
      <c r="AK20" s="11"/>
      <c r="AL20" s="11"/>
      <c r="AM20" s="11"/>
      <c r="AN20" s="11"/>
      <c r="AO20" s="11"/>
      <c r="AP20" s="11"/>
    </row>
    <row r="21" spans="1:42"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row>
    <row r="22" spans="1:42" hidden="1" outlineLevel="1" x14ac:dyDescent="0.35">
      <c r="A22" s="65" t="s">
        <v>7</v>
      </c>
      <c r="B22" s="66" t="str">
        <f>IF(_epmOfflineCondition_,"'OTH_OP'!$A$36:$F$38",_xll.EVRNG(A36:F38))</f>
        <v>'OTH_OP'!$A$36:$F$38</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row>
    <row r="23" spans="1:42" hidden="1" outlineLevel="1" x14ac:dyDescent="0.35">
      <c r="A23" s="65" t="s">
        <v>47</v>
      </c>
      <c r="B23" s="66" t="str">
        <f>IF(_epmOfflineCondition_,"'OTH_OP'!$A$44:$B$65",_xll.EVRNG($A$44:$B$65))</f>
        <v>'OTH_OP'!$A$44:$B$65</v>
      </c>
      <c r="C23" s="11"/>
      <c r="D23" s="11"/>
      <c r="E23" s="11"/>
      <c r="F23" s="11"/>
      <c r="G23" s="11"/>
      <c r="H23" s="11"/>
      <c r="I23" s="59"/>
      <c r="J23" s="59"/>
      <c r="K23" s="6"/>
      <c r="L23" s="6"/>
      <c r="M23" s="11"/>
      <c r="N23" s="11"/>
      <c r="O23" s="11"/>
      <c r="P23" s="11"/>
      <c r="Q23" s="11"/>
      <c r="R23" s="11"/>
      <c r="S23" s="11"/>
      <c r="T23" s="11"/>
      <c r="U23" s="11"/>
      <c r="V23" s="11"/>
      <c r="W23" s="11"/>
      <c r="X23" s="11"/>
      <c r="Y23" s="11"/>
      <c r="Z23" s="11"/>
      <c r="AA23" s="11"/>
      <c r="AB23" s="11"/>
      <c r="AC23" s="384"/>
      <c r="AD23" s="11"/>
      <c r="AE23" s="11"/>
      <c r="AF23" s="11"/>
      <c r="AG23" s="11"/>
      <c r="AH23" s="11"/>
      <c r="AI23" s="11"/>
      <c r="AJ23" s="11"/>
      <c r="AK23" s="11"/>
      <c r="AL23" s="11"/>
      <c r="AM23" s="11"/>
      <c r="AN23" s="11"/>
      <c r="AO23" s="11"/>
      <c r="AP23" s="11"/>
    </row>
    <row r="24" spans="1:42"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row>
    <row r="25" spans="1:42"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row>
    <row r="26" spans="1:42" ht="23" x14ac:dyDescent="0.45">
      <c r="A26" s="62" t="s">
        <v>9</v>
      </c>
      <c r="B26" s="63" t="s">
        <v>10</v>
      </c>
      <c r="C26" s="63" t="s">
        <v>357</v>
      </c>
      <c r="D26" s="11"/>
      <c r="E26" s="11"/>
      <c r="F26" s="11"/>
      <c r="G26" s="11"/>
      <c r="H26" s="11"/>
      <c r="I26" s="59"/>
      <c r="J26" s="59"/>
      <c r="K26" s="11"/>
      <c r="L26" s="11"/>
      <c r="M26" s="70" t="str">
        <f>IF(_epmOfflineCondition_,"Anglers Boutique Resorts LLC",IF(_xll.EVDES(B3,$B$1)="#NODATA","",_xll.EVDES(B3,$B$1)))</f>
        <v>Anglers Boutique Resorts LLC</v>
      </c>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1:42" ht="17.5" x14ac:dyDescent="0.35">
      <c r="A27" s="65" t="s">
        <v>11</v>
      </c>
      <c r="B27" s="66" t="s">
        <v>21</v>
      </c>
      <c r="C27" s="66" t="s">
        <v>21</v>
      </c>
      <c r="D27" s="11"/>
      <c r="E27" s="11"/>
      <c r="F27" s="11"/>
      <c r="G27" s="11"/>
      <c r="H27" s="11"/>
      <c r="I27" s="59"/>
      <c r="J27" s="59"/>
      <c r="K27" s="11"/>
      <c r="L27" s="11"/>
      <c r="M27" s="71" t="str">
        <f>IF(_epmOfflineCondition_,"Other Operated Departments",IF(_xll.EVDES(B6,$B$1)="#NODATA","",_xll.EVDES(B6,$B$1)))</f>
        <v>Other Operated Departments</v>
      </c>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1:42" ht="15.5" x14ac:dyDescent="0.35">
      <c r="A28" s="65" t="s">
        <v>12</v>
      </c>
      <c r="B28" s="66" t="s">
        <v>52</v>
      </c>
      <c r="C28" s="66" t="s">
        <v>22</v>
      </c>
      <c r="D28" s="11"/>
      <c r="E28" s="11"/>
      <c r="F28" s="11"/>
      <c r="G28" s="11"/>
      <c r="H28" s="11"/>
      <c r="I28" s="59"/>
      <c r="J28" s="59"/>
      <c r="K28" s="11"/>
      <c r="L28" s="11"/>
      <c r="M28" s="72" t="str">
        <f>IF(_epmOfflineCondition_,"For the Period ended 2020 TOTAL","For the Period ended"&amp;" "&amp;IF(_xll.EVDES($B$10,$B$1)="#NODATA","",_xll.EVDES($B$10,$B$1)))</f>
        <v>For the Period ended 2020 TOTAL</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1:42" ht="15" customHeight="1" x14ac:dyDescent="0.35">
      <c r="A29" s="65" t="s">
        <v>13</v>
      </c>
      <c r="B29" s="66" t="s">
        <v>468</v>
      </c>
      <c r="C29" s="66" t="s">
        <v>467</v>
      </c>
      <c r="D29" s="11"/>
      <c r="E29" s="11"/>
      <c r="F29" s="11"/>
      <c r="G29" s="11"/>
      <c r="H29" s="11"/>
      <c r="I29" s="59"/>
      <c r="J29" s="59"/>
      <c r="K29" s="11"/>
      <c r="L29" s="11"/>
      <c r="M29" s="72" t="str">
        <f>IF(_epmOfflineCondition_,"Local Currency",_xll.EVDES(B9,B1))</f>
        <v>Local Currency</v>
      </c>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1:42" x14ac:dyDescent="0.35">
      <c r="A30" s="65" t="s">
        <v>14</v>
      </c>
      <c r="B30" s="66"/>
      <c r="C30" s="66"/>
      <c r="D30" s="11"/>
      <c r="E30" s="11"/>
      <c r="F30" s="11"/>
      <c r="G30" s="11"/>
      <c r="H30" s="11"/>
      <c r="I30" s="59"/>
      <c r="J30" s="59"/>
      <c r="K30" s="11"/>
      <c r="L30" s="11"/>
      <c r="M30" s="11"/>
      <c r="N30" s="73"/>
      <c r="O30" s="74"/>
      <c r="P30" s="74"/>
      <c r="Q30" s="74"/>
      <c r="R30" s="74"/>
      <c r="S30" s="74"/>
      <c r="T30" s="74"/>
      <c r="U30" s="74"/>
      <c r="V30" s="74"/>
      <c r="W30" s="74"/>
      <c r="X30" s="74"/>
      <c r="Y30" s="74"/>
      <c r="Z30" s="74"/>
      <c r="AA30" s="75"/>
      <c r="AB30" s="11"/>
      <c r="AC30" s="74"/>
      <c r="AD30" s="74"/>
      <c r="AE30" s="74"/>
      <c r="AF30" s="74"/>
      <c r="AG30" s="74"/>
      <c r="AH30" s="74"/>
      <c r="AI30" s="73" t="s">
        <v>748</v>
      </c>
      <c r="AJ30" s="74"/>
      <c r="AK30" s="75"/>
      <c r="AL30" s="74" t="s">
        <v>750</v>
      </c>
      <c r="AM30" s="74"/>
      <c r="AN30" s="11"/>
      <c r="AO30" s="11"/>
      <c r="AP30" s="11"/>
    </row>
    <row r="31" spans="1:42" x14ac:dyDescent="0.35">
      <c r="A31" s="65" t="s">
        <v>15</v>
      </c>
      <c r="B31" s="66"/>
      <c r="C31" s="66"/>
      <c r="D31" s="11"/>
      <c r="E31" s="11"/>
      <c r="F31" s="11"/>
      <c r="G31" s="76"/>
      <c r="H31" s="11"/>
      <c r="I31" s="59"/>
      <c r="J31" s="59"/>
      <c r="K31" s="11"/>
      <c r="L31" s="11"/>
      <c r="M31" s="11"/>
      <c r="N31" s="77" t="str">
        <f>IF(_epmOfflineCondition_,"JAN",IF($D$10="FY",_xll.EVPRO($B$1,N$16,"PERIOD")&amp;" "&amp;LEFT(N$13,4),_xll.EVPRO($B$1,N$16,"PERIOD")))</f>
        <v>JAN</v>
      </c>
      <c r="O31" s="77" t="str">
        <f>IF(_epmOfflineCondition_,"FEB",IF($D$10="FY",_xll.EVPRO($B$1,O$16,"PERIOD")&amp;" "&amp;LEFT(O$13,4),_xll.EVPRO($B$1,O$16,"PERIOD")))</f>
        <v>FEB</v>
      </c>
      <c r="P31" s="77" t="str">
        <f>IF(_epmOfflineCondition_,"MAR",IF($D$10="FY",_xll.EVPRO($B$1,P$16,"PERIOD")&amp;" "&amp;LEFT(P$13,4),_xll.EVPRO($B$1,P$16,"PERIOD")))</f>
        <v>MAR</v>
      </c>
      <c r="Q31" s="77" t="str">
        <f>IF(_epmOfflineCondition_,"APR",IF($D$10="FY",_xll.EVPRO($B$1,Q$16,"PERIOD")&amp;" "&amp;LEFT(Q$13,4),_xll.EVPRO($B$1,Q$16,"PERIOD")))</f>
        <v>APR</v>
      </c>
      <c r="R31" s="77" t="str">
        <f>IF(_epmOfflineCondition_,"MAY",IF($D$10="FY",_xll.EVPRO($B$1,R$16,"PERIOD")&amp;" "&amp;LEFT(R$13,4),_xll.EVPRO($B$1,R$16,"PERIOD")))</f>
        <v>MAY</v>
      </c>
      <c r="S31" s="77" t="str">
        <f>IF(_epmOfflineCondition_,"JUN",IF($D$10="FY",_xll.EVPRO($B$1,S$16,"PERIOD")&amp;" "&amp;LEFT(S$13,4),_xll.EVPRO($B$1,S$16,"PERIOD")))</f>
        <v>JUN</v>
      </c>
      <c r="T31" s="77" t="str">
        <f>IF(_epmOfflineCondition_,"JUL",IF($D$10="FY",_xll.EVPRO($B$1,T$16,"PERIOD")&amp;" "&amp;LEFT(T$13,4),_xll.EVPRO($B$1,T$16,"PERIOD")))</f>
        <v>JUL</v>
      </c>
      <c r="U31" s="77" t="str">
        <f>IF(_epmOfflineCondition_,"AUG",IF($D$10="FY",_xll.EVPRO($B$1,U$16,"PERIOD")&amp;" "&amp;LEFT(U$13,4),_xll.EVPRO($B$1,U$16,"PERIOD")))</f>
        <v>AUG</v>
      </c>
      <c r="V31" s="77" t="str">
        <f>IF(_epmOfflineCondition_,"SEP",IF($D$10="FY",_xll.EVPRO($B$1,V$16,"PERIOD")&amp;" "&amp;LEFT(V$13,4),_xll.EVPRO($B$1,V$16,"PERIOD")))</f>
        <v>SEP</v>
      </c>
      <c r="W31" s="77" t="str">
        <f>IF(_epmOfflineCondition_,"OCT",IF($D$10="FY",_xll.EVPRO($B$1,W$16,"PERIOD")&amp;" "&amp;LEFT(W$13,4),_xll.EVPRO($B$1,W$16,"PERIOD")))</f>
        <v>OCT</v>
      </c>
      <c r="X31" s="77" t="str">
        <f>IF(_epmOfflineCondition_,"NOV",IF($D$10="FY",_xll.EVPRO($B$1,X$16,"PERIOD")&amp;" "&amp;LEFT(X$13,4),_xll.EVPRO($B$1,X$16,"PERIOD")))</f>
        <v>NOV</v>
      </c>
      <c r="Y31" s="77" t="str">
        <f>IF(_epmOfflineCondition_,"DEC",IF($D$10="FY",_xll.EVPRO($B$1,Y$16,"PERIOD")&amp;" "&amp;LEFT(Y$13,4),_xll.EVPRO($B$1,Y$16,"PERIOD")))</f>
        <v>DEC</v>
      </c>
      <c r="Z31" s="77" t="str">
        <f>Z14</f>
        <v>TOTAL</v>
      </c>
      <c r="AA31" s="78"/>
      <c r="AB31" s="11"/>
      <c r="AC31" s="633" t="str">
        <f>IF(_epmOfflineCondition_,"2020 TOTAL",IF(_xll.EVDES(AC16,$B$1)="#NODATA","",_xll.EVDES(AC16,$B$1)))</f>
        <v>2020 TOTAL</v>
      </c>
      <c r="AD31" s="634"/>
      <c r="AE31" s="77" t="s">
        <v>631</v>
      </c>
      <c r="AF31" s="633" t="str">
        <f>IF(_epmOfflineCondition_,"2019 TOTAL",IF(_xll.EVDES(AF16,$B$1)="#NODATA","",_xll.EVDES(AF16,$B$1)))</f>
        <v>2019 TOTAL</v>
      </c>
      <c r="AG31" s="634"/>
      <c r="AH31" s="77" t="s">
        <v>631</v>
      </c>
      <c r="AI31" s="77" t="str">
        <f>IF(_epmOfflineCondition_,"2020",_xll.EVPRO($B$1,Z$16,"YEAR"))</f>
        <v>2020</v>
      </c>
      <c r="AJ31" s="80" t="str">
        <f>IF(_epmOfflineCondition_,"2020",_xll.EVPRO($B$1,AC$16,"YEAR"))</f>
        <v>2020</v>
      </c>
      <c r="AK31" s="80" t="str">
        <f>IF(_epmOfflineCondition_,"2019",_xll.EVPRO($B$1,AF$16,"YEAR"))</f>
        <v>2019</v>
      </c>
      <c r="AL31" s="77" t="str">
        <f>"vs "&amp;AJ31</f>
        <v>vs 2020</v>
      </c>
      <c r="AM31" s="77" t="str">
        <f>"vs "&amp;AK31</f>
        <v>vs 2019</v>
      </c>
      <c r="AN31" s="11"/>
      <c r="AO31" s="11"/>
      <c r="AP31" s="11"/>
    </row>
    <row r="32" spans="1:42" s="8" customFormat="1" ht="30" customHeight="1" x14ac:dyDescent="0.35">
      <c r="A32" s="81" t="s">
        <v>16</v>
      </c>
      <c r="B32" s="82"/>
      <c r="C32" s="82"/>
      <c r="D32" s="83"/>
      <c r="E32" s="83"/>
      <c r="F32" s="83"/>
      <c r="G32" s="363"/>
      <c r="H32" s="84"/>
      <c r="I32" s="85"/>
      <c r="J32" s="85"/>
      <c r="K32" s="83"/>
      <c r="L32" s="83"/>
      <c r="M32" s="83"/>
      <c r="N32" s="87" t="str">
        <f>IF(_epmOfflineCondition_,"Actual",IF(_xll.EVDES(N17,$B$1)="#NODATA","",_xll.EVDES(N17,$B$1)))</f>
        <v>Actual</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0"/>
      <c r="AA32" s="80" t="s">
        <v>58</v>
      </c>
      <c r="AB32" s="83"/>
      <c r="AC32" s="87" t="str">
        <f>IF(_epmOfflineCondition_,"Budget",IF(_xll.EVDES(AC17,$B$1)="#NODATA","",_xll.EVDES(AC17,$B$1)))</f>
        <v>Budget</v>
      </c>
      <c r="AD32" s="80" t="s">
        <v>58</v>
      </c>
      <c r="AE32" s="87" t="s">
        <v>57</v>
      </c>
      <c r="AF32" s="87" t="str">
        <f>IF(_epmOfflineCondition_,"Actual",IF(_xll.EVDES(AF17,$B$1)="#NODATA","",_xll.EVDES(AF17,$B$1)))</f>
        <v>Actual</v>
      </c>
      <c r="AG32" s="80" t="s">
        <v>58</v>
      </c>
      <c r="AH32" s="87" t="s">
        <v>57</v>
      </c>
      <c r="AI32" s="87" t="str">
        <f>Y32</f>
        <v>Actual</v>
      </c>
      <c r="AJ32" s="80" t="str">
        <f>AC32</f>
        <v>Budget</v>
      </c>
      <c r="AK32" s="87" t="str">
        <f>AF32</f>
        <v>Actual</v>
      </c>
      <c r="AL32" s="77" t="s">
        <v>747</v>
      </c>
      <c r="AM32" s="77" t="s">
        <v>747</v>
      </c>
      <c r="AN32" s="83"/>
      <c r="AO32" s="83"/>
      <c r="AP32" s="83"/>
    </row>
    <row r="33" spans="1:42" x14ac:dyDescent="0.35">
      <c r="A33" s="65" t="s">
        <v>17</v>
      </c>
      <c r="B33" s="66"/>
      <c r="C33" s="66"/>
      <c r="D33" s="11"/>
      <c r="E33" s="11"/>
      <c r="F33" s="11"/>
      <c r="G33" s="11"/>
      <c r="H33" s="11" t="s">
        <v>69</v>
      </c>
      <c r="I33" s="59" t="str">
        <f>IF(_epmOfflineCondition_,"B1",_xll.EVPRO($B$1,$H33,"STYLE"))</f>
        <v>B1</v>
      </c>
      <c r="J33" s="59" t="str">
        <f>IF(_epmOfflineCondition_,"Y",_xll.EVPRO($B$1,$H33,"CALC"))</f>
        <v>Y</v>
      </c>
      <c r="K33" s="11"/>
      <c r="L33" s="11"/>
      <c r="M33" s="105" t="str">
        <f>IF(_epmOfflineCondition_,"Revenues",IF(_xll.EVDES(H33,$B$1)="#NODATA","",_xll.EVDES(H33,$B$1)))</f>
        <v>Revenues</v>
      </c>
      <c r="N33" s="129"/>
      <c r="O33" s="130"/>
      <c r="P33" s="130"/>
      <c r="Q33" s="130"/>
      <c r="R33" s="130"/>
      <c r="S33" s="130"/>
      <c r="T33" s="130"/>
      <c r="U33" s="130"/>
      <c r="V33" s="130"/>
      <c r="W33" s="130"/>
      <c r="X33" s="130"/>
      <c r="Y33" s="130"/>
      <c r="Z33" s="130"/>
      <c r="AA33" s="131"/>
      <c r="AB33" s="11"/>
      <c r="AC33" s="129"/>
      <c r="AD33" s="130"/>
      <c r="AE33" s="131"/>
      <c r="AF33" s="129"/>
      <c r="AG33" s="130"/>
      <c r="AH33" s="131"/>
      <c r="AI33" s="11"/>
      <c r="AJ33" s="11"/>
      <c r="AK33" s="11"/>
      <c r="AL33" s="11"/>
      <c r="AM33" s="11"/>
      <c r="AN33" s="11"/>
      <c r="AO33" s="11"/>
      <c r="AP33" s="11"/>
    </row>
    <row r="34" spans="1:42" x14ac:dyDescent="0.35">
      <c r="A34" s="11"/>
      <c r="B34" s="11"/>
      <c r="C34" s="11"/>
      <c r="D34" s="11"/>
      <c r="E34" s="11"/>
      <c r="F34" s="11"/>
      <c r="G34" s="88" t="s">
        <v>365</v>
      </c>
      <c r="H34" s="88" t="s">
        <v>280</v>
      </c>
      <c r="I34" s="122" t="str">
        <f>IF(_epmOfflineCondition_,"7",_xll.EVPRO($B$1,$G34,"HLEVEL"))</f>
        <v>7</v>
      </c>
      <c r="J34" s="122" t="str">
        <f>IF(_epmOfflineCondition_,"Y",_xll.EVPRO($B$1,$H34,"CALC"))</f>
        <v>Y</v>
      </c>
      <c r="K34" s="179" t="str">
        <f t="shared" ref="K34:K39" si="0">IF(AND(I34&gt;="T5"),"&gt;","")</f>
        <v/>
      </c>
      <c r="L34" s="90"/>
      <c r="M34" s="90" t="str">
        <f>IF(_epmOfflineCondition_,"Guest Communications",IF(_xll.EVDES(G34,$B$1)="#NODATA","",_xll.EVDES(G34,$B$1)))</f>
        <v>Guest Communications</v>
      </c>
      <c r="N34" s="143"/>
      <c r="O34" s="143"/>
      <c r="P34" s="143"/>
      <c r="Q34" s="143"/>
      <c r="R34" s="143"/>
      <c r="S34" s="143"/>
      <c r="T34" s="143"/>
      <c r="U34" s="143"/>
      <c r="V34" s="143"/>
      <c r="W34" s="143"/>
      <c r="X34" s="143"/>
      <c r="Y34" s="143"/>
      <c r="Z34" s="250">
        <f t="shared" ref="Z34:Z40" si="1">IF($I34="B1","",SUM(N34:Y34))</f>
        <v>0</v>
      </c>
      <c r="AA34" s="144" t="str">
        <f t="shared" ref="AA34:AA40" si="2">IF(Z34=0,"",IFERROR(Z34/Z$19,""))</f>
        <v/>
      </c>
      <c r="AB34" s="140"/>
      <c r="AC34" s="143"/>
      <c r="AD34" s="144" t="str">
        <f t="shared" ref="AD34:AD40" si="3">IF(AC34=0,"",IFERROR(AC34/AC$19,""))</f>
        <v/>
      </c>
      <c r="AE34" s="145">
        <f t="shared" ref="AE34:AE40" si="4">IF(AND($Z34="",AC34=""),"",$Z34-AC34)</f>
        <v>0</v>
      </c>
      <c r="AF34" s="143"/>
      <c r="AG34" s="144" t="str">
        <f t="shared" ref="AG34:AG40" si="5">IF(AF34=0,"",IFERROR(AF34/AF$19,""))</f>
        <v/>
      </c>
      <c r="AH34" s="145">
        <f t="shared" ref="AH34:AH40" si="6">IF(AND($Z34="",AF34=""),"",$Z34-AF34)</f>
        <v>0</v>
      </c>
      <c r="AI34" s="440">
        <f t="shared" ref="AI34:AI40" si="7">IFERROR(Z34/Z$20,0)</f>
        <v>0</v>
      </c>
      <c r="AJ34" s="441">
        <f t="shared" ref="AJ34:AJ40" si="8">IFERROR(AC34/AC$20,0)</f>
        <v>0</v>
      </c>
      <c r="AK34" s="442">
        <f t="shared" ref="AK34:AK40" si="9">IFERROR(AF34/AF$20,0)</f>
        <v>0</v>
      </c>
      <c r="AL34" s="443">
        <f t="shared" ref="AL34:AL40" si="10">+IFERROR(ROUND(($AA34-AD34)*100,2)&amp;" pts.",0)</f>
        <v>0</v>
      </c>
      <c r="AM34" s="444">
        <f t="shared" ref="AM34:AM40" si="11">+IFERROR(ROUND(($AA34-AG34)*100,2)&amp;" pts.",0)</f>
        <v>0</v>
      </c>
      <c r="AN34" s="11"/>
      <c r="AO34" s="11"/>
      <c r="AP34" s="11"/>
    </row>
    <row r="35" spans="1:42" x14ac:dyDescent="0.35">
      <c r="A35" s="97" t="s">
        <v>92</v>
      </c>
      <c r="B35" s="98" t="s">
        <v>93</v>
      </c>
      <c r="C35" s="98" t="s">
        <v>94</v>
      </c>
      <c r="D35" s="98" t="s">
        <v>95</v>
      </c>
      <c r="E35" s="98" t="s">
        <v>96</v>
      </c>
      <c r="F35" s="99" t="s">
        <v>97</v>
      </c>
      <c r="G35" s="88" t="s">
        <v>366</v>
      </c>
      <c r="H35" s="88" t="s">
        <v>280</v>
      </c>
      <c r="I35" s="122" t="str">
        <f>IF(_epmOfflineCondition_,"7",_xll.EVPRO($B$1,$G35,"HLEVEL"))</f>
        <v>7</v>
      </c>
      <c r="J35" s="122" t="str">
        <f>IF(_epmOfflineCondition_,"Y",_xll.EVPRO($B$1,$H35,"CALC"))</f>
        <v>Y</v>
      </c>
      <c r="K35" s="179" t="str">
        <f t="shared" si="0"/>
        <v/>
      </c>
      <c r="L35" s="90"/>
      <c r="M35" s="90" t="str">
        <f>IF(_epmOfflineCondition_,"Health Club/Spa",IF(_xll.EVDES(G35,$B$1)="#NODATA","",_xll.EVDES(G35,$B$1)))</f>
        <v>Health Club/Spa</v>
      </c>
      <c r="N35" s="143"/>
      <c r="O35" s="143"/>
      <c r="P35" s="143"/>
      <c r="Q35" s="143"/>
      <c r="R35" s="143"/>
      <c r="S35" s="143"/>
      <c r="T35" s="143"/>
      <c r="U35" s="143"/>
      <c r="V35" s="143"/>
      <c r="W35" s="143"/>
      <c r="X35" s="143"/>
      <c r="Y35" s="143"/>
      <c r="Z35" s="250">
        <f t="shared" si="1"/>
        <v>0</v>
      </c>
      <c r="AA35" s="144" t="str">
        <f t="shared" si="2"/>
        <v/>
      </c>
      <c r="AB35" s="140"/>
      <c r="AC35" s="143"/>
      <c r="AD35" s="144" t="str">
        <f t="shared" si="3"/>
        <v/>
      </c>
      <c r="AE35" s="145">
        <f t="shared" si="4"/>
        <v>0</v>
      </c>
      <c r="AF35" s="143">
        <v>0</v>
      </c>
      <c r="AG35" s="144" t="str">
        <f t="shared" si="5"/>
        <v/>
      </c>
      <c r="AH35" s="145">
        <f t="shared" si="6"/>
        <v>0</v>
      </c>
      <c r="AI35" s="440">
        <f t="shared" si="7"/>
        <v>0</v>
      </c>
      <c r="AJ35" s="441">
        <f t="shared" si="8"/>
        <v>0</v>
      </c>
      <c r="AK35" s="442">
        <f t="shared" si="9"/>
        <v>0</v>
      </c>
      <c r="AL35" s="443">
        <f t="shared" si="10"/>
        <v>0</v>
      </c>
      <c r="AM35" s="444">
        <f t="shared" si="11"/>
        <v>0</v>
      </c>
      <c r="AN35" s="11"/>
      <c r="AO35" s="11"/>
      <c r="AP35" s="11"/>
    </row>
    <row r="36" spans="1:42" x14ac:dyDescent="0.35">
      <c r="A36" s="11"/>
      <c r="B36" s="11"/>
      <c r="C36" s="11"/>
      <c r="D36" s="11"/>
      <c r="E36" s="11"/>
      <c r="F36" s="11"/>
      <c r="G36" s="88" t="s">
        <v>380</v>
      </c>
      <c r="H36" s="88" t="s">
        <v>280</v>
      </c>
      <c r="I36" s="122" t="str">
        <f>IF(_epmOfflineCondition_,"7",_xll.EVPRO($B$1,$G36,"HLEVEL"))</f>
        <v>7</v>
      </c>
      <c r="J36" s="122" t="str">
        <f>IF(_epmOfflineCondition_,"Y",_xll.EVPRO($B$1,$H36,"CALC"))</f>
        <v>Y</v>
      </c>
      <c r="K36" s="179" t="str">
        <f t="shared" si="0"/>
        <v/>
      </c>
      <c r="L36" s="90"/>
      <c r="M36" s="90" t="str">
        <f>IF(_epmOfflineCondition_,"Parking",IF(_xll.EVDES(G36,$B$1)="#NODATA","",_xll.EVDES(G36,$B$1)))</f>
        <v>Parking</v>
      </c>
      <c r="N36" s="143">
        <v>25679.95</v>
      </c>
      <c r="O36" s="143">
        <v>22547.47</v>
      </c>
      <c r="P36" s="143">
        <v>12410.54</v>
      </c>
      <c r="Q36" s="143"/>
      <c r="R36" s="143">
        <v>-72.900000000000006</v>
      </c>
      <c r="S36" s="143"/>
      <c r="T36" s="143"/>
      <c r="U36" s="143"/>
      <c r="V36" s="143">
        <v>547.5</v>
      </c>
      <c r="W36" s="143"/>
      <c r="X36" s="143"/>
      <c r="Y36" s="143"/>
      <c r="Z36" s="250">
        <f t="shared" si="1"/>
        <v>61112.56</v>
      </c>
      <c r="AA36" s="144">
        <f t="shared" si="2"/>
        <v>0.89328387126668352</v>
      </c>
      <c r="AB36" s="140"/>
      <c r="AC36" s="143">
        <v>267966.55</v>
      </c>
      <c r="AD36" s="144">
        <f t="shared" si="3"/>
        <v>0.94533333333333325</v>
      </c>
      <c r="AE36" s="145">
        <f t="shared" si="4"/>
        <v>-206853.99</v>
      </c>
      <c r="AF36" s="143">
        <v>231789.42</v>
      </c>
      <c r="AG36" s="144">
        <f t="shared" si="5"/>
        <v>0.94404179192523963</v>
      </c>
      <c r="AH36" s="145">
        <f t="shared" si="6"/>
        <v>-170676.86000000002</v>
      </c>
      <c r="AI36" s="440">
        <f t="shared" si="7"/>
        <v>3.0480079800498752</v>
      </c>
      <c r="AJ36" s="441">
        <f t="shared" si="8"/>
        <v>7.09</v>
      </c>
      <c r="AK36" s="442">
        <f t="shared" si="9"/>
        <v>7.049127790280397</v>
      </c>
      <c r="AL36" s="443" t="str">
        <f t="shared" si="10"/>
        <v>-5.2 pts.</v>
      </c>
      <c r="AM36" s="444" t="str">
        <f t="shared" si="11"/>
        <v>-5.08 pts.</v>
      </c>
      <c r="AN36" s="11"/>
      <c r="AO36" s="11"/>
      <c r="AP36" s="11"/>
    </row>
    <row r="37" spans="1:42" x14ac:dyDescent="0.35">
      <c r="A37" s="11" t="s">
        <v>105</v>
      </c>
      <c r="B37" s="11"/>
      <c r="C37" s="104" t="s">
        <v>101</v>
      </c>
      <c r="D37" s="11" t="s">
        <v>106</v>
      </c>
      <c r="E37" s="11"/>
      <c r="F37" s="11" t="s">
        <v>98</v>
      </c>
      <c r="G37" s="88" t="s">
        <v>386</v>
      </c>
      <c r="H37" s="88" t="s">
        <v>280</v>
      </c>
      <c r="I37" s="122" t="str">
        <f>IF(_epmOfflineCondition_,"7",_xll.EVPRO($B$1,$G37,"HLEVEL"))</f>
        <v>7</v>
      </c>
      <c r="J37" s="122" t="str">
        <f>IF(_epmOfflineCondition_,"Y",_xll.EVPRO($B$1,$H37,"CALC"))</f>
        <v>Y</v>
      </c>
      <c r="K37" s="179" t="str">
        <f t="shared" si="0"/>
        <v/>
      </c>
      <c r="L37" s="90"/>
      <c r="M37" s="90" t="str">
        <f>IF(_epmOfflineCondition_,"Retail Shop",IF(_xll.EVDES(G37,$B$1)="#NODATA","",_xll.EVDES(G37,$B$1)))</f>
        <v>Retail Shop</v>
      </c>
      <c r="N37" s="143"/>
      <c r="O37" s="143"/>
      <c r="P37" s="143"/>
      <c r="Q37" s="143"/>
      <c r="R37" s="143"/>
      <c r="S37" s="143"/>
      <c r="T37" s="143"/>
      <c r="U37" s="143"/>
      <c r="V37" s="143"/>
      <c r="W37" s="143"/>
      <c r="X37" s="143"/>
      <c r="Y37" s="143"/>
      <c r="Z37" s="250">
        <f t="shared" si="1"/>
        <v>0</v>
      </c>
      <c r="AA37" s="144" t="str">
        <f t="shared" si="2"/>
        <v/>
      </c>
      <c r="AB37" s="140"/>
      <c r="AC37" s="143"/>
      <c r="AD37" s="144" t="str">
        <f t="shared" si="3"/>
        <v/>
      </c>
      <c r="AE37" s="145">
        <f t="shared" si="4"/>
        <v>0</v>
      </c>
      <c r="AF37" s="143"/>
      <c r="AG37" s="144" t="str">
        <f t="shared" si="5"/>
        <v/>
      </c>
      <c r="AH37" s="145">
        <f t="shared" si="6"/>
        <v>0</v>
      </c>
      <c r="AI37" s="440">
        <f t="shared" si="7"/>
        <v>0</v>
      </c>
      <c r="AJ37" s="441">
        <f t="shared" si="8"/>
        <v>0</v>
      </c>
      <c r="AK37" s="442">
        <f t="shared" si="9"/>
        <v>0</v>
      </c>
      <c r="AL37" s="443">
        <f t="shared" si="10"/>
        <v>0</v>
      </c>
      <c r="AM37" s="444">
        <f t="shared" si="11"/>
        <v>0</v>
      </c>
      <c r="AN37" s="11"/>
      <c r="AO37" s="11"/>
      <c r="AP37" s="11"/>
    </row>
    <row r="38" spans="1:42" x14ac:dyDescent="0.35">
      <c r="A38" s="11" t="s">
        <v>465</v>
      </c>
      <c r="B38" s="11"/>
      <c r="C38" s="104" t="s">
        <v>101</v>
      </c>
      <c r="D38" s="11" t="s">
        <v>106</v>
      </c>
      <c r="E38" s="11"/>
      <c r="F38" s="11" t="s">
        <v>98</v>
      </c>
      <c r="G38" s="88" t="s">
        <v>406</v>
      </c>
      <c r="H38" s="88" t="s">
        <v>280</v>
      </c>
      <c r="I38" s="122" t="str">
        <f>IF(_epmOfflineCondition_,"6",_xll.EVPRO($B$1,$G38,"HLEVEL"))</f>
        <v>6</v>
      </c>
      <c r="J38" s="122" t="str">
        <f>IF(_epmOfflineCondition_,"Y",_xll.EVPRO($B$1,$H38,"CALC"))</f>
        <v>Y</v>
      </c>
      <c r="K38" s="179" t="str">
        <f t="shared" si="0"/>
        <v/>
      </c>
      <c r="L38" s="90"/>
      <c r="M38" s="90" t="str">
        <f>IF(_epmOfflineCondition_,"Food &amp; Beverage Retail Shop",IF(_xll.EVDES(G38,$B$1)="#NODATA","",_xll.EVDES(G38,$B$1)))</f>
        <v>Food &amp; Beverage Retail Shop</v>
      </c>
      <c r="N38" s="143"/>
      <c r="O38" s="143"/>
      <c r="P38" s="143"/>
      <c r="Q38" s="143"/>
      <c r="R38" s="143"/>
      <c r="S38" s="143"/>
      <c r="T38" s="143"/>
      <c r="U38" s="143"/>
      <c r="V38" s="143"/>
      <c r="W38" s="143"/>
      <c r="X38" s="143"/>
      <c r="Y38" s="143"/>
      <c r="Z38" s="250">
        <f t="shared" si="1"/>
        <v>0</v>
      </c>
      <c r="AA38" s="144" t="str">
        <f t="shared" si="2"/>
        <v/>
      </c>
      <c r="AB38" s="140"/>
      <c r="AC38" s="143"/>
      <c r="AD38" s="144" t="str">
        <f t="shared" si="3"/>
        <v/>
      </c>
      <c r="AE38" s="145">
        <f t="shared" si="4"/>
        <v>0</v>
      </c>
      <c r="AF38" s="143"/>
      <c r="AG38" s="144" t="str">
        <f t="shared" si="5"/>
        <v/>
      </c>
      <c r="AH38" s="145">
        <f t="shared" si="6"/>
        <v>0</v>
      </c>
      <c r="AI38" s="440">
        <f t="shared" si="7"/>
        <v>0</v>
      </c>
      <c r="AJ38" s="441">
        <f t="shared" si="8"/>
        <v>0</v>
      </c>
      <c r="AK38" s="442">
        <f t="shared" si="9"/>
        <v>0</v>
      </c>
      <c r="AL38" s="443">
        <f t="shared" si="10"/>
        <v>0</v>
      </c>
      <c r="AM38" s="444">
        <f t="shared" si="11"/>
        <v>0</v>
      </c>
      <c r="AN38" s="11"/>
      <c r="AO38" s="11"/>
      <c r="AP38" s="11"/>
    </row>
    <row r="39" spans="1:42" x14ac:dyDescent="0.35">
      <c r="A39" s="11" t="s">
        <v>466</v>
      </c>
      <c r="B39" s="11"/>
      <c r="C39" s="53" t="s">
        <v>101</v>
      </c>
      <c r="D39" s="11" t="s">
        <v>106</v>
      </c>
      <c r="E39" s="11"/>
      <c r="F39" s="11" t="s">
        <v>98</v>
      </c>
      <c r="G39" s="88" t="s">
        <v>423</v>
      </c>
      <c r="H39" s="88" t="s">
        <v>280</v>
      </c>
      <c r="I39" s="122" t="str">
        <f>IF(_epmOfflineCondition_,"7",_xll.EVPRO($B$1,$G39,"HLEVEL"))</f>
        <v>7</v>
      </c>
      <c r="J39" s="122" t="str">
        <f>IF(_epmOfflineCondition_,"Y",_xll.EVPRO($B$1,$H39,"CALC"))</f>
        <v>Y</v>
      </c>
      <c r="K39" s="179" t="str">
        <f t="shared" si="0"/>
        <v/>
      </c>
      <c r="L39" s="90"/>
      <c r="M39" s="90" t="str">
        <f>IF(_epmOfflineCondition_,"Minor Operated Departments",IF(_xll.EVDES(G39,$B$1)="#NODATA","",_xll.EVDES(G39,$B$1)))</f>
        <v>Minor Operated Departments</v>
      </c>
      <c r="N39" s="143">
        <v>2230.89</v>
      </c>
      <c r="O39" s="143">
        <v>1586.7</v>
      </c>
      <c r="P39" s="143">
        <v>722.58</v>
      </c>
      <c r="Q39" s="143">
        <v>71.78</v>
      </c>
      <c r="R39" s="143"/>
      <c r="S39" s="143">
        <v>181.69</v>
      </c>
      <c r="T39" s="143">
        <v>403.74</v>
      </c>
      <c r="U39" s="143">
        <v>264.17</v>
      </c>
      <c r="V39" s="143">
        <v>592.71</v>
      </c>
      <c r="W39" s="143">
        <v>863.46</v>
      </c>
      <c r="X39" s="143">
        <v>-32.57</v>
      </c>
      <c r="Y39" s="143">
        <v>415.66</v>
      </c>
      <c r="Z39" s="250">
        <f t="shared" si="1"/>
        <v>7300.8099999999995</v>
      </c>
      <c r="AA39" s="144">
        <f t="shared" si="2"/>
        <v>0.10671612873331629</v>
      </c>
      <c r="AB39" s="140"/>
      <c r="AC39" s="143">
        <v>15495.95</v>
      </c>
      <c r="AD39" s="144">
        <f t="shared" si="3"/>
        <v>5.4666666666666669E-2</v>
      </c>
      <c r="AE39" s="145">
        <f t="shared" si="4"/>
        <v>-8195.1400000000012</v>
      </c>
      <c r="AF39" s="143">
        <v>13739.35</v>
      </c>
      <c r="AG39" s="144">
        <f t="shared" si="5"/>
        <v>5.595820807476045E-2</v>
      </c>
      <c r="AH39" s="145">
        <f t="shared" si="6"/>
        <v>-6438.5400000000009</v>
      </c>
      <c r="AI39" s="440">
        <f t="shared" si="7"/>
        <v>0.36413017456359098</v>
      </c>
      <c r="AJ39" s="441">
        <f t="shared" si="8"/>
        <v>0.41000000000000003</v>
      </c>
      <c r="AK39" s="442">
        <f t="shared" si="9"/>
        <v>0.41783802688400951</v>
      </c>
      <c r="AL39" s="443" t="str">
        <f t="shared" si="10"/>
        <v>5.2 pts.</v>
      </c>
      <c r="AM39" s="444" t="str">
        <f t="shared" si="11"/>
        <v>5.08 pts.</v>
      </c>
      <c r="AN39" s="11"/>
      <c r="AO39" s="11"/>
      <c r="AP39" s="11"/>
    </row>
    <row r="40" spans="1:42" x14ac:dyDescent="0.35">
      <c r="A40" s="11" t="s">
        <v>466</v>
      </c>
      <c r="B40" s="11"/>
      <c r="C40" s="196" t="s">
        <v>101</v>
      </c>
      <c r="D40" s="11" t="s">
        <v>107</v>
      </c>
      <c r="E40" s="11"/>
      <c r="F40" s="11" t="s">
        <v>99</v>
      </c>
      <c r="G40" s="11"/>
      <c r="H40" s="604" t="s">
        <v>69</v>
      </c>
      <c r="I40" s="179"/>
      <c r="J40" s="179"/>
      <c r="K40" s="179"/>
      <c r="L40" s="90"/>
      <c r="M40" s="106" t="s">
        <v>470</v>
      </c>
      <c r="N40" s="123">
        <f t="shared" ref="N40:Y40" si="12">SUM(N34:N39)</f>
        <v>27910.84</v>
      </c>
      <c r="O40" s="123">
        <f t="shared" si="12"/>
        <v>24134.170000000002</v>
      </c>
      <c r="P40" s="123">
        <f t="shared" si="12"/>
        <v>13133.12</v>
      </c>
      <c r="Q40" s="123">
        <f t="shared" si="12"/>
        <v>71.78</v>
      </c>
      <c r="R40" s="123">
        <f t="shared" si="12"/>
        <v>-72.900000000000006</v>
      </c>
      <c r="S40" s="123">
        <f t="shared" si="12"/>
        <v>181.69</v>
      </c>
      <c r="T40" s="123">
        <f t="shared" si="12"/>
        <v>403.74</v>
      </c>
      <c r="U40" s="123">
        <f t="shared" si="12"/>
        <v>264.17</v>
      </c>
      <c r="V40" s="123">
        <f t="shared" si="12"/>
        <v>1140.21</v>
      </c>
      <c r="W40" s="123">
        <f t="shared" si="12"/>
        <v>863.46</v>
      </c>
      <c r="X40" s="123">
        <f t="shared" si="12"/>
        <v>-32.57</v>
      </c>
      <c r="Y40" s="123">
        <f t="shared" si="12"/>
        <v>415.66</v>
      </c>
      <c r="Z40" s="123">
        <f t="shared" si="1"/>
        <v>68413.37000000001</v>
      </c>
      <c r="AA40" s="124">
        <f t="shared" si="2"/>
        <v>1</v>
      </c>
      <c r="AB40" s="11"/>
      <c r="AC40" s="123">
        <f>SUM(AC34:AC39)</f>
        <v>283462.5</v>
      </c>
      <c r="AD40" s="124">
        <f t="shared" si="3"/>
        <v>1</v>
      </c>
      <c r="AE40" s="125">
        <f t="shared" si="4"/>
        <v>-215049.13</v>
      </c>
      <c r="AF40" s="123">
        <f>SUM(AF34:AF39)</f>
        <v>245528.77000000002</v>
      </c>
      <c r="AG40" s="124">
        <f t="shared" si="5"/>
        <v>1.0000000000000002</v>
      </c>
      <c r="AH40" s="125">
        <f t="shared" si="6"/>
        <v>-177115.40000000002</v>
      </c>
      <c r="AI40" s="388">
        <f t="shared" si="7"/>
        <v>3.412138154613467</v>
      </c>
      <c r="AJ40" s="389">
        <f t="shared" si="8"/>
        <v>7.5</v>
      </c>
      <c r="AK40" s="390">
        <f t="shared" si="9"/>
        <v>7.4669658171644064</v>
      </c>
      <c r="AL40" s="391" t="str">
        <f t="shared" si="10"/>
        <v>0 pts.</v>
      </c>
      <c r="AM40" s="544" t="str">
        <f t="shared" si="11"/>
        <v>0 pts.</v>
      </c>
      <c r="AN40" s="11"/>
      <c r="AO40" s="11"/>
      <c r="AP40" s="11"/>
    </row>
    <row r="41" spans="1:42" x14ac:dyDescent="0.35">
      <c r="A41" s="11"/>
      <c r="B41" s="11"/>
      <c r="C41" s="11"/>
      <c r="D41" s="11"/>
      <c r="E41" s="11"/>
      <c r="F41" s="11"/>
      <c r="G41" s="106"/>
      <c r="H41" s="106"/>
      <c r="I41" s="106"/>
      <c r="J41" s="106"/>
      <c r="K41" s="106"/>
      <c r="L41" s="106"/>
      <c r="M41" s="106"/>
      <c r="N41" s="203"/>
      <c r="O41" s="204"/>
      <c r="P41" s="204"/>
      <c r="Q41" s="204"/>
      <c r="R41" s="204"/>
      <c r="S41" s="204"/>
      <c r="T41" s="204"/>
      <c r="U41" s="204"/>
      <c r="V41" s="204"/>
      <c r="W41" s="204"/>
      <c r="X41" s="204"/>
      <c r="Y41" s="204"/>
      <c r="Z41" s="204"/>
      <c r="AA41" s="118"/>
      <c r="AB41" s="11"/>
      <c r="AC41" s="203"/>
      <c r="AD41" s="204"/>
      <c r="AE41" s="118"/>
      <c r="AF41" s="203"/>
      <c r="AG41" s="204"/>
      <c r="AH41" s="118"/>
      <c r="AI41" s="11"/>
      <c r="AJ41" s="11"/>
      <c r="AK41" s="11"/>
      <c r="AL41" s="11"/>
      <c r="AM41" s="11"/>
      <c r="AN41" s="11"/>
      <c r="AO41" s="11"/>
      <c r="AP41" s="11"/>
    </row>
    <row r="42" spans="1:42" x14ac:dyDescent="0.35">
      <c r="A42" s="11"/>
      <c r="B42" s="11"/>
      <c r="C42" s="11"/>
      <c r="D42" s="11"/>
      <c r="E42" s="11"/>
      <c r="F42" s="11"/>
      <c r="G42" s="11"/>
      <c r="H42" s="11" t="s">
        <v>464</v>
      </c>
      <c r="I42" s="59" t="str">
        <f>IF(_epmOfflineCondition_,"T3",_xll.EVPRO($B$1,$H42,"STYLE"))</f>
        <v>T3</v>
      </c>
      <c r="J42" s="59" t="str">
        <f>IF(_epmOfflineCondition_,"Y",_xll.EVPRO($B$1,$H42,"CALC"))</f>
        <v>Y</v>
      </c>
      <c r="K42" s="11"/>
      <c r="L42" s="11"/>
      <c r="M42" s="105" t="str">
        <f>IF(_epmOfflineCondition_,"Departmental Expenses (Incl COS)",IF(_xll.EVDES(H42,$B$1)="#NODATA","",_xll.EVDES(H42,$B$1)))</f>
        <v>Departmental Expenses (Incl COS)</v>
      </c>
      <c r="N42" s="203"/>
      <c r="O42" s="204"/>
      <c r="P42" s="204"/>
      <c r="Q42" s="204"/>
      <c r="R42" s="204"/>
      <c r="S42" s="204"/>
      <c r="T42" s="204"/>
      <c r="U42" s="204"/>
      <c r="V42" s="204"/>
      <c r="W42" s="204"/>
      <c r="X42" s="204"/>
      <c r="Y42" s="204"/>
      <c r="Z42" s="204"/>
      <c r="AA42" s="118"/>
      <c r="AB42" s="11"/>
      <c r="AC42" s="203"/>
      <c r="AD42" s="204"/>
      <c r="AE42" s="118"/>
      <c r="AF42" s="203"/>
      <c r="AG42" s="204"/>
      <c r="AH42" s="118"/>
      <c r="AI42" s="11"/>
      <c r="AJ42" s="11"/>
      <c r="AK42" s="11"/>
      <c r="AL42" s="11"/>
      <c r="AM42" s="11"/>
      <c r="AN42" s="11"/>
      <c r="AO42" s="11"/>
      <c r="AP42" s="11"/>
    </row>
    <row r="43" spans="1:42" x14ac:dyDescent="0.35">
      <c r="A43" s="62" t="s">
        <v>23</v>
      </c>
      <c r="B43" s="63" t="s">
        <v>24</v>
      </c>
      <c r="C43" s="11"/>
      <c r="D43" s="11"/>
      <c r="E43" s="11"/>
      <c r="F43" s="11"/>
      <c r="G43" s="88" t="s">
        <v>365</v>
      </c>
      <c r="H43" s="88" t="s">
        <v>464</v>
      </c>
      <c r="I43" s="122" t="str">
        <f>IF(_epmOfflineCondition_,"7",_xll.EVPRO($B$1,$G43,"HLEVEL"))</f>
        <v>7</v>
      </c>
      <c r="J43" s="122" t="str">
        <f>IF(_epmOfflineCondition_,"Y",_xll.EVPRO($B$1,$H43,"CALC"))</f>
        <v>Y</v>
      </c>
      <c r="K43" s="90"/>
      <c r="L43" s="90"/>
      <c r="M43" s="90" t="str">
        <f>IF(_epmOfflineCondition_,"Guest Communications",IF(_xll.EVDES(G43,$B$1)="#NODATA","",_xll.EVDES(G43,$B$1)))</f>
        <v>Guest Communications</v>
      </c>
      <c r="N43" s="143"/>
      <c r="O43" s="143"/>
      <c r="P43" s="143"/>
      <c r="Q43" s="143"/>
      <c r="R43" s="143"/>
      <c r="S43" s="143"/>
      <c r="T43" s="143"/>
      <c r="U43" s="143"/>
      <c r="V43" s="143"/>
      <c r="W43" s="143"/>
      <c r="X43" s="143"/>
      <c r="Y43" s="143"/>
      <c r="Z43" s="250">
        <f t="shared" ref="Z43:Z49" si="13">IF($I43="B1","",SUM(N43:Y43))</f>
        <v>0</v>
      </c>
      <c r="AA43" s="144" t="str">
        <f t="shared" ref="AA43:AA49" si="14">IF(Z43=0,"",IFERROR(Z43/Z34,""))</f>
        <v/>
      </c>
      <c r="AB43" s="140"/>
      <c r="AC43" s="143"/>
      <c r="AD43" s="144" t="str">
        <f t="shared" ref="AD43:AD49" si="15">IF(AC43=0,"",IFERROR(AC43/AC34,""))</f>
        <v/>
      </c>
      <c r="AE43" s="145">
        <f t="shared" ref="AE43:AE49" si="16">IF(AND($Z43="",AC43=""),"",$Z43-AC43)</f>
        <v>0</v>
      </c>
      <c r="AF43" s="143"/>
      <c r="AG43" s="144" t="str">
        <f t="shared" ref="AG43:AG49" si="17">IF(AF43=0,"",IFERROR(AF43/AF34,""))</f>
        <v/>
      </c>
      <c r="AH43" s="145">
        <f t="shared" ref="AH43:AH49" si="18">IF(AND($Z43="",AF43=""),"",$Z43-AF43)</f>
        <v>0</v>
      </c>
      <c r="AI43" s="440">
        <f t="shared" ref="AI43:AI49" si="19">IFERROR(Z43/Z$20,0)</f>
        <v>0</v>
      </c>
      <c r="AJ43" s="441">
        <f t="shared" ref="AJ43:AJ49" si="20">IFERROR(AC43/AC$20,0)</f>
        <v>0</v>
      </c>
      <c r="AK43" s="442">
        <f t="shared" ref="AK43:AK49" si="21">IFERROR(AF43/AF$20,0)</f>
        <v>0</v>
      </c>
      <c r="AL43" s="443">
        <f t="shared" ref="AL43:AL49" si="22">+IFERROR(ROUND(($AA43-AD43)*100,2)&amp;" pts.",0)</f>
        <v>0</v>
      </c>
      <c r="AM43" s="444">
        <f t="shared" ref="AM43:AM49" si="23">+IFERROR(ROUND(($AA43-AG43)*100,2)&amp;" pts.",0)</f>
        <v>0</v>
      </c>
      <c r="AN43" s="11"/>
      <c r="AO43" s="11"/>
      <c r="AP43" s="11"/>
    </row>
    <row r="44" spans="1:42" x14ac:dyDescent="0.35">
      <c r="A44" s="65" t="s">
        <v>25</v>
      </c>
      <c r="B44" s="66"/>
      <c r="C44" s="11"/>
      <c r="D44" s="11"/>
      <c r="E44" s="11"/>
      <c r="F44" s="11"/>
      <c r="G44" s="88" t="s">
        <v>366</v>
      </c>
      <c r="H44" s="88" t="s">
        <v>464</v>
      </c>
      <c r="I44" s="122" t="str">
        <f>IF(_epmOfflineCondition_,"7",_xll.EVPRO($B$1,$G44,"HLEVEL"))</f>
        <v>7</v>
      </c>
      <c r="J44" s="122" t="str">
        <f>IF(_epmOfflineCondition_,"Y",_xll.EVPRO($B$1,$H44,"CALC"))</f>
        <v>Y</v>
      </c>
      <c r="K44" s="90"/>
      <c r="L44" s="90"/>
      <c r="M44" s="90" t="str">
        <f>IF(_epmOfflineCondition_,"Health Club/Spa",IF(_xll.EVDES(G44,$B$1)="#NODATA","",_xll.EVDES(G44,$B$1)))</f>
        <v>Health Club/Spa</v>
      </c>
      <c r="N44" s="143"/>
      <c r="O44" s="143"/>
      <c r="P44" s="143"/>
      <c r="Q44" s="143"/>
      <c r="R44" s="143"/>
      <c r="S44" s="143"/>
      <c r="T44" s="143"/>
      <c r="U44" s="143"/>
      <c r="V44" s="143"/>
      <c r="W44" s="143"/>
      <c r="X44" s="143"/>
      <c r="Y44" s="143"/>
      <c r="Z44" s="250">
        <f t="shared" si="13"/>
        <v>0</v>
      </c>
      <c r="AA44" s="144" t="str">
        <f t="shared" si="14"/>
        <v/>
      </c>
      <c r="AB44" s="140"/>
      <c r="AC44" s="143"/>
      <c r="AD44" s="144" t="str">
        <f t="shared" si="15"/>
        <v/>
      </c>
      <c r="AE44" s="145">
        <f t="shared" si="16"/>
        <v>0</v>
      </c>
      <c r="AF44" s="143"/>
      <c r="AG44" s="144" t="str">
        <f t="shared" si="17"/>
        <v/>
      </c>
      <c r="AH44" s="145">
        <f t="shared" si="18"/>
        <v>0</v>
      </c>
      <c r="AI44" s="440">
        <f t="shared" si="19"/>
        <v>0</v>
      </c>
      <c r="AJ44" s="441">
        <f t="shared" si="20"/>
        <v>0</v>
      </c>
      <c r="AK44" s="442">
        <f t="shared" si="21"/>
        <v>0</v>
      </c>
      <c r="AL44" s="443">
        <f t="shared" si="22"/>
        <v>0</v>
      </c>
      <c r="AM44" s="444">
        <f t="shared" si="23"/>
        <v>0</v>
      </c>
      <c r="AN44" s="11"/>
      <c r="AO44" s="11"/>
      <c r="AP44" s="11"/>
    </row>
    <row r="45" spans="1:42" x14ac:dyDescent="0.35">
      <c r="A45" s="65" t="s">
        <v>26</v>
      </c>
      <c r="B45" s="66"/>
      <c r="C45" s="11"/>
      <c r="D45" s="11"/>
      <c r="E45" s="11"/>
      <c r="F45" s="11"/>
      <c r="G45" s="88" t="s">
        <v>380</v>
      </c>
      <c r="H45" s="88" t="s">
        <v>464</v>
      </c>
      <c r="I45" s="122" t="str">
        <f>IF(_epmOfflineCondition_,"7",_xll.EVPRO($B$1,$G45,"HLEVEL"))</f>
        <v>7</v>
      </c>
      <c r="J45" s="122" t="str">
        <f>IF(_epmOfflineCondition_,"Y",_xll.EVPRO($B$1,$H45,"CALC"))</f>
        <v>Y</v>
      </c>
      <c r="K45" s="90"/>
      <c r="L45" s="90"/>
      <c r="M45" s="90" t="str">
        <f>IF(_epmOfflineCondition_,"Parking",IF(_xll.EVDES(G45,$B$1)="#NODATA","",_xll.EVDES(G45,$B$1)))</f>
        <v>Parking</v>
      </c>
      <c r="N45" s="143">
        <v>26459.360000000001</v>
      </c>
      <c r="O45" s="143">
        <v>19061.830000000002</v>
      </c>
      <c r="P45" s="143">
        <v>13768.15</v>
      </c>
      <c r="Q45" s="143">
        <v>-45.46</v>
      </c>
      <c r="R45" s="143"/>
      <c r="S45" s="143"/>
      <c r="T45" s="143"/>
      <c r="U45" s="143"/>
      <c r="V45" s="143"/>
      <c r="W45" s="143"/>
      <c r="X45" s="143"/>
      <c r="Y45" s="143"/>
      <c r="Z45" s="250">
        <f t="shared" si="13"/>
        <v>59243.880000000005</v>
      </c>
      <c r="AA45" s="144">
        <f t="shared" si="14"/>
        <v>0.96942232496887726</v>
      </c>
      <c r="AB45" s="140"/>
      <c r="AC45" s="143">
        <v>259998.467032935</v>
      </c>
      <c r="AD45" s="144">
        <f t="shared" si="15"/>
        <v>0.97026463576493038</v>
      </c>
      <c r="AE45" s="145">
        <f t="shared" si="16"/>
        <v>-200754.587032935</v>
      </c>
      <c r="AF45" s="143">
        <v>273230.17</v>
      </c>
      <c r="AG45" s="144">
        <f t="shared" si="17"/>
        <v>1.1787862017170585</v>
      </c>
      <c r="AH45" s="145">
        <f t="shared" si="18"/>
        <v>-213986.28999999998</v>
      </c>
      <c r="AI45" s="440">
        <f t="shared" si="19"/>
        <v>2.9548069825436412</v>
      </c>
      <c r="AJ45" s="441">
        <f t="shared" si="20"/>
        <v>6.8791762675733565</v>
      </c>
      <c r="AK45" s="442">
        <f t="shared" si="21"/>
        <v>8.3094145733227904</v>
      </c>
      <c r="AL45" s="443" t="str">
        <f t="shared" si="22"/>
        <v>-0.08 pts.</v>
      </c>
      <c r="AM45" s="444" t="str">
        <f t="shared" si="23"/>
        <v>-20.94 pts.</v>
      </c>
      <c r="AN45" s="11"/>
      <c r="AO45" s="11"/>
      <c r="AP45" s="11"/>
    </row>
    <row r="46" spans="1:42" x14ac:dyDescent="0.35">
      <c r="A46" s="65" t="s">
        <v>27</v>
      </c>
      <c r="B46" s="66"/>
      <c r="C46" s="11"/>
      <c r="D46" s="11"/>
      <c r="E46" s="11"/>
      <c r="F46" s="11"/>
      <c r="G46" s="88" t="s">
        <v>386</v>
      </c>
      <c r="H46" s="88" t="s">
        <v>464</v>
      </c>
      <c r="I46" s="122" t="str">
        <f>IF(_epmOfflineCondition_,"7",_xll.EVPRO($B$1,$G46,"HLEVEL"))</f>
        <v>7</v>
      </c>
      <c r="J46" s="122" t="str">
        <f>IF(_epmOfflineCondition_,"Y",_xll.EVPRO($B$1,$H46,"CALC"))</f>
        <v>Y</v>
      </c>
      <c r="K46" s="90"/>
      <c r="L46" s="90"/>
      <c r="M46" s="90" t="str">
        <f>IF(_epmOfflineCondition_,"Retail Shop",IF(_xll.EVDES(G46,$B$1)="#NODATA","",_xll.EVDES(G46,$B$1)))</f>
        <v>Retail Shop</v>
      </c>
      <c r="N46" s="143"/>
      <c r="O46" s="143"/>
      <c r="P46" s="143"/>
      <c r="Q46" s="143"/>
      <c r="R46" s="143"/>
      <c r="S46" s="143"/>
      <c r="T46" s="143"/>
      <c r="U46" s="143"/>
      <c r="V46" s="143"/>
      <c r="W46" s="143"/>
      <c r="X46" s="143"/>
      <c r="Y46" s="143"/>
      <c r="Z46" s="250">
        <f t="shared" si="13"/>
        <v>0</v>
      </c>
      <c r="AA46" s="144" t="str">
        <f t="shared" si="14"/>
        <v/>
      </c>
      <c r="AB46" s="140"/>
      <c r="AC46" s="143"/>
      <c r="AD46" s="144" t="str">
        <f t="shared" si="15"/>
        <v/>
      </c>
      <c r="AE46" s="145">
        <f t="shared" si="16"/>
        <v>0</v>
      </c>
      <c r="AF46" s="143"/>
      <c r="AG46" s="144" t="str">
        <f t="shared" si="17"/>
        <v/>
      </c>
      <c r="AH46" s="145">
        <f t="shared" si="18"/>
        <v>0</v>
      </c>
      <c r="AI46" s="440">
        <f t="shared" si="19"/>
        <v>0</v>
      </c>
      <c r="AJ46" s="441">
        <f t="shared" si="20"/>
        <v>0</v>
      </c>
      <c r="AK46" s="442">
        <f t="shared" si="21"/>
        <v>0</v>
      </c>
      <c r="AL46" s="443">
        <f t="shared" si="22"/>
        <v>0</v>
      </c>
      <c r="AM46" s="444">
        <f t="shared" si="23"/>
        <v>0</v>
      </c>
      <c r="AN46" s="11"/>
      <c r="AO46" s="11"/>
      <c r="AP46" s="11"/>
    </row>
    <row r="47" spans="1:42" x14ac:dyDescent="0.35">
      <c r="A47" s="65" t="s">
        <v>28</v>
      </c>
      <c r="B47" s="66"/>
      <c r="C47" s="11"/>
      <c r="D47" s="11"/>
      <c r="E47" s="11"/>
      <c r="F47" s="11"/>
      <c r="G47" s="88" t="s">
        <v>406</v>
      </c>
      <c r="H47" s="88" t="s">
        <v>464</v>
      </c>
      <c r="I47" s="122" t="str">
        <f>IF(_epmOfflineCondition_,"6",_xll.EVPRO($B$1,$G47,"HLEVEL"))</f>
        <v>6</v>
      </c>
      <c r="J47" s="122" t="str">
        <f>IF(_epmOfflineCondition_,"Y",_xll.EVPRO($B$1,$H47,"CALC"))</f>
        <v>Y</v>
      </c>
      <c r="K47" s="90"/>
      <c r="L47" s="90"/>
      <c r="M47" s="90" t="str">
        <f>IF(_epmOfflineCondition_,"Food &amp; Beverage Retail Shop",IF(_xll.EVDES(G47,$B$1)="#NODATA","",_xll.EVDES(G47,$B$1)))</f>
        <v>Food &amp; Beverage Retail Shop</v>
      </c>
      <c r="N47" s="143"/>
      <c r="O47" s="143"/>
      <c r="P47" s="143"/>
      <c r="Q47" s="143"/>
      <c r="R47" s="143"/>
      <c r="S47" s="143"/>
      <c r="T47" s="143"/>
      <c r="U47" s="143"/>
      <c r="V47" s="143"/>
      <c r="W47" s="143"/>
      <c r="X47" s="143"/>
      <c r="Y47" s="143"/>
      <c r="Z47" s="250">
        <f t="shared" si="13"/>
        <v>0</v>
      </c>
      <c r="AA47" s="144" t="str">
        <f t="shared" si="14"/>
        <v/>
      </c>
      <c r="AB47" s="140"/>
      <c r="AC47" s="143"/>
      <c r="AD47" s="144" t="str">
        <f t="shared" si="15"/>
        <v/>
      </c>
      <c r="AE47" s="145">
        <f t="shared" si="16"/>
        <v>0</v>
      </c>
      <c r="AF47" s="143"/>
      <c r="AG47" s="144" t="str">
        <f t="shared" si="17"/>
        <v/>
      </c>
      <c r="AH47" s="145">
        <f t="shared" si="18"/>
        <v>0</v>
      </c>
      <c r="AI47" s="440">
        <f t="shared" si="19"/>
        <v>0</v>
      </c>
      <c r="AJ47" s="441">
        <f t="shared" si="20"/>
        <v>0</v>
      </c>
      <c r="AK47" s="442">
        <f t="shared" si="21"/>
        <v>0</v>
      </c>
      <c r="AL47" s="443">
        <f t="shared" si="22"/>
        <v>0</v>
      </c>
      <c r="AM47" s="444">
        <f t="shared" si="23"/>
        <v>0</v>
      </c>
      <c r="AN47" s="11"/>
      <c r="AO47" s="11"/>
      <c r="AP47" s="11"/>
    </row>
    <row r="48" spans="1:42" x14ac:dyDescent="0.35">
      <c r="A48" s="65" t="s">
        <v>29</v>
      </c>
      <c r="B48" s="66"/>
      <c r="C48" s="11"/>
      <c r="D48" s="11"/>
      <c r="E48" s="11"/>
      <c r="F48" s="11"/>
      <c r="G48" s="88" t="s">
        <v>423</v>
      </c>
      <c r="H48" s="88" t="s">
        <v>464</v>
      </c>
      <c r="I48" s="122" t="str">
        <f>IF(_epmOfflineCondition_,"7",_xll.EVPRO($B$1,$G48,"HLEVEL"))</f>
        <v>7</v>
      </c>
      <c r="J48" s="122" t="str">
        <f>IF(_epmOfflineCondition_,"Y",_xll.EVPRO($B$1,$H48,"CALC"))</f>
        <v>Y</v>
      </c>
      <c r="K48" s="90"/>
      <c r="L48" s="90"/>
      <c r="M48" s="90" t="str">
        <f>IF(_epmOfflineCondition_,"Minor Operated Departments",IF(_xll.EVDES(G48,$B$1)="#NODATA","",_xll.EVDES(G48,$B$1)))</f>
        <v>Minor Operated Departments</v>
      </c>
      <c r="N48" s="143">
        <v>1490.05</v>
      </c>
      <c r="O48" s="143">
        <v>647.03</v>
      </c>
      <c r="P48" s="143">
        <v>58</v>
      </c>
      <c r="Q48" s="143">
        <v>59.91</v>
      </c>
      <c r="R48" s="143"/>
      <c r="S48" s="143">
        <v>72</v>
      </c>
      <c r="T48" s="143"/>
      <c r="U48" s="143"/>
      <c r="V48" s="143"/>
      <c r="W48" s="143">
        <v>282</v>
      </c>
      <c r="X48" s="143"/>
      <c r="Y48" s="143">
        <v>136.91</v>
      </c>
      <c r="Z48" s="250">
        <f t="shared" si="13"/>
        <v>2745.8999999999996</v>
      </c>
      <c r="AA48" s="144">
        <f t="shared" si="14"/>
        <v>0.37610895229433444</v>
      </c>
      <c r="AB48" s="140"/>
      <c r="AC48" s="143">
        <v>5368.0238499999996</v>
      </c>
      <c r="AD48" s="144">
        <f t="shared" si="15"/>
        <v>0.34641463414634144</v>
      </c>
      <c r="AE48" s="145">
        <f t="shared" si="16"/>
        <v>-2622.1238499999999</v>
      </c>
      <c r="AF48" s="143">
        <v>5101.1400000000003</v>
      </c>
      <c r="AG48" s="144">
        <f t="shared" si="17"/>
        <v>0.37127957290555957</v>
      </c>
      <c r="AH48" s="145">
        <f t="shared" si="18"/>
        <v>-2355.2400000000007</v>
      </c>
      <c r="AI48" s="440">
        <f t="shared" si="19"/>
        <v>0.1369526184538653</v>
      </c>
      <c r="AJ48" s="441">
        <f t="shared" si="20"/>
        <v>0.14202999999999999</v>
      </c>
      <c r="AK48" s="442">
        <f t="shared" si="21"/>
        <v>0.15513472416519677</v>
      </c>
      <c r="AL48" s="443" t="str">
        <f t="shared" si="22"/>
        <v>2.97 pts.</v>
      </c>
      <c r="AM48" s="444" t="str">
        <f t="shared" si="23"/>
        <v>0.48 pts.</v>
      </c>
      <c r="AN48" s="11"/>
      <c r="AO48" s="11"/>
      <c r="AP48" s="11"/>
    </row>
    <row r="49" spans="1:42" x14ac:dyDescent="0.35">
      <c r="A49" s="65" t="s">
        <v>30</v>
      </c>
      <c r="B49" s="66" t="s">
        <v>78</v>
      </c>
      <c r="C49" s="11"/>
      <c r="D49" s="11"/>
      <c r="E49" s="11"/>
      <c r="F49" s="11"/>
      <c r="G49" s="11"/>
      <c r="H49" s="604" t="s">
        <v>493</v>
      </c>
      <c r="I49" s="179"/>
      <c r="J49" s="179"/>
      <c r="K49" s="179"/>
      <c r="L49" s="90"/>
      <c r="M49" s="106" t="s">
        <v>469</v>
      </c>
      <c r="N49" s="123">
        <f t="shared" ref="N49:Y49" si="24">SUM(N43:N48)</f>
        <v>27949.41</v>
      </c>
      <c r="O49" s="123">
        <f t="shared" si="24"/>
        <v>19708.86</v>
      </c>
      <c r="P49" s="123">
        <f t="shared" si="24"/>
        <v>13826.15</v>
      </c>
      <c r="Q49" s="123">
        <f t="shared" si="24"/>
        <v>14.449999999999996</v>
      </c>
      <c r="R49" s="123">
        <f t="shared" si="24"/>
        <v>0</v>
      </c>
      <c r="S49" s="123">
        <f t="shared" si="24"/>
        <v>72</v>
      </c>
      <c r="T49" s="123">
        <f t="shared" si="24"/>
        <v>0</v>
      </c>
      <c r="U49" s="123">
        <f t="shared" si="24"/>
        <v>0</v>
      </c>
      <c r="V49" s="123">
        <f t="shared" si="24"/>
        <v>0</v>
      </c>
      <c r="W49" s="123">
        <f t="shared" si="24"/>
        <v>282</v>
      </c>
      <c r="X49" s="123">
        <f t="shared" si="24"/>
        <v>0</v>
      </c>
      <c r="Y49" s="123">
        <f t="shared" si="24"/>
        <v>136.91</v>
      </c>
      <c r="Z49" s="123">
        <f t="shared" si="13"/>
        <v>61989.780000000006</v>
      </c>
      <c r="AA49" s="124">
        <f t="shared" si="14"/>
        <v>0.90610621871134245</v>
      </c>
      <c r="AB49" s="11"/>
      <c r="AC49" s="123">
        <f>SUM(AC43:AC48)</f>
        <v>265366.490882935</v>
      </c>
      <c r="AD49" s="124">
        <f t="shared" si="15"/>
        <v>0.93616083567644748</v>
      </c>
      <c r="AE49" s="125">
        <f t="shared" si="16"/>
        <v>-203376.710882935</v>
      </c>
      <c r="AF49" s="123">
        <f>SUM(AF43:AF48)</f>
        <v>278331.31</v>
      </c>
      <c r="AG49" s="124">
        <f t="shared" si="17"/>
        <v>1.1335995777602763</v>
      </c>
      <c r="AH49" s="125">
        <f t="shared" si="18"/>
        <v>-216341.53</v>
      </c>
      <c r="AI49" s="388">
        <f t="shared" si="19"/>
        <v>3.0917596009975066</v>
      </c>
      <c r="AJ49" s="389">
        <f t="shared" si="20"/>
        <v>7.0212062675733566</v>
      </c>
      <c r="AK49" s="390">
        <f t="shared" si="21"/>
        <v>8.4645492974879879</v>
      </c>
      <c r="AL49" s="391" t="str">
        <f t="shared" si="22"/>
        <v>-3.01 pts.</v>
      </c>
      <c r="AM49" s="544" t="str">
        <f t="shared" si="23"/>
        <v>-22.75 pts.</v>
      </c>
      <c r="AN49" s="11"/>
      <c r="AO49" s="11"/>
      <c r="AP49" s="11"/>
    </row>
    <row r="50" spans="1:42" x14ac:dyDescent="0.35">
      <c r="A50" s="65" t="s">
        <v>31</v>
      </c>
      <c r="B50" s="66" t="s">
        <v>78</v>
      </c>
      <c r="C50" s="11"/>
      <c r="D50" s="11"/>
      <c r="E50" s="11"/>
      <c r="F50" s="11"/>
      <c r="G50" s="106"/>
      <c r="H50" s="106"/>
      <c r="I50" s="106"/>
      <c r="J50" s="106"/>
      <c r="K50" s="106"/>
      <c r="L50" s="106"/>
      <c r="M50" s="106"/>
      <c r="N50" s="203"/>
      <c r="O50" s="204"/>
      <c r="P50" s="204"/>
      <c r="Q50" s="204"/>
      <c r="R50" s="204"/>
      <c r="S50" s="204"/>
      <c r="T50" s="204"/>
      <c r="U50" s="204"/>
      <c r="V50" s="204"/>
      <c r="W50" s="204"/>
      <c r="X50" s="204"/>
      <c r="Y50" s="204"/>
      <c r="Z50" s="204"/>
      <c r="AA50" s="118"/>
      <c r="AB50" s="11"/>
      <c r="AC50" s="203"/>
      <c r="AD50" s="204"/>
      <c r="AE50" s="118"/>
      <c r="AF50" s="203"/>
      <c r="AG50" s="204"/>
      <c r="AH50" s="118"/>
      <c r="AI50" s="11"/>
      <c r="AJ50" s="11"/>
      <c r="AK50" s="11"/>
      <c r="AL50" s="11"/>
      <c r="AM50" s="11"/>
      <c r="AN50" s="11"/>
      <c r="AO50" s="11"/>
      <c r="AP50" s="11"/>
    </row>
    <row r="51" spans="1:42" x14ac:dyDescent="0.35">
      <c r="A51" s="65" t="s">
        <v>32</v>
      </c>
      <c r="B51" s="66"/>
      <c r="C51" s="11"/>
      <c r="D51" s="11"/>
      <c r="E51" s="11"/>
      <c r="F51" s="11"/>
      <c r="G51" s="11"/>
      <c r="H51" s="11" t="s">
        <v>81</v>
      </c>
      <c r="I51" s="59" t="str">
        <f>IF(_epmOfflineCondition_,"T3",_xll.EVPRO($B$1,$H51,"STYLE"))</f>
        <v>T3</v>
      </c>
      <c r="J51" s="59" t="str">
        <f>IF(_epmOfflineCondition_,"Y",_xll.EVPRO($B$1,$H51,"CALC"))</f>
        <v>Y</v>
      </c>
      <c r="K51" s="11"/>
      <c r="L51" s="11"/>
      <c r="M51" s="105" t="str">
        <f>IF(_epmOfflineCondition_,"Department Profit (Loss)",IF(_xll.EVDES(H51,$B$1)="#NODATA","",_xll.EVDES(H51,$B$1)))</f>
        <v>Department Profit (Loss)</v>
      </c>
      <c r="N51" s="203"/>
      <c r="O51" s="204"/>
      <c r="P51" s="204"/>
      <c r="Q51" s="204"/>
      <c r="R51" s="204"/>
      <c r="S51" s="204"/>
      <c r="T51" s="204"/>
      <c r="U51" s="204"/>
      <c r="V51" s="204"/>
      <c r="W51" s="204"/>
      <c r="X51" s="204"/>
      <c r="Y51" s="204"/>
      <c r="Z51" s="204"/>
      <c r="AA51" s="118"/>
      <c r="AB51" s="11"/>
      <c r="AC51" s="203"/>
      <c r="AD51" s="204"/>
      <c r="AE51" s="118"/>
      <c r="AF51" s="203"/>
      <c r="AG51" s="204"/>
      <c r="AH51" s="118"/>
      <c r="AI51" s="11"/>
      <c r="AJ51" s="11"/>
      <c r="AK51" s="11"/>
      <c r="AL51" s="11"/>
      <c r="AM51" s="11"/>
      <c r="AN51" s="11"/>
      <c r="AO51" s="11"/>
      <c r="AP51" s="11"/>
    </row>
    <row r="52" spans="1:42" x14ac:dyDescent="0.35">
      <c r="A52" s="65" t="s">
        <v>33</v>
      </c>
      <c r="B52" s="66"/>
      <c r="C52" s="11"/>
      <c r="D52" s="11"/>
      <c r="E52" s="11"/>
      <c r="F52" s="11"/>
      <c r="G52" s="88" t="s">
        <v>365</v>
      </c>
      <c r="H52" s="88" t="s">
        <v>81</v>
      </c>
      <c r="I52" s="122" t="str">
        <f>IF(_epmOfflineCondition_,"7",_xll.EVPRO($B$1,$G52,"HLEVEL"))</f>
        <v>7</v>
      </c>
      <c r="J52" s="122" t="str">
        <f>IF(_epmOfflineCondition_,"Y",_xll.EVPRO($B$1,$H52,"CALC"))</f>
        <v>Y</v>
      </c>
      <c r="K52" s="90"/>
      <c r="L52" s="90"/>
      <c r="M52" s="90" t="str">
        <f>IF(_epmOfflineCondition_,"Guest Communications",IF(_xll.EVDES(G52,$B$1)="#NODATA","",_xll.EVDES(G52,$B$1)))</f>
        <v>Guest Communications</v>
      </c>
      <c r="N52" s="143">
        <f t="shared" ref="N52:Y52" si="25">IFERROR(N34-N43,"")</f>
        <v>0</v>
      </c>
      <c r="O52" s="143">
        <f t="shared" si="25"/>
        <v>0</v>
      </c>
      <c r="P52" s="143">
        <f t="shared" si="25"/>
        <v>0</v>
      </c>
      <c r="Q52" s="143">
        <f t="shared" si="25"/>
        <v>0</v>
      </c>
      <c r="R52" s="143">
        <f t="shared" si="25"/>
        <v>0</v>
      </c>
      <c r="S52" s="143">
        <f t="shared" si="25"/>
        <v>0</v>
      </c>
      <c r="T52" s="143">
        <f t="shared" si="25"/>
        <v>0</v>
      </c>
      <c r="U52" s="143">
        <f t="shared" si="25"/>
        <v>0</v>
      </c>
      <c r="V52" s="143">
        <f t="shared" si="25"/>
        <v>0</v>
      </c>
      <c r="W52" s="143">
        <f t="shared" si="25"/>
        <v>0</v>
      </c>
      <c r="X52" s="143">
        <f t="shared" si="25"/>
        <v>0</v>
      </c>
      <c r="Y52" s="143">
        <f t="shared" si="25"/>
        <v>0</v>
      </c>
      <c r="Z52" s="250">
        <f t="shared" ref="Z52:Z58" si="26">IF($I52="B1","",SUM(N52:Y52))</f>
        <v>0</v>
      </c>
      <c r="AA52" s="144" t="str">
        <f t="shared" ref="AA52:AA58" si="27">IF(Z52=0,"",IFERROR(Z52/Z34,""))</f>
        <v/>
      </c>
      <c r="AB52" s="140"/>
      <c r="AC52" s="143">
        <f t="shared" ref="AC52:AC57" si="28">IFERROR(AC34-AC43,"")</f>
        <v>0</v>
      </c>
      <c r="AD52" s="144" t="str">
        <f t="shared" ref="AD52:AD58" si="29">IF(AC52=0,"",IFERROR(AC52/AC34,""))</f>
        <v/>
      </c>
      <c r="AE52" s="145">
        <f t="shared" ref="AE52:AE58" si="30">IF(AND($Z52="",AC52=""),"",$Z52-AC52)</f>
        <v>0</v>
      </c>
      <c r="AF52" s="143">
        <f t="shared" ref="AF52:AF57" si="31">IFERROR(AF34-AF43,"")</f>
        <v>0</v>
      </c>
      <c r="AG52" s="144" t="str">
        <f t="shared" ref="AG52:AG58" si="32">IF(AF52=0,"",IFERROR(AF52/AF34,""))</f>
        <v/>
      </c>
      <c r="AH52" s="145">
        <f t="shared" ref="AH52:AH58" si="33">IF(AND($Z52="",AF52=""),"",$Z52-AF52)</f>
        <v>0</v>
      </c>
      <c r="AI52" s="440">
        <f t="shared" ref="AI52:AI58" si="34">IFERROR(Z52/Z$20,0)</f>
        <v>0</v>
      </c>
      <c r="AJ52" s="441">
        <f t="shared" ref="AJ52:AJ58" si="35">IFERROR(AC52/AC$20,0)</f>
        <v>0</v>
      </c>
      <c r="AK52" s="442">
        <f t="shared" ref="AK52:AK58" si="36">IFERROR(AF52/AF$20,0)</f>
        <v>0</v>
      </c>
      <c r="AL52" s="443">
        <f t="shared" ref="AL52:AL58" si="37">+IFERROR(ROUND(($AA52-AD52)*100,2)&amp;" pts.",0)</f>
        <v>0</v>
      </c>
      <c r="AM52" s="444">
        <f t="shared" ref="AM52:AM58" si="38">+IFERROR(ROUND(($AA52-AG52)*100,2)&amp;" pts.",0)</f>
        <v>0</v>
      </c>
      <c r="AN52" s="11"/>
      <c r="AO52" s="11"/>
      <c r="AP52" s="11"/>
    </row>
    <row r="53" spans="1:42" x14ac:dyDescent="0.35">
      <c r="A53" s="65" t="s">
        <v>34</v>
      </c>
      <c r="B53" s="66"/>
      <c r="C53" s="11"/>
      <c r="D53" s="11"/>
      <c r="E53" s="11"/>
      <c r="F53" s="11"/>
      <c r="G53" s="88" t="s">
        <v>366</v>
      </c>
      <c r="H53" s="88" t="s">
        <v>81</v>
      </c>
      <c r="I53" s="122" t="str">
        <f>IF(_epmOfflineCondition_,"7",_xll.EVPRO($B$1,$G53,"HLEVEL"))</f>
        <v>7</v>
      </c>
      <c r="J53" s="122" t="str">
        <f>IF(_epmOfflineCondition_,"Y",_xll.EVPRO($B$1,$H53,"CALC"))</f>
        <v>Y</v>
      </c>
      <c r="K53" s="90"/>
      <c r="L53" s="90"/>
      <c r="M53" s="90" t="str">
        <f>IF(_epmOfflineCondition_,"Health Club/Spa",IF(_xll.EVDES(G53,$B$1)="#NODATA","",_xll.EVDES(G53,$B$1)))</f>
        <v>Health Club/Spa</v>
      </c>
      <c r="N53" s="143">
        <f t="shared" ref="N53:Y53" si="39">IFERROR(N35-N44,"")</f>
        <v>0</v>
      </c>
      <c r="O53" s="143">
        <f t="shared" si="39"/>
        <v>0</v>
      </c>
      <c r="P53" s="143">
        <f t="shared" si="39"/>
        <v>0</v>
      </c>
      <c r="Q53" s="143">
        <f t="shared" si="39"/>
        <v>0</v>
      </c>
      <c r="R53" s="143">
        <f t="shared" si="39"/>
        <v>0</v>
      </c>
      <c r="S53" s="143">
        <f t="shared" si="39"/>
        <v>0</v>
      </c>
      <c r="T53" s="143">
        <f t="shared" si="39"/>
        <v>0</v>
      </c>
      <c r="U53" s="143">
        <f t="shared" si="39"/>
        <v>0</v>
      </c>
      <c r="V53" s="143">
        <f t="shared" si="39"/>
        <v>0</v>
      </c>
      <c r="W53" s="143">
        <f t="shared" si="39"/>
        <v>0</v>
      </c>
      <c r="X53" s="143">
        <f t="shared" si="39"/>
        <v>0</v>
      </c>
      <c r="Y53" s="143">
        <f t="shared" si="39"/>
        <v>0</v>
      </c>
      <c r="Z53" s="250">
        <f t="shared" si="26"/>
        <v>0</v>
      </c>
      <c r="AA53" s="144" t="str">
        <f t="shared" si="27"/>
        <v/>
      </c>
      <c r="AB53" s="140"/>
      <c r="AC53" s="143">
        <f t="shared" si="28"/>
        <v>0</v>
      </c>
      <c r="AD53" s="144" t="str">
        <f t="shared" si="29"/>
        <v/>
      </c>
      <c r="AE53" s="145">
        <f t="shared" si="30"/>
        <v>0</v>
      </c>
      <c r="AF53" s="143">
        <f t="shared" si="31"/>
        <v>0</v>
      </c>
      <c r="AG53" s="144" t="str">
        <f t="shared" si="32"/>
        <v/>
      </c>
      <c r="AH53" s="145">
        <f t="shared" si="33"/>
        <v>0</v>
      </c>
      <c r="AI53" s="440">
        <f t="shared" si="34"/>
        <v>0</v>
      </c>
      <c r="AJ53" s="441">
        <f t="shared" si="35"/>
        <v>0</v>
      </c>
      <c r="AK53" s="442">
        <f t="shared" si="36"/>
        <v>0</v>
      </c>
      <c r="AL53" s="443">
        <f t="shared" si="37"/>
        <v>0</v>
      </c>
      <c r="AM53" s="444">
        <f t="shared" si="38"/>
        <v>0</v>
      </c>
      <c r="AN53" s="11"/>
      <c r="AO53" s="11"/>
      <c r="AP53" s="11"/>
    </row>
    <row r="54" spans="1:42" x14ac:dyDescent="0.35">
      <c r="A54" s="65" t="s">
        <v>35</v>
      </c>
      <c r="B54" s="66"/>
      <c r="C54" s="11"/>
      <c r="D54" s="11"/>
      <c r="E54" s="11"/>
      <c r="F54" s="11"/>
      <c r="G54" s="88" t="s">
        <v>380</v>
      </c>
      <c r="H54" s="88" t="s">
        <v>81</v>
      </c>
      <c r="I54" s="122" t="str">
        <f>IF(_epmOfflineCondition_,"7",_xll.EVPRO($B$1,$G54,"HLEVEL"))</f>
        <v>7</v>
      </c>
      <c r="J54" s="122" t="str">
        <f>IF(_epmOfflineCondition_,"Y",_xll.EVPRO($B$1,$H54,"CALC"))</f>
        <v>Y</v>
      </c>
      <c r="K54" s="90"/>
      <c r="L54" s="90"/>
      <c r="M54" s="90" t="str">
        <f>IF(_epmOfflineCondition_,"Parking",IF(_xll.EVDES(G54,$B$1)="#NODATA","",_xll.EVDES(G54,$B$1)))</f>
        <v>Parking</v>
      </c>
      <c r="N54" s="143">
        <f t="shared" ref="N54:Y54" si="40">IFERROR(N36-N45,"")</f>
        <v>-779.40999999999985</v>
      </c>
      <c r="O54" s="143">
        <f t="shared" si="40"/>
        <v>3485.6399999999994</v>
      </c>
      <c r="P54" s="143">
        <f t="shared" si="40"/>
        <v>-1357.6099999999988</v>
      </c>
      <c r="Q54" s="143">
        <f t="shared" si="40"/>
        <v>45.46</v>
      </c>
      <c r="R54" s="143">
        <f t="shared" si="40"/>
        <v>-72.900000000000006</v>
      </c>
      <c r="S54" s="143">
        <f t="shared" si="40"/>
        <v>0</v>
      </c>
      <c r="T54" s="143">
        <f t="shared" si="40"/>
        <v>0</v>
      </c>
      <c r="U54" s="143">
        <f t="shared" si="40"/>
        <v>0</v>
      </c>
      <c r="V54" s="143">
        <f t="shared" si="40"/>
        <v>547.5</v>
      </c>
      <c r="W54" s="143">
        <f t="shared" si="40"/>
        <v>0</v>
      </c>
      <c r="X54" s="143">
        <f t="shared" si="40"/>
        <v>0</v>
      </c>
      <c r="Y54" s="143">
        <f t="shared" si="40"/>
        <v>0</v>
      </c>
      <c r="Z54" s="250">
        <f t="shared" si="26"/>
        <v>1868.6800000000007</v>
      </c>
      <c r="AA54" s="144">
        <f t="shared" si="27"/>
        <v>3.0577675031122912E-2</v>
      </c>
      <c r="AB54" s="140"/>
      <c r="AC54" s="143">
        <f t="shared" si="28"/>
        <v>7968.0829670649837</v>
      </c>
      <c r="AD54" s="144">
        <f t="shared" si="29"/>
        <v>2.9735364235069579E-2</v>
      </c>
      <c r="AE54" s="145">
        <f t="shared" si="30"/>
        <v>-6099.4029670649834</v>
      </c>
      <c r="AF54" s="143">
        <f t="shared" si="31"/>
        <v>-41440.749999999971</v>
      </c>
      <c r="AG54" s="144">
        <f t="shared" si="32"/>
        <v>-0.17878620171705839</v>
      </c>
      <c r="AH54" s="145">
        <f t="shared" si="33"/>
        <v>43309.429999999971</v>
      </c>
      <c r="AI54" s="440">
        <f t="shared" si="34"/>
        <v>9.3200997506234451E-2</v>
      </c>
      <c r="AJ54" s="441">
        <f t="shared" si="35"/>
        <v>0.21082373242664332</v>
      </c>
      <c r="AK54" s="442">
        <f t="shared" si="36"/>
        <v>-1.2602867830423932</v>
      </c>
      <c r="AL54" s="443" t="str">
        <f t="shared" si="37"/>
        <v>0.08 pts.</v>
      </c>
      <c r="AM54" s="444" t="str">
        <f t="shared" si="38"/>
        <v>20.94 pts.</v>
      </c>
      <c r="AN54" s="11"/>
      <c r="AO54" s="11"/>
      <c r="AP54" s="11"/>
    </row>
    <row r="55" spans="1:42" x14ac:dyDescent="0.35">
      <c r="A55" s="65" t="s">
        <v>36</v>
      </c>
      <c r="B55" s="66"/>
      <c r="C55" s="11"/>
      <c r="D55" s="11"/>
      <c r="E55" s="11"/>
      <c r="F55" s="11"/>
      <c r="G55" s="88" t="s">
        <v>386</v>
      </c>
      <c r="H55" s="88" t="s">
        <v>81</v>
      </c>
      <c r="I55" s="122" t="str">
        <f>IF(_epmOfflineCondition_,"7",_xll.EVPRO($B$1,$G55,"HLEVEL"))</f>
        <v>7</v>
      </c>
      <c r="J55" s="122" t="str">
        <f>IF(_epmOfflineCondition_,"Y",_xll.EVPRO($B$1,$H55,"CALC"))</f>
        <v>Y</v>
      </c>
      <c r="K55" s="90"/>
      <c r="L55" s="90"/>
      <c r="M55" s="90" t="str">
        <f>IF(_epmOfflineCondition_,"Retail Shop",IF(_xll.EVDES(G55,$B$1)="#NODATA","",_xll.EVDES(G55,$B$1)))</f>
        <v>Retail Shop</v>
      </c>
      <c r="N55" s="143">
        <f t="shared" ref="N55:Y55" si="41">IFERROR(N37-N46,"")</f>
        <v>0</v>
      </c>
      <c r="O55" s="143">
        <f t="shared" si="41"/>
        <v>0</v>
      </c>
      <c r="P55" s="143">
        <f t="shared" si="41"/>
        <v>0</v>
      </c>
      <c r="Q55" s="143">
        <f t="shared" si="41"/>
        <v>0</v>
      </c>
      <c r="R55" s="143">
        <f t="shared" si="41"/>
        <v>0</v>
      </c>
      <c r="S55" s="143">
        <f t="shared" si="41"/>
        <v>0</v>
      </c>
      <c r="T55" s="143">
        <f t="shared" si="41"/>
        <v>0</v>
      </c>
      <c r="U55" s="143">
        <f t="shared" si="41"/>
        <v>0</v>
      </c>
      <c r="V55" s="143">
        <f t="shared" si="41"/>
        <v>0</v>
      </c>
      <c r="W55" s="143">
        <f t="shared" si="41"/>
        <v>0</v>
      </c>
      <c r="X55" s="143">
        <f t="shared" si="41"/>
        <v>0</v>
      </c>
      <c r="Y55" s="143">
        <f t="shared" si="41"/>
        <v>0</v>
      </c>
      <c r="Z55" s="250">
        <f t="shared" si="26"/>
        <v>0</v>
      </c>
      <c r="AA55" s="144" t="str">
        <f t="shared" si="27"/>
        <v/>
      </c>
      <c r="AB55" s="140"/>
      <c r="AC55" s="143">
        <f t="shared" si="28"/>
        <v>0</v>
      </c>
      <c r="AD55" s="144" t="str">
        <f t="shared" si="29"/>
        <v/>
      </c>
      <c r="AE55" s="145">
        <f t="shared" si="30"/>
        <v>0</v>
      </c>
      <c r="AF55" s="143">
        <f t="shared" si="31"/>
        <v>0</v>
      </c>
      <c r="AG55" s="144" t="str">
        <f t="shared" si="32"/>
        <v/>
      </c>
      <c r="AH55" s="145">
        <f t="shared" si="33"/>
        <v>0</v>
      </c>
      <c r="AI55" s="440">
        <f t="shared" si="34"/>
        <v>0</v>
      </c>
      <c r="AJ55" s="441">
        <f t="shared" si="35"/>
        <v>0</v>
      </c>
      <c r="AK55" s="442">
        <f t="shared" si="36"/>
        <v>0</v>
      </c>
      <c r="AL55" s="443">
        <f t="shared" si="37"/>
        <v>0</v>
      </c>
      <c r="AM55" s="444">
        <f t="shared" si="38"/>
        <v>0</v>
      </c>
      <c r="AN55" s="11"/>
      <c r="AO55" s="11"/>
      <c r="AP55" s="11"/>
    </row>
    <row r="56" spans="1:42" x14ac:dyDescent="0.35">
      <c r="A56" s="65" t="s">
        <v>37</v>
      </c>
      <c r="B56" s="66"/>
      <c r="C56" s="11"/>
      <c r="D56" s="11"/>
      <c r="E56" s="11"/>
      <c r="F56" s="11"/>
      <c r="G56" s="88" t="s">
        <v>406</v>
      </c>
      <c r="H56" s="88" t="s">
        <v>81</v>
      </c>
      <c r="I56" s="122" t="str">
        <f>IF(_epmOfflineCondition_,"6",_xll.EVPRO($B$1,$G56,"HLEVEL"))</f>
        <v>6</v>
      </c>
      <c r="J56" s="122" t="str">
        <f>IF(_epmOfflineCondition_,"Y",_xll.EVPRO($B$1,$H56,"CALC"))</f>
        <v>Y</v>
      </c>
      <c r="K56" s="90"/>
      <c r="L56" s="90"/>
      <c r="M56" s="90" t="str">
        <f>IF(_epmOfflineCondition_,"Food &amp; Beverage Retail Shop",IF(_xll.EVDES(G56,$B$1)="#NODATA","",_xll.EVDES(G56,$B$1)))</f>
        <v>Food &amp; Beverage Retail Shop</v>
      </c>
      <c r="N56" s="143">
        <f t="shared" ref="N56:Y56" si="42">IFERROR(N38-N47,"")</f>
        <v>0</v>
      </c>
      <c r="O56" s="143">
        <f t="shared" si="42"/>
        <v>0</v>
      </c>
      <c r="P56" s="143">
        <f t="shared" si="42"/>
        <v>0</v>
      </c>
      <c r="Q56" s="143">
        <f t="shared" si="42"/>
        <v>0</v>
      </c>
      <c r="R56" s="143">
        <f t="shared" si="42"/>
        <v>0</v>
      </c>
      <c r="S56" s="143">
        <f t="shared" si="42"/>
        <v>0</v>
      </c>
      <c r="T56" s="143">
        <f t="shared" si="42"/>
        <v>0</v>
      </c>
      <c r="U56" s="143">
        <f t="shared" si="42"/>
        <v>0</v>
      </c>
      <c r="V56" s="143">
        <f t="shared" si="42"/>
        <v>0</v>
      </c>
      <c r="W56" s="143">
        <f t="shared" si="42"/>
        <v>0</v>
      </c>
      <c r="X56" s="143">
        <f t="shared" si="42"/>
        <v>0</v>
      </c>
      <c r="Y56" s="143">
        <f t="shared" si="42"/>
        <v>0</v>
      </c>
      <c r="Z56" s="250">
        <f t="shared" si="26"/>
        <v>0</v>
      </c>
      <c r="AA56" s="144" t="str">
        <f t="shared" si="27"/>
        <v/>
      </c>
      <c r="AB56" s="140"/>
      <c r="AC56" s="143">
        <f t="shared" si="28"/>
        <v>0</v>
      </c>
      <c r="AD56" s="144" t="str">
        <f t="shared" si="29"/>
        <v/>
      </c>
      <c r="AE56" s="145">
        <f t="shared" si="30"/>
        <v>0</v>
      </c>
      <c r="AF56" s="143">
        <f t="shared" si="31"/>
        <v>0</v>
      </c>
      <c r="AG56" s="144" t="str">
        <f t="shared" si="32"/>
        <v/>
      </c>
      <c r="AH56" s="145">
        <f t="shared" si="33"/>
        <v>0</v>
      </c>
      <c r="AI56" s="440">
        <f t="shared" si="34"/>
        <v>0</v>
      </c>
      <c r="AJ56" s="441">
        <f t="shared" si="35"/>
        <v>0</v>
      </c>
      <c r="AK56" s="442">
        <f t="shared" si="36"/>
        <v>0</v>
      </c>
      <c r="AL56" s="443">
        <f t="shared" si="37"/>
        <v>0</v>
      </c>
      <c r="AM56" s="444">
        <f t="shared" si="38"/>
        <v>0</v>
      </c>
      <c r="AN56" s="11"/>
      <c r="AO56" s="387"/>
      <c r="AP56" s="387"/>
    </row>
    <row r="57" spans="1:42" x14ac:dyDescent="0.35">
      <c r="A57" s="65" t="s">
        <v>38</v>
      </c>
      <c r="B57" s="66"/>
      <c r="C57" s="11"/>
      <c r="D57" s="11"/>
      <c r="E57" s="11"/>
      <c r="F57" s="11"/>
      <c r="G57" s="88" t="s">
        <v>423</v>
      </c>
      <c r="H57" s="88" t="s">
        <v>81</v>
      </c>
      <c r="I57" s="122" t="str">
        <f>IF(_epmOfflineCondition_,"7",_xll.EVPRO($B$1,$G57,"HLEVEL"))</f>
        <v>7</v>
      </c>
      <c r="J57" s="122" t="str">
        <f>IF(_epmOfflineCondition_,"Y",_xll.EVPRO($B$1,$H57,"CALC"))</f>
        <v>Y</v>
      </c>
      <c r="K57" s="90"/>
      <c r="L57" s="90"/>
      <c r="M57" s="90" t="str">
        <f>IF(_epmOfflineCondition_,"Minor Operated Departments",IF(_xll.EVDES(G57,$B$1)="#NODATA","",_xll.EVDES(G57,$B$1)))</f>
        <v>Minor Operated Departments</v>
      </c>
      <c r="N57" s="143">
        <f t="shared" ref="N57:Y57" si="43">IFERROR(N39-N48,"")</f>
        <v>740.83999999999992</v>
      </c>
      <c r="O57" s="143">
        <f t="shared" si="43"/>
        <v>939.67000000000007</v>
      </c>
      <c r="P57" s="143">
        <f t="shared" si="43"/>
        <v>664.58</v>
      </c>
      <c r="Q57" s="143">
        <f t="shared" si="43"/>
        <v>11.870000000000005</v>
      </c>
      <c r="R57" s="143">
        <f t="shared" si="43"/>
        <v>0</v>
      </c>
      <c r="S57" s="143">
        <f t="shared" si="43"/>
        <v>109.69</v>
      </c>
      <c r="T57" s="143">
        <f t="shared" si="43"/>
        <v>403.74</v>
      </c>
      <c r="U57" s="143">
        <f t="shared" si="43"/>
        <v>264.17</v>
      </c>
      <c r="V57" s="143">
        <f t="shared" si="43"/>
        <v>592.71</v>
      </c>
      <c r="W57" s="143">
        <f t="shared" si="43"/>
        <v>581.46</v>
      </c>
      <c r="X57" s="143">
        <f t="shared" si="43"/>
        <v>-32.57</v>
      </c>
      <c r="Y57" s="143">
        <f t="shared" si="43"/>
        <v>278.75</v>
      </c>
      <c r="Z57" s="250">
        <f t="shared" si="26"/>
        <v>4554.9100000000008</v>
      </c>
      <c r="AA57" s="144">
        <f t="shared" si="27"/>
        <v>0.62389104770566572</v>
      </c>
      <c r="AB57" s="140"/>
      <c r="AC57" s="143">
        <f t="shared" si="28"/>
        <v>10127.926150000001</v>
      </c>
      <c r="AD57" s="144">
        <f t="shared" si="29"/>
        <v>0.65358536585365856</v>
      </c>
      <c r="AE57" s="145">
        <f t="shared" si="30"/>
        <v>-5573.0161500000004</v>
      </c>
      <c r="AF57" s="143">
        <f t="shared" si="31"/>
        <v>8638.2099999999991</v>
      </c>
      <c r="AG57" s="144">
        <f t="shared" si="32"/>
        <v>0.62872042709444032</v>
      </c>
      <c r="AH57" s="145">
        <f t="shared" si="33"/>
        <v>-4083.2999999999984</v>
      </c>
      <c r="AI57" s="440">
        <f t="shared" si="34"/>
        <v>0.22717755610972573</v>
      </c>
      <c r="AJ57" s="441">
        <f t="shared" si="35"/>
        <v>0.26797000000000004</v>
      </c>
      <c r="AK57" s="442">
        <f t="shared" si="36"/>
        <v>0.2627033027188127</v>
      </c>
      <c r="AL57" s="443" t="str">
        <f t="shared" si="37"/>
        <v>-2.97 pts.</v>
      </c>
      <c r="AM57" s="444" t="str">
        <f t="shared" si="38"/>
        <v>-0.48 pts.</v>
      </c>
      <c r="AN57" s="11"/>
      <c r="AO57" s="11"/>
      <c r="AP57" s="11"/>
    </row>
    <row r="58" spans="1:42" x14ac:dyDescent="0.35">
      <c r="A58" s="65" t="s">
        <v>39</v>
      </c>
      <c r="B58" s="66"/>
      <c r="C58" s="11"/>
      <c r="D58" s="11"/>
      <c r="E58" s="11"/>
      <c r="F58" s="11"/>
      <c r="G58" s="11"/>
      <c r="H58" s="179"/>
      <c r="I58" s="179"/>
      <c r="J58" s="179"/>
      <c r="K58" s="179"/>
      <c r="L58" s="90"/>
      <c r="M58" s="106" t="s">
        <v>471</v>
      </c>
      <c r="N58" s="123">
        <f t="shared" ref="N58:Y58" si="44">SUM(N52:N57)</f>
        <v>-38.569999999999936</v>
      </c>
      <c r="O58" s="123">
        <f t="shared" si="44"/>
        <v>4425.3099999999995</v>
      </c>
      <c r="P58" s="123">
        <f t="shared" si="44"/>
        <v>-693.02999999999872</v>
      </c>
      <c r="Q58" s="123">
        <f t="shared" si="44"/>
        <v>57.330000000000005</v>
      </c>
      <c r="R58" s="123">
        <f t="shared" si="44"/>
        <v>-72.900000000000006</v>
      </c>
      <c r="S58" s="123">
        <f t="shared" si="44"/>
        <v>109.69</v>
      </c>
      <c r="T58" s="123">
        <f t="shared" si="44"/>
        <v>403.74</v>
      </c>
      <c r="U58" s="123">
        <f t="shared" si="44"/>
        <v>264.17</v>
      </c>
      <c r="V58" s="123">
        <f t="shared" si="44"/>
        <v>1140.21</v>
      </c>
      <c r="W58" s="123">
        <f t="shared" si="44"/>
        <v>581.46</v>
      </c>
      <c r="X58" s="123">
        <f t="shared" si="44"/>
        <v>-32.57</v>
      </c>
      <c r="Y58" s="123">
        <f t="shared" si="44"/>
        <v>278.75</v>
      </c>
      <c r="Z58" s="123">
        <f t="shared" si="26"/>
        <v>6423.5900000000011</v>
      </c>
      <c r="AA58" s="124">
        <f t="shared" si="27"/>
        <v>9.3893781288657469E-2</v>
      </c>
      <c r="AB58" s="11"/>
      <c r="AC58" s="123">
        <f>SUM(AC52:AC57)</f>
        <v>18096.009117064983</v>
      </c>
      <c r="AD58" s="124">
        <f t="shared" si="29"/>
        <v>6.3839164323552439E-2</v>
      </c>
      <c r="AE58" s="125">
        <f t="shared" si="30"/>
        <v>-11672.419117064983</v>
      </c>
      <c r="AF58" s="123">
        <f>SUM(AF52:AF57)</f>
        <v>-32802.539999999972</v>
      </c>
      <c r="AG58" s="124">
        <f t="shared" si="32"/>
        <v>-0.1335995777602762</v>
      </c>
      <c r="AH58" s="125">
        <f t="shared" si="33"/>
        <v>39226.129999999976</v>
      </c>
      <c r="AI58" s="388">
        <f t="shared" si="34"/>
        <v>0.32037855361596013</v>
      </c>
      <c r="AJ58" s="389">
        <f t="shared" si="35"/>
        <v>0.4787937324266433</v>
      </c>
      <c r="AK58" s="390">
        <f t="shared" si="36"/>
        <v>-0.99758348032358046</v>
      </c>
      <c r="AL58" s="391" t="str">
        <f t="shared" si="37"/>
        <v>3.01 pts.</v>
      </c>
      <c r="AM58" s="544" t="str">
        <f t="shared" si="38"/>
        <v>22.75 pts.</v>
      </c>
      <c r="AN58" s="11"/>
      <c r="AO58" s="11"/>
      <c r="AP58" s="11"/>
    </row>
    <row r="59" spans="1:42" x14ac:dyDescent="0.35">
      <c r="A59" s="65" t="s">
        <v>40</v>
      </c>
      <c r="B59" s="66"/>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row>
    <row r="60" spans="1:42" ht="15" thickBot="1" x14ac:dyDescent="0.4">
      <c r="A60" s="65" t="s">
        <v>41</v>
      </c>
      <c r="B60" s="66"/>
      <c r="C60" s="11"/>
      <c r="D60" s="11"/>
      <c r="E60" s="11"/>
      <c r="F60" s="11"/>
      <c r="G60" s="88" t="s">
        <v>463</v>
      </c>
      <c r="H60" s="88" t="s">
        <v>81</v>
      </c>
      <c r="I60" s="136" t="str">
        <f>IF(_epmOfflineCondition_,"T3",_xll.EVPRO($B$1,$H60,"STYLE"))</f>
        <v>T3</v>
      </c>
      <c r="J60" s="136" t="str">
        <f>IF(_epmOfflineCondition_,"Y",_xll.EVPRO($B$1,$H60,"CALC"))</f>
        <v>Y</v>
      </c>
      <c r="K60" s="106"/>
      <c r="L60" s="106"/>
      <c r="M60" s="106" t="str">
        <f>IF(_epmOfflineCondition_,"Department Profit (Loss)",IF(_xll.EVDES(H60,$B$1)="#NODATA","",_xll.EVDES(H60,$B$1)))</f>
        <v>Department Profit (Loss)</v>
      </c>
      <c r="N60" s="126">
        <f>IF(_epmOfflineCondition_,-38.5699999999979,_xll.EVGTS($B$1,1,$B$3,$B$5,$B$7,$B$9,N$16,N$17,N$18,$G$60,$H$60))</f>
        <v>-38.569999999997897</v>
      </c>
      <c r="O60" s="126">
        <f>IF(_epmOfflineCondition_,4425.31,_xll.EVGTS($B$1,1,$B$3,$B$5,$B$7,$B$9,O$16,O$17,O$18,$G$60,$H$60))</f>
        <v>4425.3100000000004</v>
      </c>
      <c r="P60" s="126">
        <f>IF(_epmOfflineCondition_,-693.029999999999,_xll.EVGTS($B$1,1,$B$3,$B$5,$B$7,$B$9,P$16,P$17,P$18,$G$60,$H$60))</f>
        <v>-693.02999999999895</v>
      </c>
      <c r="Q60" s="126">
        <f>IF(_epmOfflineCondition_,57.3299999999999,_xll.EVGTS($B$1,1,$B$3,$B$5,$B$7,$B$9,Q$16,Q$17,Q$18,$G$60,$H$60))</f>
        <v>57.329999999999899</v>
      </c>
      <c r="R60" s="126">
        <f>IF(_epmOfflineCondition_,-72.9,_xll.EVGTS($B$1,1,$B$3,$B$5,$B$7,$B$9,R$16,R$17,R$18,$G$60,$H$60))</f>
        <v>-72.900000000000006</v>
      </c>
      <c r="S60" s="126">
        <f>IF(_epmOfflineCondition_,109.69,_xll.EVGTS($B$1,1,$B$3,$B$5,$B$7,$B$9,S$16,S$17,S$18,$G$60,$H$60))</f>
        <v>109.69</v>
      </c>
      <c r="T60" s="126">
        <f>IF(_epmOfflineCondition_,403.74,_xll.EVGTS($B$1,1,$B$3,$B$5,$B$7,$B$9,T$16,T$17,T$18,$G$60,$H$60))</f>
        <v>403.74</v>
      </c>
      <c r="U60" s="126">
        <f>IF(_epmOfflineCondition_,264.17,_xll.EVGTS($B$1,1,$B$3,$B$5,$B$7,$B$9,U$16,U$17,U$18,$G$60,$H$60))</f>
        <v>264.17</v>
      </c>
      <c r="V60" s="126">
        <f>IF(_epmOfflineCondition_,1140.21,_xll.EVGTS($B$1,1,$B$3,$B$5,$B$7,$B$9,V$16,V$17,V$18,$G$60,$H$60))</f>
        <v>1140.21</v>
      </c>
      <c r="W60" s="126">
        <f>IF(_epmOfflineCondition_,581.46,_xll.EVGTS($B$1,1,$B$3,$B$5,$B$7,$B$9,W$16,W$17,W$18,$G$60,$H$60))</f>
        <v>581.46</v>
      </c>
      <c r="X60" s="126">
        <f>IF(_epmOfflineCondition_,-32.57,_xll.EVGTS($B$1,1,$B$3,$B$5,$B$7,$B$9,X$16,X$17,X$18,$G$60,$H$60))</f>
        <v>-32.57</v>
      </c>
      <c r="Y60" s="126">
        <f>IF(_epmOfflineCondition_,278.75,_xll.EVGTS($B$1,1,$B$3,$B$5,$B$7,$B$9,Y$16,Y$17,Y$18,$G$60,$H$60))</f>
        <v>278.75</v>
      </c>
      <c r="Z60" s="126">
        <f>IF($I60="B1","",SUM(N60:Y60))</f>
        <v>6423.5900000000038</v>
      </c>
      <c r="AA60" s="127">
        <f>IF(Z60=0,"",IFERROR(Z60/Z$19,""))</f>
        <v>9.389378128865751E-2</v>
      </c>
      <c r="AB60" s="11"/>
      <c r="AC60" s="126">
        <f>IF(_epmOfflineCondition_,18096.0091170649,_xll.EVGTS($B$1,1,$B$3,$B$5,$B$7,$B$9,AC$16,AC$17,AC$18,$G$60,$H$60))</f>
        <v>18096.009117064899</v>
      </c>
      <c r="AD60" s="127">
        <f>IF(AC60=0,"",IFERROR(AC60/AC$19,""))</f>
        <v>6.3839164323552147E-2</v>
      </c>
      <c r="AE60" s="128">
        <f>IF(AND($Z60="",AC60=""),"",$Z60-AC60)</f>
        <v>-11672.419117064896</v>
      </c>
      <c r="AF60" s="126">
        <f>IF(_epmOfflineCondition_,-32802.54,_xll.EVGTS($B$1,1,$B$3,$B$5,$B$7,$B$9,AF$16,AF$17,AF$18,$G$60,$H$60))</f>
        <v>-32802.54</v>
      </c>
      <c r="AG60" s="127">
        <f>IF(AF60=0,"",IFERROR(AF60/AF$19,""))</f>
        <v>-0.13359957776027634</v>
      </c>
      <c r="AH60" s="128">
        <f>IF(AND($Z60="",AF60=""),"",$Z60-AF60)</f>
        <v>39226.130000000005</v>
      </c>
      <c r="AI60" s="419">
        <f>IFERROR(Z60/Z$20,0)</f>
        <v>0.32037855361596029</v>
      </c>
      <c r="AJ60" s="420">
        <f>IFERROR(AC60/AC$20,0)</f>
        <v>0.47879373242664108</v>
      </c>
      <c r="AK60" s="421">
        <f>IFERROR(AF60/AF$20,0)</f>
        <v>-0.99758348032358135</v>
      </c>
      <c r="AL60" s="422" t="str">
        <f>+IFERROR(ROUND(($AA60-AD60)*100,2)&amp;" pts.",0)</f>
        <v>3.01 pts.</v>
      </c>
      <c r="AM60" s="545" t="str">
        <f>+IFERROR(ROUND(($AA60-AG60)*100,2)&amp;" pts.",0)</f>
        <v>22.75 pts.</v>
      </c>
      <c r="AN60" s="11"/>
      <c r="AO60" s="11"/>
      <c r="AP60" s="11"/>
    </row>
    <row r="61" spans="1:42" ht="15" thickTop="1" x14ac:dyDescent="0.35">
      <c r="A61" s="65" t="s">
        <v>42</v>
      </c>
      <c r="B61" s="66"/>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row>
    <row r="62" spans="1:42" x14ac:dyDescent="0.35">
      <c r="A62" s="65" t="s">
        <v>43</v>
      </c>
      <c r="B62" s="66"/>
      <c r="C62" s="11"/>
      <c r="D62" s="11"/>
      <c r="E62" s="11"/>
      <c r="F62" s="11"/>
      <c r="G62" s="11"/>
      <c r="H62" s="11"/>
      <c r="I62" s="59"/>
      <c r="J62" s="59"/>
      <c r="K62" s="11"/>
      <c r="L62" s="11"/>
      <c r="M62" s="104" t="str">
        <f>$M$51&amp;" - Check"</f>
        <v>Department Profit (Loss) - Check</v>
      </c>
      <c r="N62" s="209">
        <f t="shared" ref="N62:Z62" si="45">SUMIF($H$34:$H$49,"REV",N34:N49)-SUMIF($H$34:$H$49,"EXP",N34:N49)-N60</f>
        <v>-1.8118839761882555E-12</v>
      </c>
      <c r="O62" s="209">
        <f t="shared" si="45"/>
        <v>0</v>
      </c>
      <c r="P62" s="209">
        <f t="shared" si="45"/>
        <v>0</v>
      </c>
      <c r="Q62" s="209">
        <f t="shared" si="45"/>
        <v>1.0658141036401503E-13</v>
      </c>
      <c r="R62" s="209">
        <f t="shared" si="45"/>
        <v>0</v>
      </c>
      <c r="S62" s="209">
        <f t="shared" si="45"/>
        <v>0</v>
      </c>
      <c r="T62" s="209">
        <f t="shared" si="45"/>
        <v>0</v>
      </c>
      <c r="U62" s="209">
        <f t="shared" si="45"/>
        <v>0</v>
      </c>
      <c r="V62" s="209">
        <f t="shared" si="45"/>
        <v>0</v>
      </c>
      <c r="W62" s="209">
        <f t="shared" si="45"/>
        <v>0</v>
      </c>
      <c r="X62" s="209">
        <f t="shared" si="45"/>
        <v>0</v>
      </c>
      <c r="Y62" s="209">
        <f t="shared" si="45"/>
        <v>0</v>
      </c>
      <c r="Z62" s="209">
        <f t="shared" si="45"/>
        <v>0</v>
      </c>
      <c r="AA62" s="100"/>
      <c r="AB62" s="11"/>
      <c r="AC62" s="209">
        <f>SUMIF($H$34:$H$49,"REV",AC34:AC49)-SUMIF($H$34:$H$49,"EXP",AC34:AC49)-AC60</f>
        <v>9.822542779147625E-11</v>
      </c>
      <c r="AD62" s="100"/>
      <c r="AE62" s="91"/>
      <c r="AF62" s="209">
        <f>SUMIF($H$34:$H$49,"REV",AF34:AF49)-SUMIF($H$34:$H$49,"EXP",AF34:AF49)-AF60</f>
        <v>0</v>
      </c>
      <c r="AG62" s="100"/>
      <c r="AH62" s="91"/>
      <c r="AI62" s="11"/>
      <c r="AJ62" s="11"/>
      <c r="AK62" s="11"/>
      <c r="AL62" s="11"/>
      <c r="AM62" s="11"/>
      <c r="AN62" s="11"/>
      <c r="AO62" s="11"/>
      <c r="AP62" s="11"/>
    </row>
    <row r="63" spans="1:42" x14ac:dyDescent="0.35">
      <c r="A63" s="65" t="s">
        <v>44</v>
      </c>
      <c r="B63" s="66"/>
      <c r="C63" s="11"/>
      <c r="D63" s="11"/>
      <c r="E63" s="11"/>
      <c r="F63" s="11"/>
      <c r="G63" s="11"/>
      <c r="H63" s="11"/>
      <c r="I63" s="59"/>
      <c r="J63" s="59"/>
      <c r="K63" s="11"/>
      <c r="L63" s="11"/>
      <c r="M63" s="11"/>
      <c r="N63" s="137"/>
      <c r="O63" s="137"/>
      <c r="P63" s="137"/>
      <c r="Q63" s="137"/>
      <c r="R63" s="137"/>
      <c r="S63" s="137"/>
      <c r="T63" s="137"/>
      <c r="U63" s="137"/>
      <c r="V63" s="137"/>
      <c r="W63" s="137"/>
      <c r="X63" s="137"/>
      <c r="Y63" s="137"/>
      <c r="Z63" s="137"/>
      <c r="AA63" s="11"/>
      <c r="AB63" s="11"/>
      <c r="AC63" s="11"/>
      <c r="AD63" s="11"/>
      <c r="AE63" s="11"/>
      <c r="AF63" s="11"/>
      <c r="AG63" s="11"/>
      <c r="AH63" s="11"/>
      <c r="AI63" s="11"/>
      <c r="AJ63" s="11"/>
      <c r="AK63" s="11"/>
      <c r="AL63" s="11"/>
      <c r="AM63" s="11"/>
      <c r="AN63" s="11"/>
      <c r="AO63" s="11"/>
      <c r="AP63" s="11"/>
    </row>
    <row r="64" spans="1:42" x14ac:dyDescent="0.35">
      <c r="A64" s="65" t="s">
        <v>45</v>
      </c>
      <c r="B64" s="66"/>
      <c r="C64" s="11"/>
      <c r="D64" s="11"/>
      <c r="E64" s="11"/>
      <c r="F64" s="11"/>
      <c r="G64" s="11"/>
      <c r="H64" s="11"/>
      <c r="I64" s="59"/>
      <c r="J64" s="59"/>
      <c r="K64" s="11"/>
      <c r="L64" s="11"/>
      <c r="M64" s="11"/>
      <c r="N64" s="137"/>
      <c r="O64" s="137"/>
      <c r="P64" s="137"/>
      <c r="Q64" s="137"/>
      <c r="R64" s="137"/>
      <c r="S64" s="137"/>
      <c r="T64" s="137"/>
      <c r="U64" s="137"/>
      <c r="V64" s="137"/>
      <c r="W64" s="137"/>
      <c r="X64" s="137"/>
      <c r="Y64" s="137"/>
      <c r="Z64" s="137"/>
      <c r="AA64" s="11"/>
      <c r="AB64" s="11"/>
      <c r="AC64" s="137"/>
      <c r="AD64" s="11"/>
      <c r="AE64" s="11"/>
      <c r="AF64" s="137"/>
      <c r="AG64" s="11"/>
      <c r="AH64" s="11"/>
      <c r="AI64" s="11"/>
      <c r="AJ64" s="11"/>
      <c r="AK64" s="11"/>
      <c r="AL64" s="11"/>
      <c r="AM64" s="11"/>
      <c r="AN64" s="11"/>
      <c r="AO64" s="11"/>
      <c r="AP64" s="11"/>
    </row>
    <row r="65" spans="1:42" x14ac:dyDescent="0.35">
      <c r="A65" s="65" t="s">
        <v>46</v>
      </c>
      <c r="B65" s="66"/>
      <c r="C65" s="11"/>
      <c r="D65" s="11"/>
      <c r="E65" s="11"/>
      <c r="F65" s="11"/>
      <c r="G65" s="11"/>
      <c r="H65" s="11"/>
      <c r="I65" s="59"/>
      <c r="J65" s="59"/>
      <c r="K65" s="11"/>
      <c r="L65" s="11"/>
      <c r="M65" s="11"/>
      <c r="N65" s="137"/>
      <c r="O65" s="137"/>
      <c r="P65" s="137"/>
      <c r="Q65" s="137"/>
      <c r="R65" s="137"/>
      <c r="S65" s="137"/>
      <c r="T65" s="137"/>
      <c r="U65" s="137"/>
      <c r="V65" s="137"/>
      <c r="W65" s="137"/>
      <c r="X65" s="137"/>
      <c r="Y65" s="137"/>
      <c r="Z65" s="137"/>
      <c r="AA65" s="11"/>
      <c r="AB65" s="11"/>
      <c r="AC65" s="137"/>
      <c r="AD65" s="11"/>
      <c r="AE65" s="11"/>
      <c r="AF65" s="137"/>
      <c r="AG65" s="11"/>
      <c r="AH65" s="11"/>
      <c r="AI65" s="11"/>
      <c r="AJ65" s="11"/>
      <c r="AK65" s="11"/>
      <c r="AL65" s="11"/>
      <c r="AM65" s="11"/>
      <c r="AN65" s="11"/>
      <c r="AO65" s="11"/>
      <c r="AP65" s="11"/>
    </row>
    <row r="66" spans="1:42" x14ac:dyDescent="0.35">
      <c r="A66" s="11"/>
      <c r="B66" s="11"/>
      <c r="C66" s="11"/>
      <c r="D66" s="11"/>
      <c r="E66" s="11"/>
      <c r="F66" s="11"/>
      <c r="G66" s="11"/>
      <c r="H66" s="11"/>
      <c r="I66" s="59"/>
      <c r="J66" s="59"/>
      <c r="K66" s="11"/>
      <c r="L66" s="11"/>
      <c r="M66" s="11"/>
      <c r="N66" s="137"/>
      <c r="O66" s="137"/>
      <c r="P66" s="137"/>
      <c r="Q66" s="137"/>
      <c r="R66" s="137"/>
      <c r="S66" s="137"/>
      <c r="T66" s="137"/>
      <c r="U66" s="137"/>
      <c r="V66" s="137"/>
      <c r="W66" s="137"/>
      <c r="X66" s="137"/>
      <c r="Y66" s="137"/>
      <c r="Z66" s="137"/>
      <c r="AA66" s="11"/>
      <c r="AB66" s="11"/>
      <c r="AC66" s="137"/>
      <c r="AD66" s="11"/>
      <c r="AE66" s="11"/>
      <c r="AF66" s="137"/>
      <c r="AG66" s="11"/>
      <c r="AH66" s="11"/>
      <c r="AI66" s="11"/>
      <c r="AJ66" s="11"/>
      <c r="AK66" s="11"/>
      <c r="AL66" s="11"/>
      <c r="AM66" s="11"/>
      <c r="AN66" s="11"/>
      <c r="AO66" s="11"/>
      <c r="AP66" s="11"/>
    </row>
    <row r="67" spans="1:42" x14ac:dyDescent="0.35">
      <c r="A67" s="11"/>
      <c r="B67" s="11"/>
      <c r="C67" s="11"/>
      <c r="D67" s="11"/>
      <c r="E67" s="11"/>
      <c r="F67" s="11"/>
      <c r="G67" s="11"/>
      <c r="H67" s="11"/>
      <c r="I67" s="59"/>
      <c r="J67" s="59"/>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row>
    <row r="68" spans="1:42" x14ac:dyDescent="0.35">
      <c r="A68" s="11"/>
      <c r="B68" s="11"/>
      <c r="C68" s="11"/>
      <c r="D68" s="11"/>
      <c r="E68" s="11"/>
      <c r="F68" s="11"/>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row>
    <row r="69" spans="1:42"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row>
    <row r="70" spans="1:42" x14ac:dyDescent="0.35">
      <c r="A70" s="11"/>
      <c r="B70" s="11"/>
      <c r="C70" s="11"/>
      <c r="D70" s="11"/>
      <c r="E70" s="11"/>
      <c r="F70" s="11"/>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row>
    <row r="71" spans="1:42" x14ac:dyDescent="0.35">
      <c r="A71" s="11"/>
      <c r="B71" s="11"/>
      <c r="C71" s="11"/>
      <c r="D71" s="11"/>
      <c r="E71" s="11"/>
      <c r="F71" s="11"/>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row>
    <row r="72" spans="1:42" x14ac:dyDescent="0.35">
      <c r="A72" s="11"/>
      <c r="B72" s="11"/>
      <c r="C72" s="11"/>
      <c r="D72" s="11"/>
      <c r="E72" s="11"/>
      <c r="F72" s="11"/>
      <c r="G72" s="76"/>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row>
    <row r="73" spans="1:42" x14ac:dyDescent="0.35">
      <c r="A73" s="11"/>
      <c r="B73" s="11"/>
      <c r="C73" s="11"/>
      <c r="D73" s="11"/>
      <c r="E73" s="11"/>
      <c r="F73" s="11"/>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row>
    <row r="74" spans="1:42" x14ac:dyDescent="0.35">
      <c r="A74" s="11"/>
      <c r="B74" s="11"/>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row>
    <row r="75" spans="1:42" x14ac:dyDescent="0.35">
      <c r="A75" s="11"/>
      <c r="B75" s="11"/>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row>
    <row r="76" spans="1:42" x14ac:dyDescent="0.35">
      <c r="A76" s="11"/>
      <c r="B76" s="11"/>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row>
    <row r="77" spans="1:42" x14ac:dyDescent="0.35">
      <c r="A77" s="11"/>
      <c r="B77" s="11"/>
      <c r="C77" s="11"/>
      <c r="D77" s="11"/>
      <c r="E77" s="11"/>
      <c r="F77" s="11"/>
      <c r="G77" s="76"/>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row>
    <row r="78" spans="1:42"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row>
    <row r="79" spans="1:42" x14ac:dyDescent="0.35">
      <c r="A79" s="11"/>
      <c r="B79" s="11"/>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row>
    <row r="80" spans="1:42" x14ac:dyDescent="0.35">
      <c r="A80" s="1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row>
    <row r="81" spans="1:42"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row>
    <row r="82" spans="1:42"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row>
    <row r="83" spans="1:42" x14ac:dyDescent="0.3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row>
    <row r="84" spans="1:42" x14ac:dyDescent="0.35">
      <c r="A84" s="11"/>
      <c r="B84" s="11"/>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row>
    <row r="85" spans="1:42" x14ac:dyDescent="0.35">
      <c r="A85" s="11"/>
      <c r="B85" s="11"/>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row>
    <row r="86" spans="1:42" x14ac:dyDescent="0.35">
      <c r="A86" s="11"/>
      <c r="B86" s="11"/>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row>
    <row r="87" spans="1:42" x14ac:dyDescent="0.35">
      <c r="A87" s="11"/>
      <c r="B87" s="11"/>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row>
    <row r="88" spans="1:42" x14ac:dyDescent="0.35">
      <c r="A88" s="11"/>
      <c r="B88" s="11"/>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row>
    <row r="89" spans="1:42" x14ac:dyDescent="0.35">
      <c r="A89" s="11"/>
      <c r="B89" s="11"/>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row>
    <row r="90" spans="1:42" x14ac:dyDescent="0.35">
      <c r="A90" s="11"/>
      <c r="B90" s="11"/>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row>
    <row r="91" spans="1:42"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row>
    <row r="92" spans="1:42" x14ac:dyDescent="0.35">
      <c r="A92" s="11"/>
      <c r="B92" s="11"/>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row>
    <row r="93" spans="1:42" x14ac:dyDescent="0.35">
      <c r="A93" s="11"/>
      <c r="B93" s="11"/>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row>
    <row r="94" spans="1:42" x14ac:dyDescent="0.35">
      <c r="A94" s="11"/>
      <c r="B94" s="11"/>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row>
    <row r="95" spans="1:42" x14ac:dyDescent="0.35">
      <c r="A95" s="11"/>
      <c r="B95" s="11"/>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row>
    <row r="96" spans="1:42" x14ac:dyDescent="0.35">
      <c r="A96" s="11"/>
      <c r="B96" s="11"/>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row>
    <row r="97" spans="1:42" x14ac:dyDescent="0.35">
      <c r="A97" s="11"/>
      <c r="B97" s="11"/>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row>
    <row r="98" spans="1:42" x14ac:dyDescent="0.35">
      <c r="A98" s="11"/>
      <c r="B98" s="11"/>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row>
    <row r="99" spans="1:42" x14ac:dyDescent="0.35">
      <c r="A99" s="11"/>
      <c r="B99" s="11"/>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row>
    <row r="100" spans="1:42" x14ac:dyDescent="0.3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row>
    <row r="101" spans="1:42"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row>
    <row r="102" spans="1:42"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row>
    <row r="103" spans="1:42"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row>
    <row r="104" spans="1:42" x14ac:dyDescent="0.35">
      <c r="A104" s="11"/>
      <c r="B104" s="11"/>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row>
    <row r="105" spans="1:42" x14ac:dyDescent="0.3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row>
    <row r="106" spans="1:42" x14ac:dyDescent="0.3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row>
    <row r="107" spans="1:42" x14ac:dyDescent="0.35">
      <c r="A107" s="11"/>
      <c r="B107" s="11"/>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row>
    <row r="108" spans="1:42" x14ac:dyDescent="0.35">
      <c r="A108" s="11"/>
      <c r="B108" s="11"/>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row>
    <row r="109" spans="1:42" x14ac:dyDescent="0.35">
      <c r="A109" s="11"/>
      <c r="B109" s="11"/>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row>
    <row r="110" spans="1:42"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row>
    <row r="111" spans="1:42" x14ac:dyDescent="0.3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row>
    <row r="112" spans="1:42"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row>
    <row r="113" spans="1:42"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row>
    <row r="114" spans="1:42"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row>
    <row r="115" spans="1:42" x14ac:dyDescent="0.3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row>
    <row r="116" spans="1:42" x14ac:dyDescent="0.35">
      <c r="A116" s="11"/>
      <c r="B116" s="11"/>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row>
    <row r="117" spans="1:42" x14ac:dyDescent="0.35">
      <c r="A117" s="11"/>
      <c r="B117" s="11"/>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row>
    <row r="118" spans="1:42" x14ac:dyDescent="0.35">
      <c r="A118" s="11"/>
      <c r="B118" s="11"/>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row>
    <row r="119" spans="1:42" x14ac:dyDescent="0.35">
      <c r="A119" s="11"/>
      <c r="B119" s="11"/>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row>
    <row r="120" spans="1:42" x14ac:dyDescent="0.3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row>
    <row r="121" spans="1:42" x14ac:dyDescent="0.3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row>
    <row r="122" spans="1:42"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row>
    <row r="123" spans="1:42"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row>
    <row r="124" spans="1:42" x14ac:dyDescent="0.35">
      <c r="A124" s="11"/>
      <c r="B124" s="11"/>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row>
    <row r="125" spans="1:42" x14ac:dyDescent="0.35">
      <c r="A125" s="11"/>
      <c r="B125" s="11"/>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row>
    <row r="126" spans="1:42" x14ac:dyDescent="0.35">
      <c r="A126" s="11"/>
      <c r="B126" s="11"/>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row>
    <row r="127" spans="1:42" x14ac:dyDescent="0.35">
      <c r="A127" s="11"/>
      <c r="B127" s="11"/>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row>
    <row r="128" spans="1:42" x14ac:dyDescent="0.35">
      <c r="A128" s="11"/>
      <c r="B128" s="11"/>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row>
    <row r="129" spans="1:42" x14ac:dyDescent="0.35">
      <c r="A129" s="11"/>
      <c r="B129" s="11"/>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row>
    <row r="130" spans="1:42" x14ac:dyDescent="0.35">
      <c r="A130" s="11"/>
      <c r="B130" s="11"/>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row>
    <row r="131" spans="1:42" x14ac:dyDescent="0.3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row>
    <row r="132" spans="1:42" x14ac:dyDescent="0.35">
      <c r="A132" s="11"/>
      <c r="B132" s="11"/>
      <c r="C132" s="11"/>
      <c r="D132" s="11"/>
      <c r="E132" s="11"/>
      <c r="F132" s="11"/>
      <c r="G132" s="11"/>
      <c r="H132" s="11"/>
      <c r="I132" s="267"/>
      <c r="J132" s="11"/>
      <c r="K132" s="267"/>
      <c r="L132" s="267"/>
      <c r="M132" s="11"/>
      <c r="N132" s="267"/>
      <c r="O132" s="267"/>
      <c r="P132" s="267"/>
      <c r="Q132" s="267"/>
      <c r="R132" s="267"/>
      <c r="S132" s="267"/>
      <c r="T132" s="267"/>
      <c r="U132" s="267"/>
      <c r="V132" s="267"/>
      <c r="W132" s="267"/>
      <c r="X132" s="267"/>
      <c r="Y132" s="267"/>
      <c r="Z132" s="267"/>
      <c r="AA132" s="11"/>
      <c r="AB132" s="11"/>
      <c r="AC132" s="267"/>
      <c r="AD132" s="11"/>
      <c r="AE132" s="267"/>
      <c r="AF132" s="11"/>
      <c r="AG132" s="267"/>
      <c r="AH132" s="11"/>
      <c r="AI132" s="11"/>
      <c r="AJ132" s="11"/>
      <c r="AK132" s="11"/>
      <c r="AL132" s="11"/>
      <c r="AM132" s="11"/>
      <c r="AN132" s="11"/>
      <c r="AO132" s="11"/>
      <c r="AP132" s="11"/>
    </row>
    <row r="133" spans="1:42"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row>
    <row r="134" spans="1:42"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row>
    <row r="135" spans="1:42" x14ac:dyDescent="0.3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row>
    <row r="136" spans="1:42" x14ac:dyDescent="0.35">
      <c r="A136" s="11"/>
      <c r="B136" s="11"/>
      <c r="C136" s="11"/>
      <c r="D136" s="11"/>
      <c r="E136" s="11"/>
      <c r="F136" s="11"/>
      <c r="G136" s="11"/>
      <c r="H136" s="11"/>
      <c r="I136" s="267"/>
      <c r="J136" s="11"/>
      <c r="K136" s="267"/>
      <c r="L136" s="267"/>
      <c r="M136" s="11"/>
      <c r="N136" s="267"/>
      <c r="O136" s="267"/>
      <c r="P136" s="267"/>
      <c r="Q136" s="267"/>
      <c r="R136" s="267"/>
      <c r="S136" s="267"/>
      <c r="T136" s="267"/>
      <c r="U136" s="267"/>
      <c r="V136" s="267"/>
      <c r="W136" s="267"/>
      <c r="X136" s="267"/>
      <c r="Y136" s="267"/>
      <c r="Z136" s="267"/>
      <c r="AA136" s="11"/>
      <c r="AB136" s="11"/>
      <c r="AC136" s="267"/>
      <c r="AD136" s="11"/>
      <c r="AE136" s="267"/>
      <c r="AF136" s="11"/>
      <c r="AG136" s="267"/>
      <c r="AH136" s="11"/>
      <c r="AI136" s="11"/>
      <c r="AJ136" s="11"/>
      <c r="AK136" s="11"/>
      <c r="AL136" s="11"/>
      <c r="AM136" s="11"/>
      <c r="AN136" s="11"/>
      <c r="AO136" s="11"/>
      <c r="AP136" s="11"/>
    </row>
    <row r="137" spans="1:42"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row>
    <row r="138" spans="1:42"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row>
    <row r="139" spans="1:42"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row>
    <row r="140" spans="1:42"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row>
    <row r="141" spans="1:42"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row>
    <row r="142" spans="1:42"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row>
    <row r="143" spans="1:42"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row>
    <row r="144" spans="1:42" x14ac:dyDescent="0.35">
      <c r="A144" s="11"/>
      <c r="B144" s="11"/>
      <c r="C144" s="11"/>
      <c r="D144" s="11"/>
      <c r="E144" s="267"/>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row>
    <row r="145" spans="1:42"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row>
    <row r="146" spans="1:42"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row>
    <row r="147" spans="1:42"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row>
    <row r="148" spans="1:42" x14ac:dyDescent="0.35">
      <c r="A148" s="11"/>
      <c r="B148" s="11"/>
      <c r="C148" s="11"/>
      <c r="D148" s="11"/>
      <c r="E148" s="267"/>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row>
    <row r="149" spans="1:42"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row>
    <row r="150" spans="1:42"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row>
    <row r="151" spans="1:42"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row>
    <row r="152" spans="1:42"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row>
    <row r="153" spans="1:42"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row>
    <row r="154" spans="1:42"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row>
    <row r="155" spans="1:42"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row>
    <row r="156" spans="1:42" x14ac:dyDescent="0.35">
      <c r="A156" s="11"/>
      <c r="B156" s="11"/>
      <c r="C156" s="11"/>
      <c r="D156" s="11"/>
      <c r="E156" s="11"/>
      <c r="F156" s="11"/>
      <c r="G156" s="267"/>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row>
    <row r="157" spans="1:42"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row>
    <row r="158" spans="1:42"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row>
    <row r="159" spans="1:42"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row>
    <row r="160" spans="1:42" x14ac:dyDescent="0.35">
      <c r="A160" s="11"/>
      <c r="B160" s="11"/>
      <c r="C160" s="11"/>
      <c r="D160" s="11"/>
      <c r="E160" s="11"/>
      <c r="F160" s="11"/>
      <c r="G160" s="267"/>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row>
  </sheetData>
  <sheetProtection algorithmName="SHA-512" hashValue="XsXa1qf8TTL+wBbp20FcuBUmxg6QnR9mHfgCcUA7fwew1h1er1HbSP/ZvhQQ/L7x5BvcxRqN8jBCksDisZ/DcQ==" saltValue="WfUc6kvbLDNdxPUsXWLDOA==" spinCount="100000" sheet="1" scenarios="1"/>
  <mergeCells count="2">
    <mergeCell ref="AC31:AD31"/>
    <mergeCell ref="AF31:AG31"/>
  </mergeCells>
  <dataValidations disablePrompts="1" count="2">
    <dataValidation type="list" allowBlank="1" sqref="B28:C28" xr:uid="{00000000-0002-0000-1E00-000000000000}">
      <formula1>"ACCOUNT,BUSINESSUNIT,CATEGORY,DATASRC,DEPARTMENT,INTCO,MEASURES,RPTCURRENCY,TIME"</formula1>
    </dataValidation>
    <dataValidation type="list" allowBlank="1" sqref="B29:C29" xr:uid="{00000000-0002-0000-1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3016" r:id="rId7" name="FPMExcelClientSheetOptionstb1">
          <controlPr defaultSize="0" autoLine="0" r:id="rId8">
            <anchor moveWithCells="1" sizeWithCells="1">
              <from>
                <xdr:col>0</xdr:col>
                <xdr:colOff>0</xdr:colOff>
                <xdr:row>0</xdr:row>
                <xdr:rowOff>0</xdr:rowOff>
              </from>
              <to>
                <xdr:col>12</xdr:col>
                <xdr:colOff>908050</xdr:colOff>
                <xdr:row>0</xdr:row>
                <xdr:rowOff>0</xdr:rowOff>
              </to>
            </anchor>
          </controlPr>
        </control>
      </mc:Choice>
      <mc:Fallback>
        <control shapeId="43016" r:id="rId7" name="FPMExcelClientSheetOptionstb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16384" width="9.1796875" style="1"/>
  </cols>
  <sheetData>
    <row r="1" spans="1:35"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35">
      <c r="A6" s="53" t="s">
        <v>52</v>
      </c>
      <c r="B6" s="56" t="s">
        <v>365</v>
      </c>
      <c r="C6" s="11" t="str">
        <f>IF(_epmOfflineCondition_,"Guest Communications",_xll.EVDES(B6,$B$1))</f>
        <v>Guest Communications</v>
      </c>
      <c r="D6" s="11"/>
      <c r="E6" s="58" t="str">
        <f>IF(_epmOfflineCondition_,"D1131",_xll.EVPRO($B$1,$B$6,$F$6))</f>
        <v>D1131</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row>
    <row r="14" spans="1:35"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row>
    <row r="17" spans="1:35" hidden="1" outlineLevel="1" x14ac:dyDescent="0.35">
      <c r="A17" s="65" t="s">
        <v>2</v>
      </c>
      <c r="B17" s="66" t="str">
        <f>IF(_epmOfflineCondition_,"'Telcom_Legacy'!$B$2:$B$10",_xll.EVRNG($B$2:$B$10))</f>
        <v>'Telcom_Legacy'!$B$2:$B$10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35">
      <c r="A18" s="65" t="s">
        <v>3</v>
      </c>
      <c r="B18" s="66" t="str">
        <f>IF(_epmOfflineCondition_,"'Telcom_Legacy'!$O$16:$AI$18",_xll.EVRNG(O16:AI18))</f>
        <v>'Telcom_Legacy'!$O$16:$AI$18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35">
      <c r="A19" s="65" t="s">
        <v>4</v>
      </c>
      <c r="B19" s="66" t="str">
        <f>IF(_epmOfflineCondition_,"'Telcom_Legacy'!$H$34:$H$39",_xll.EVRNG(H34:H39))</f>
        <v>'Telcom_Legacy'!$H$34:$H$39</v>
      </c>
      <c r="C19" s="11"/>
      <c r="D19" s="11"/>
      <c r="E19" s="11"/>
      <c r="F19" s="11"/>
      <c r="G19" s="67" t="str">
        <f>$B$6</f>
        <v>D_TELCOM</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35">
      <c r="A20" s="65" t="s">
        <v>5</v>
      </c>
      <c r="B20" s="66"/>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row>
    <row r="21" spans="1:35"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35">
      <c r="A22" s="65" t="s">
        <v>7</v>
      </c>
      <c r="B22" s="66" t="str">
        <f>IF(_epmOfflineCondition_,"'Telcom_Legacy'!$A$36:$F$40",_xll.EVRNG(A36:F40))</f>
        <v>'Telcom_Legacy'!$A$36:$F$40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35">
      <c r="A23" s="65" t="s">
        <v>47</v>
      </c>
      <c r="B23" s="66" t="str">
        <f>IF(_epmOfflineCondition_,"'Telcom_Legacy'!$A$117:$B$138",_xll.EVRNG($A$117:$B$138))</f>
        <v>'Telcom_Legacy'!$A$117:$B$138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row>
    <row r="24" spans="1:35"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7.5" x14ac:dyDescent="0.35">
      <c r="A27" s="65" t="s">
        <v>11</v>
      </c>
      <c r="B27" s="66" t="s">
        <v>21</v>
      </c>
      <c r="C27" s="11"/>
      <c r="D27" s="11"/>
      <c r="E27" s="11"/>
      <c r="F27" s="11"/>
      <c r="G27" s="11"/>
      <c r="H27" s="11"/>
      <c r="I27" s="59"/>
      <c r="J27" s="59"/>
      <c r="K27" s="11"/>
      <c r="L27" s="11"/>
      <c r="M27" s="11"/>
      <c r="N27" s="71" t="str">
        <f>IF(_epmOfflineCondition_,"Guest Communications Department",IF(_xll.EVDES(B6,$B$1)="#NODATA","",_xll.EVDES(B6,$B$1)&amp;" Department"))</f>
        <v>Guest Communications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35">
      <c r="A29" s="65" t="s">
        <v>13</v>
      </c>
      <c r="B29" s="66" t="str">
        <f>"DEP(410000) AND "&amp;$E$6&amp;"=Y,400000"</f>
        <v>DEP(410000) AND D1131=Y,400000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row>
    <row r="30" spans="1:35"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row>
    <row r="32" spans="1:35"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35">
      <c r="A34" s="11"/>
      <c r="B34" s="11"/>
      <c r="C34" s="11"/>
      <c r="D34" s="11"/>
      <c r="E34" s="11"/>
      <c r="F34" s="11"/>
      <c r="G34" s="11"/>
      <c r="H34" s="88" t="s">
        <v>656</v>
      </c>
      <c r="I34" s="122" t="str">
        <f>IF(_epmOfflineCondition_,"N",_xll.EVPRO($B$1,$H34,"STYLE"))</f>
        <v>N</v>
      </c>
      <c r="J34" s="122" t="str">
        <f>IF(_epmOfflineCondition_,"N",_xll.EVPRO($B$1,$H34,"CALC"))</f>
        <v>N</v>
      </c>
      <c r="K34" s="179" t="str">
        <f t="shared" ref="K34:K39" si="0">IF(AND(I34&gt;="T5"),"&gt;","")</f>
        <v/>
      </c>
      <c r="L34" s="90" t="str">
        <f>IF(_epmOfflineCondition_,"410100",_xll.EVPRO($B$1,H34,"JDEID"))</f>
        <v>410100</v>
      </c>
      <c r="M34" s="90" t="str">
        <f>IF(_epmOfflineCondition_,"204010",IF(AND(I34="N",J34="N"),_xll.EVPRO($B$1,H34,"PSFTID"),""))</f>
        <v>204010</v>
      </c>
      <c r="N34" s="90" t="str">
        <f>IF(_epmOfflineCondition_,"Local Call Revenue",IF(_xll.EVDES(H34,$B$1)="#NODATA","",_xll.EVDES(H34,$B$1)))</f>
        <v>Local Call Revenue</v>
      </c>
      <c r="O34" s="435"/>
      <c r="P34" s="250"/>
      <c r="Q34" s="250"/>
      <c r="R34" s="250"/>
      <c r="S34" s="250"/>
      <c r="T34" s="250"/>
      <c r="U34" s="250"/>
      <c r="V34" s="250"/>
      <c r="W34" s="250"/>
      <c r="X34" s="250"/>
      <c r="Y34" s="250"/>
      <c r="Z34" s="250"/>
      <c r="AA34" s="250">
        <f t="shared" ref="AA34:AA39" si="1">IF($I34="B1","",SUM(O34:Z34))</f>
        <v>0</v>
      </c>
      <c r="AB34" s="436" t="str">
        <f t="shared" ref="AB34:AB39" si="2">IF(AA34=0,"",IFERROR(AA34/AA$19,""))</f>
        <v/>
      </c>
      <c r="AC34" s="533"/>
      <c r="AD34" s="250"/>
      <c r="AE34" s="436" t="str">
        <f t="shared" ref="AE34:AE39" si="3">IF(AD34=0,"",IFERROR(AD34/AD$19,""))</f>
        <v/>
      </c>
      <c r="AF34" s="438">
        <f t="shared" ref="AF34:AF39" si="4">IF(AND($AA34="",AD34=""),"",$AA34-AD34)</f>
        <v>0</v>
      </c>
      <c r="AG34" s="250"/>
      <c r="AH34" s="436" t="str">
        <f t="shared" ref="AH34:AH39" si="5">IF(AG34=0,"",IFERROR(AG34/AG$19,""))</f>
        <v/>
      </c>
      <c r="AI34" s="439">
        <f t="shared" ref="AI34:AI39" si="6">IF(AND($AA34="",AG34=""),"",$AA34-AG34)</f>
        <v>0</v>
      </c>
    </row>
    <row r="35" spans="1:35" x14ac:dyDescent="0.35">
      <c r="A35" s="97" t="s">
        <v>92</v>
      </c>
      <c r="B35" s="98" t="s">
        <v>93</v>
      </c>
      <c r="C35" s="98" t="s">
        <v>94</v>
      </c>
      <c r="D35" s="98" t="s">
        <v>95</v>
      </c>
      <c r="E35" s="98" t="s">
        <v>96</v>
      </c>
      <c r="F35" s="99" t="s">
        <v>97</v>
      </c>
      <c r="G35" s="11"/>
      <c r="H35" s="88" t="s">
        <v>657</v>
      </c>
      <c r="I35" s="122" t="str">
        <f>IF(_epmOfflineCondition_,"N",_xll.EVPRO($B$1,$H35,"STYLE"))</f>
        <v>N</v>
      </c>
      <c r="J35" s="122" t="str">
        <f>IF(_epmOfflineCondition_,"N",_xll.EVPRO($B$1,$H35,"CALC"))</f>
        <v>N</v>
      </c>
      <c r="K35" s="179" t="str">
        <f t="shared" si="0"/>
        <v/>
      </c>
      <c r="L35" s="90" t="str">
        <f>IF(_epmOfflineCondition_,"410200",_xll.EVPRO($B$1,H35,"JDEID"))</f>
        <v>410200</v>
      </c>
      <c r="M35" s="90" t="str">
        <f>IF(_epmOfflineCondition_,"204012",IF(AND(I35="N",J35="N"),_xll.EVPRO($B$1,H35,"PSFTID"),""))</f>
        <v>204012</v>
      </c>
      <c r="N35" s="90" t="str">
        <f>IF(_epmOfflineCondition_,"Long Distance Revenue",IF(_xll.EVDES(H35,$B$1)="#NODATA","",_xll.EVDES(H35,$B$1)))</f>
        <v>Long Distance Revenue</v>
      </c>
      <c r="O35" s="435"/>
      <c r="P35" s="250"/>
      <c r="Q35" s="250"/>
      <c r="R35" s="250"/>
      <c r="S35" s="250"/>
      <c r="T35" s="250"/>
      <c r="U35" s="250"/>
      <c r="V35" s="250"/>
      <c r="W35" s="250"/>
      <c r="X35" s="250"/>
      <c r="Y35" s="250"/>
      <c r="Z35" s="250"/>
      <c r="AA35" s="250">
        <f t="shared" si="1"/>
        <v>0</v>
      </c>
      <c r="AB35" s="436" t="str">
        <f t="shared" si="2"/>
        <v/>
      </c>
      <c r="AC35" s="533"/>
      <c r="AD35" s="250"/>
      <c r="AE35" s="436" t="str">
        <f t="shared" si="3"/>
        <v/>
      </c>
      <c r="AF35" s="438">
        <f t="shared" si="4"/>
        <v>0</v>
      </c>
      <c r="AG35" s="250"/>
      <c r="AH35" s="436" t="str">
        <f t="shared" si="5"/>
        <v/>
      </c>
      <c r="AI35" s="439">
        <f t="shared" si="6"/>
        <v>0</v>
      </c>
    </row>
    <row r="36" spans="1:35" x14ac:dyDescent="0.35">
      <c r="A36" s="11"/>
      <c r="B36" s="11"/>
      <c r="C36" s="11"/>
      <c r="D36" s="11"/>
      <c r="E36" s="11"/>
      <c r="F36" s="11"/>
      <c r="G36" s="11"/>
      <c r="H36" s="88" t="s">
        <v>658</v>
      </c>
      <c r="I36" s="122" t="str">
        <f>IF(_epmOfflineCondition_,"N",_xll.EVPRO($B$1,$H36,"STYLE"))</f>
        <v>N</v>
      </c>
      <c r="J36" s="122" t="str">
        <f>IF(_epmOfflineCondition_,"N",_xll.EVPRO($B$1,$H36,"CALC"))</f>
        <v>N</v>
      </c>
      <c r="K36" s="179" t="str">
        <f t="shared" si="0"/>
        <v/>
      </c>
      <c r="L36" s="90" t="str">
        <f>IF(_epmOfflineCondition_,"410300",_xll.EVPRO($B$1,H36,"JDEID"))</f>
        <v>410300</v>
      </c>
      <c r="M36" s="90" t="str">
        <f>IF(_epmOfflineCondition_,"204019",IF(AND(I36="N",J36="N"),_xll.EVPRO($B$1,H36,"PSFTID"),""))</f>
        <v>204019</v>
      </c>
      <c r="N36" s="90" t="str">
        <f>IF(_epmOfflineCondition_,"Internet Revenue",IF(_xll.EVDES(H36,$B$1)="#NODATA","",_xll.EVDES(H36,$B$1)))</f>
        <v>Internet Revenue</v>
      </c>
      <c r="O36" s="435"/>
      <c r="P36" s="250"/>
      <c r="Q36" s="250"/>
      <c r="R36" s="250"/>
      <c r="S36" s="250"/>
      <c r="T36" s="250"/>
      <c r="U36" s="250"/>
      <c r="V36" s="250"/>
      <c r="W36" s="250"/>
      <c r="X36" s="250"/>
      <c r="Y36" s="250"/>
      <c r="Z36" s="250"/>
      <c r="AA36" s="250">
        <f t="shared" si="1"/>
        <v>0</v>
      </c>
      <c r="AB36" s="436" t="str">
        <f t="shared" si="2"/>
        <v/>
      </c>
      <c r="AC36" s="533"/>
      <c r="AD36" s="250"/>
      <c r="AE36" s="436" t="str">
        <f t="shared" si="3"/>
        <v/>
      </c>
      <c r="AF36" s="438">
        <f t="shared" si="4"/>
        <v>0</v>
      </c>
      <c r="AG36" s="250"/>
      <c r="AH36" s="436" t="str">
        <f t="shared" si="5"/>
        <v/>
      </c>
      <c r="AI36" s="439">
        <f t="shared" si="6"/>
        <v>0</v>
      </c>
    </row>
    <row r="37" spans="1:35" x14ac:dyDescent="0.35">
      <c r="A37" s="11" t="s">
        <v>209</v>
      </c>
      <c r="B37" s="11" t="s">
        <v>21</v>
      </c>
      <c r="C37" s="395"/>
      <c r="D37" s="11" t="s">
        <v>590</v>
      </c>
      <c r="E37" s="11"/>
      <c r="F37" s="11" t="s">
        <v>99</v>
      </c>
      <c r="G37" s="11"/>
      <c r="H37" s="88" t="s">
        <v>659</v>
      </c>
      <c r="I37" s="122" t="str">
        <f>IF(_epmOfflineCondition_,"N",_xll.EVPRO($B$1,$H37,"STYLE"))</f>
        <v>N</v>
      </c>
      <c r="J37" s="122" t="str">
        <f>IF(_epmOfflineCondition_,"N",_xll.EVPRO($B$1,$H37,"CALC"))</f>
        <v>N</v>
      </c>
      <c r="K37" s="179" t="str">
        <f t="shared" si="0"/>
        <v/>
      </c>
      <c r="L37" s="90" t="str">
        <f>IF(_epmOfflineCondition_,"410400",_xll.EVPRO($B$1,H37,"JDEID"))</f>
        <v>410400</v>
      </c>
      <c r="M37" s="90" t="str">
        <f>IF(_epmOfflineCondition_,"204098",IF(AND(I37="N",J37="N"),_xll.EVPRO($B$1,H37,"PSFTID"),""))</f>
        <v>204098</v>
      </c>
      <c r="N37" s="90" t="str">
        <f>IF(_epmOfflineCondition_,"Other Revenue",IF(_xll.EVDES(H37,$B$1)="#NODATA","",_xll.EVDES(H37,$B$1)))</f>
        <v>Other Revenue</v>
      </c>
      <c r="O37" s="435"/>
      <c r="P37" s="250"/>
      <c r="Q37" s="250"/>
      <c r="R37" s="250"/>
      <c r="S37" s="250"/>
      <c r="T37" s="250"/>
      <c r="U37" s="250"/>
      <c r="V37" s="250"/>
      <c r="W37" s="250"/>
      <c r="X37" s="250"/>
      <c r="Y37" s="250"/>
      <c r="Z37" s="250"/>
      <c r="AA37" s="250">
        <f t="shared" si="1"/>
        <v>0</v>
      </c>
      <c r="AB37" s="436" t="str">
        <f t="shared" si="2"/>
        <v/>
      </c>
      <c r="AC37" s="533"/>
      <c r="AD37" s="250"/>
      <c r="AE37" s="436" t="str">
        <f t="shared" si="3"/>
        <v/>
      </c>
      <c r="AF37" s="438">
        <f t="shared" si="4"/>
        <v>0</v>
      </c>
      <c r="AG37" s="250"/>
      <c r="AH37" s="436" t="str">
        <f t="shared" si="5"/>
        <v/>
      </c>
      <c r="AI37" s="439">
        <f t="shared" si="6"/>
        <v>0</v>
      </c>
    </row>
    <row r="38" spans="1:35" x14ac:dyDescent="0.35">
      <c r="A38" s="11" t="s">
        <v>105</v>
      </c>
      <c r="B38" s="11"/>
      <c r="C38" s="104" t="s">
        <v>101</v>
      </c>
      <c r="D38" s="11" t="s">
        <v>106</v>
      </c>
      <c r="E38" s="11"/>
      <c r="F38" s="11" t="s">
        <v>98</v>
      </c>
      <c r="G38" s="11"/>
      <c r="H38" s="88" t="s">
        <v>660</v>
      </c>
      <c r="I38" s="122" t="str">
        <f>IF(_epmOfflineCondition_,"N",_xll.EVPRO($B$1,$H38,"STYLE"))</f>
        <v>N</v>
      </c>
      <c r="J38" s="122" t="str">
        <f>IF(_epmOfflineCondition_,"N",_xll.EVPRO($B$1,$H38,"CALC"))</f>
        <v>N</v>
      </c>
      <c r="K38" s="179" t="str">
        <f t="shared" si="0"/>
        <v/>
      </c>
      <c r="L38" s="90" t="str">
        <f>IF(_epmOfflineCondition_,"410500",_xll.EVPRO($B$1,H38,"JDEID"))</f>
        <v>410500</v>
      </c>
      <c r="M38" s="90" t="str">
        <f>IF(_epmOfflineCondition_,"200529",IF(AND(I38="N",J38="N"),_xll.EVPRO($B$1,H38,"PSFTID"),""))</f>
        <v>200529</v>
      </c>
      <c r="N38" s="90" t="str">
        <f>IF(_epmOfflineCondition_,"Guest Comm: Allowances",IF(_xll.EVDES(H38,$B$1)="#NODATA","",_xll.EVDES(H38,$B$1)))</f>
        <v>Guest Comm: Allowances</v>
      </c>
      <c r="O38" s="445"/>
      <c r="P38" s="251"/>
      <c r="Q38" s="251"/>
      <c r="R38" s="251"/>
      <c r="S38" s="251"/>
      <c r="T38" s="251"/>
      <c r="U38" s="251"/>
      <c r="V38" s="251"/>
      <c r="W38" s="251"/>
      <c r="X38" s="251"/>
      <c r="Y38" s="251"/>
      <c r="Z38" s="251"/>
      <c r="AA38" s="251">
        <f t="shared" si="1"/>
        <v>0</v>
      </c>
      <c r="AB38" s="446" t="str">
        <f t="shared" si="2"/>
        <v/>
      </c>
      <c r="AC38" s="437"/>
      <c r="AD38" s="251"/>
      <c r="AE38" s="446" t="str">
        <f t="shared" si="3"/>
        <v/>
      </c>
      <c r="AF38" s="447">
        <f t="shared" si="4"/>
        <v>0</v>
      </c>
      <c r="AG38" s="251"/>
      <c r="AH38" s="446" t="str">
        <f t="shared" si="5"/>
        <v/>
      </c>
      <c r="AI38" s="448">
        <f t="shared" si="6"/>
        <v>0</v>
      </c>
    </row>
    <row r="39" spans="1:35" x14ac:dyDescent="0.35">
      <c r="A39" s="11" t="s">
        <v>108</v>
      </c>
      <c r="B39" s="11"/>
      <c r="C39" s="106" t="s">
        <v>101</v>
      </c>
      <c r="D39" s="11" t="s">
        <v>106</v>
      </c>
      <c r="E39" s="11"/>
      <c r="F39" s="11" t="s">
        <v>98</v>
      </c>
      <c r="G39" s="11"/>
      <c r="H39" s="88" t="s">
        <v>280</v>
      </c>
      <c r="I39" s="188" t="str">
        <f>IF(_epmOfflineCondition_,"T3",_xll.EVPRO($B$1,$H39,"STYLE"))</f>
        <v>T3</v>
      </c>
      <c r="J39" s="188" t="str">
        <f>IF(_epmOfflineCondition_,"Y",_xll.EVPRO($B$1,$H39,"CALC"))</f>
        <v>Y</v>
      </c>
      <c r="K39" s="189" t="str">
        <f t="shared" si="0"/>
        <v/>
      </c>
      <c r="L39" s="190" t="str">
        <f>IF(_epmOfflineCondition_,"400000",_xll.EVPRO($B$1,H39,"JDEID"))</f>
        <v>400000</v>
      </c>
      <c r="M39" s="190" t="str">
        <f>IF(_epmOfflineCondition_,"",IF(AND(I39="N",J39="N"),_xll.EVPRO($B$1,H39,"PSFTID"),""))</f>
        <v/>
      </c>
      <c r="N39" s="190" t="str">
        <f>IF(_epmOfflineCondition_,"Total Revenue",IF(_xll.EVDES(H39,$B$1)="#NODATA","",_xll.EVDES(H39,$B$1)))</f>
        <v>Total Revenue</v>
      </c>
      <c r="O39" s="454"/>
      <c r="P39" s="225"/>
      <c r="Q39" s="225"/>
      <c r="R39" s="225"/>
      <c r="S39" s="225"/>
      <c r="T39" s="225"/>
      <c r="U39" s="225"/>
      <c r="V39" s="225"/>
      <c r="W39" s="225"/>
      <c r="X39" s="225"/>
      <c r="Y39" s="225"/>
      <c r="Z39" s="225"/>
      <c r="AA39" s="225">
        <f t="shared" si="1"/>
        <v>0</v>
      </c>
      <c r="AB39" s="226" t="str">
        <f t="shared" si="2"/>
        <v/>
      </c>
      <c r="AC39" s="227"/>
      <c r="AD39" s="225"/>
      <c r="AE39" s="226" t="str">
        <f t="shared" si="3"/>
        <v/>
      </c>
      <c r="AF39" s="228">
        <f t="shared" si="4"/>
        <v>0</v>
      </c>
      <c r="AG39" s="225"/>
      <c r="AH39" s="226" t="str">
        <f t="shared" si="5"/>
        <v/>
      </c>
      <c r="AI39" s="455">
        <f t="shared" si="6"/>
        <v>0</v>
      </c>
    </row>
    <row r="40" spans="1:35" x14ac:dyDescent="0.35">
      <c r="A40" s="11" t="s">
        <v>108</v>
      </c>
      <c r="B40" s="11"/>
      <c r="C40" s="196" t="s">
        <v>101</v>
      </c>
      <c r="D40" s="11" t="s">
        <v>107</v>
      </c>
      <c r="E40" s="11"/>
      <c r="F40" s="11" t="s">
        <v>99</v>
      </c>
      <c r="G40" s="11"/>
      <c r="H40" s="11"/>
      <c r="I40" s="59"/>
      <c r="J40" s="59"/>
      <c r="K40" s="11"/>
      <c r="L40" s="11"/>
      <c r="M40" s="11"/>
      <c r="N40" s="11"/>
      <c r="O40" s="203"/>
      <c r="P40" s="204"/>
      <c r="Q40" s="204"/>
      <c r="R40" s="204"/>
      <c r="S40" s="204"/>
      <c r="T40" s="204"/>
      <c r="U40" s="204"/>
      <c r="V40" s="204"/>
      <c r="W40" s="204"/>
      <c r="X40" s="204"/>
      <c r="Y40" s="204"/>
      <c r="Z40" s="204"/>
      <c r="AA40" s="204"/>
      <c r="AB40" s="118"/>
      <c r="AC40" s="11"/>
      <c r="AD40" s="203"/>
      <c r="AE40" s="204"/>
      <c r="AF40" s="118"/>
      <c r="AG40" s="203"/>
      <c r="AH40" s="204"/>
      <c r="AI40" s="118"/>
    </row>
    <row r="41" spans="1:35" x14ac:dyDescent="0.35">
      <c r="A41" s="11"/>
      <c r="B41" s="11"/>
      <c r="C41" s="11"/>
      <c r="D41" s="11"/>
      <c r="E41" s="11"/>
      <c r="F41" s="11"/>
      <c r="G41" s="11"/>
      <c r="H41" s="11" t="s">
        <v>281</v>
      </c>
      <c r="I41" s="59" t="str">
        <f>IF(_epmOfflineCondition_,"B1",_xll.EVPRO($B$1,$H41,"STYLE"))</f>
        <v>B1</v>
      </c>
      <c r="J41" s="59" t="str">
        <f>IF(_epmOfflineCondition_,"Y",_xll.EVPRO($B$1,$H41,"CALC"))</f>
        <v>Y</v>
      </c>
      <c r="K41" s="11"/>
      <c r="L41" s="11"/>
      <c r="M41" s="11"/>
      <c r="N41" s="105" t="str">
        <f>IF(_epmOfflineCondition_,"Cost of Sales",IF(_xll.EVDES(H41,$B$1)="#NODATA","",_xll.EVDES(H41,$B$1)))</f>
        <v>Cost of Sales</v>
      </c>
      <c r="O41" s="203"/>
      <c r="P41" s="204"/>
      <c r="Q41" s="204"/>
      <c r="R41" s="204"/>
      <c r="S41" s="204"/>
      <c r="T41" s="204"/>
      <c r="U41" s="204"/>
      <c r="V41" s="204"/>
      <c r="W41" s="204"/>
      <c r="X41" s="204"/>
      <c r="Y41" s="204"/>
      <c r="Z41" s="204"/>
      <c r="AA41" s="204"/>
      <c r="AB41" s="118"/>
      <c r="AC41" s="11"/>
      <c r="AD41" s="203"/>
      <c r="AE41" s="204"/>
      <c r="AF41" s="118"/>
      <c r="AG41" s="203"/>
      <c r="AH41" s="204"/>
      <c r="AI41" s="118"/>
    </row>
    <row r="42" spans="1:35" x14ac:dyDescent="0.35">
      <c r="A42" s="11"/>
      <c r="B42" s="11"/>
      <c r="C42" s="11"/>
      <c r="D42" s="11"/>
      <c r="E42" s="11"/>
      <c r="F42" s="11"/>
      <c r="G42" s="11"/>
      <c r="H42" s="88" t="s">
        <v>661</v>
      </c>
      <c r="I42" s="122" t="str">
        <f>IF(_epmOfflineCondition_,"N",_xll.EVPRO($B$1,$H42,"STYLE"))</f>
        <v>N</v>
      </c>
      <c r="J42" s="122" t="str">
        <f>IF(_epmOfflineCondition_,"N",_xll.EVPRO($B$1,$H42,"CALC"))</f>
        <v>N</v>
      </c>
      <c r="K42" s="179" t="str">
        <f t="shared" ref="K42:K48" si="7">IF(AND(I42&gt;="T5"),"&gt;","")</f>
        <v/>
      </c>
      <c r="L42" s="90" t="str">
        <f>IF(_epmOfflineCondition_,"510100",_xll.EVPRO($B$1,H42,"JDEID"))</f>
        <v>510100</v>
      </c>
      <c r="M42" s="90" t="str">
        <f>IF(_epmOfflineCondition_,"304014",IF(AND(I42="N",J42="N"),_xll.EVPRO($B$1,H42,"PSFTID"),""))</f>
        <v>304014</v>
      </c>
      <c r="N42" s="90" t="str">
        <f>IF(_epmOfflineCondition_,"Cost of Local Calls",IF(_xll.EVDES(H42,$B$1)="#NODATA","",_xll.EVDES(H42,$B$1)))</f>
        <v>Cost of Local Calls</v>
      </c>
      <c r="O42" s="435"/>
      <c r="P42" s="250"/>
      <c r="Q42" s="250"/>
      <c r="R42" s="250"/>
      <c r="S42" s="250"/>
      <c r="T42" s="250"/>
      <c r="U42" s="250"/>
      <c r="V42" s="250"/>
      <c r="W42" s="250"/>
      <c r="X42" s="250"/>
      <c r="Y42" s="250"/>
      <c r="Z42" s="250"/>
      <c r="AA42" s="250">
        <f>IF($I42="B1","",SUM(O42:Z42))</f>
        <v>0</v>
      </c>
      <c r="AB42" s="436" t="str">
        <f>IF(_epmOfflineCondition_,"",IF(AA42=0,"",IFERROR(AA42/_xll.EVGTS($B$1,1,_xll.EVPRO($B$1,$H42,"COSBASIS"),$B$3,$B$5,$B$6,$B$7,$B$9,AA$16,AA$17,AA$11),"")))</f>
        <v/>
      </c>
      <c r="AC42" s="533"/>
      <c r="AD42" s="250"/>
      <c r="AE42" s="436" t="str">
        <f>IF(_epmOfflineCondition_,"",IF(AD42=0,"",IFERROR(AD42/_xll.EVGTS($B$1,1,_xll.EVPRO($B$1,$H42,"COSBASIS"),$B$3,$B$5,$B$6,$B$7,$B$9,AD$16,AD$17,AD$18),"")))</f>
        <v/>
      </c>
      <c r="AF42" s="438">
        <f t="shared" ref="AF42:AF48" si="8">IF(AND($AA42="",AD42=""),"",$AA42-AD42)</f>
        <v>0</v>
      </c>
      <c r="AG42" s="250"/>
      <c r="AH42" s="436" t="str">
        <f>IF(_epmOfflineCondition_,"",IF(AG42=0,"",IFERROR(AG42/_xll.EVGTS($B$1,1,_xll.EVPRO($B$1,$H42,"COSBASIS"),$B$3,$B$5,$B$6,$B$7,$B$9,AG$16,AG$17,AG$18),"")))</f>
        <v/>
      </c>
      <c r="AI42" s="439">
        <f t="shared" ref="AI42:AI48" si="9">IF(AND($AA42="",AG42=""),"",$AA42-AG42)</f>
        <v>0</v>
      </c>
    </row>
    <row r="43" spans="1:35" x14ac:dyDescent="0.35">
      <c r="A43" s="61" t="str">
        <f>IF(_epmOfflineCondition_,"Evdre:Ok",_xll.EVDRE($B$1,A46:B53,A56:B62))</f>
        <v>Evdre:Ok</v>
      </c>
      <c r="B43" s="11"/>
      <c r="C43" s="11"/>
      <c r="D43" s="11"/>
      <c r="E43" s="11"/>
      <c r="F43" s="11"/>
      <c r="G43" s="11"/>
      <c r="H43" s="88" t="s">
        <v>662</v>
      </c>
      <c r="I43" s="122" t="str">
        <f>IF(_epmOfflineCondition_,"N",_xll.EVPRO($B$1,$H43,"STYLE"))</f>
        <v>N</v>
      </c>
      <c r="J43" s="122" t="str">
        <f>IF(_epmOfflineCondition_,"N",_xll.EVPRO($B$1,$H43,"CALC"))</f>
        <v>N</v>
      </c>
      <c r="K43" s="179" t="str">
        <f t="shared" si="7"/>
        <v/>
      </c>
      <c r="L43" s="90" t="str">
        <f>IF(_epmOfflineCondition_,"510200",_xll.EVPRO($B$1,H43,"JDEID"))</f>
        <v>510200</v>
      </c>
      <c r="M43" s="90" t="str">
        <f>IF(_epmOfflineCondition_,"304010",IF(AND(I43="N",J43="N"),_xll.EVPRO($B$1,H43,"PSFTID"),""))</f>
        <v>304010</v>
      </c>
      <c r="N43" s="90" t="str">
        <f>IF(_epmOfflineCondition_,"Cost of Long Distance Calls",IF(_xll.EVDES(H43,$B$1)="#NODATA","",_xll.EVDES(H43,$B$1)))</f>
        <v>Cost of Long Distance Calls</v>
      </c>
      <c r="O43" s="435"/>
      <c r="P43" s="250"/>
      <c r="Q43" s="250"/>
      <c r="R43" s="250"/>
      <c r="S43" s="250"/>
      <c r="T43" s="250"/>
      <c r="U43" s="250"/>
      <c r="V43" s="250"/>
      <c r="W43" s="250"/>
      <c r="X43" s="250"/>
      <c r="Y43" s="250"/>
      <c r="Z43" s="250"/>
      <c r="AA43" s="250">
        <f>IF($I43="B1","",SUM(O43:Z43))</f>
        <v>0</v>
      </c>
      <c r="AB43" s="436" t="str">
        <f>IF(_epmOfflineCondition_,"",IF(AA43=0,"",IFERROR(AA43/_xll.EVGTS($B$1,1,_xll.EVPRO($B$1,$H43,"COSBASIS"),$B$3,$B$5,$B$6,$B$7,$B$9,AA$16,AA$17,AA$11),"")))</f>
        <v/>
      </c>
      <c r="AC43" s="533"/>
      <c r="AD43" s="250"/>
      <c r="AE43" s="436" t="str">
        <f>IF(_epmOfflineCondition_,"",IF(AD43=0,"",IFERROR(AD43/_xll.EVGTS($B$1,1,_xll.EVPRO($B$1,$H43,"COSBASIS"),$B$3,$B$5,$B$6,$B$7,$B$9,AD$16,AD$17,AD$18),"")))</f>
        <v/>
      </c>
      <c r="AF43" s="438">
        <f t="shared" si="8"/>
        <v>0</v>
      </c>
      <c r="AG43" s="250"/>
      <c r="AH43" s="436" t="str">
        <f>IF(_epmOfflineCondition_,"",IF(AG43=0,"",IFERROR(AG43/_xll.EVGTS($B$1,1,_xll.EVPRO($B$1,$H43,"COSBASIS"),$B$3,$B$5,$B$6,$B$7,$B$9,AG$16,AG$17,AG$18),"")))</f>
        <v/>
      </c>
      <c r="AI43" s="439">
        <f t="shared" si="9"/>
        <v>0</v>
      </c>
    </row>
    <row r="44" spans="1:35" x14ac:dyDescent="0.35">
      <c r="A44" s="11"/>
      <c r="B44" s="11"/>
      <c r="C44" s="11"/>
      <c r="D44" s="11"/>
      <c r="E44" s="11"/>
      <c r="F44" s="11"/>
      <c r="G44" s="11"/>
      <c r="H44" s="88" t="s">
        <v>663</v>
      </c>
      <c r="I44" s="122" t="str">
        <f>IF(_epmOfflineCondition_,"N",_xll.EVPRO($B$1,$H44,"STYLE"))</f>
        <v>N</v>
      </c>
      <c r="J44" s="122" t="str">
        <f>IF(_epmOfflineCondition_,"N",_xll.EVPRO($B$1,$H44,"CALC"))</f>
        <v>N</v>
      </c>
      <c r="K44" s="179" t="str">
        <f t="shared" si="7"/>
        <v/>
      </c>
      <c r="L44" s="90" t="str">
        <f>IF(_epmOfflineCondition_,"510300",_xll.EVPRO($B$1,H44,"JDEID"))</f>
        <v>510300</v>
      </c>
      <c r="M44" s="90" t="str">
        <f>IF(_epmOfflineCondition_,"306048",IF(AND(I44="N",J44="N"),_xll.EVPRO($B$1,H44,"PSFTID"),""))</f>
        <v>306048</v>
      </c>
      <c r="N44" s="90" t="str">
        <f>IF(_epmOfflineCondition_,"Cost of Internet Service",IF(_xll.EVDES(H44,$B$1)="#NODATA","",_xll.EVDES(H44,$B$1)))</f>
        <v>Cost of Internet Service</v>
      </c>
      <c r="O44" s="435"/>
      <c r="P44" s="250"/>
      <c r="Q44" s="250"/>
      <c r="R44" s="250"/>
      <c r="S44" s="250"/>
      <c r="T44" s="250"/>
      <c r="U44" s="250"/>
      <c r="V44" s="250"/>
      <c r="W44" s="250"/>
      <c r="X44" s="250"/>
      <c r="Y44" s="250"/>
      <c r="Z44" s="250"/>
      <c r="AA44" s="250">
        <f>IF($I44="B1","",SUM(O44:Z44))</f>
        <v>0</v>
      </c>
      <c r="AB44" s="436" t="str">
        <f>IF(_epmOfflineCondition_,"",IF(AA44=0,"",IFERROR(AA44/_xll.EVGTS($B$1,1,_xll.EVPRO($B$1,$H44,"COSBASIS"),$B$3,$B$5,$B$6,$B$7,$B$9,AA$16,AA$17,AA$11),"")))</f>
        <v/>
      </c>
      <c r="AC44" s="533"/>
      <c r="AD44" s="250"/>
      <c r="AE44" s="436" t="str">
        <f>IF(_epmOfflineCondition_,"",IF(AD44=0,"",IFERROR(AD44/_xll.EVGTS($B$1,1,_xll.EVPRO($B$1,$H44,"COSBASIS"),$B$3,$B$5,$B$6,$B$7,$B$9,AD$16,AD$17,AD$18),"")))</f>
        <v/>
      </c>
      <c r="AF44" s="438">
        <f t="shared" si="8"/>
        <v>0</v>
      </c>
      <c r="AG44" s="250"/>
      <c r="AH44" s="436" t="str">
        <f>IF(_epmOfflineCondition_,"",IF(AG44=0,"",IFERROR(AG44/_xll.EVGTS($B$1,1,_xll.EVPRO($B$1,$H44,"COSBASIS"),$B$3,$B$5,$B$6,$B$7,$B$9,AG$16,AG$17,AG$18),"")))</f>
        <v/>
      </c>
      <c r="AI44" s="439">
        <f t="shared" si="9"/>
        <v>0</v>
      </c>
    </row>
    <row r="45" spans="1:35" x14ac:dyDescent="0.35">
      <c r="A45" s="62" t="s">
        <v>0</v>
      </c>
      <c r="B45" s="63" t="s">
        <v>1</v>
      </c>
      <c r="C45" s="11"/>
      <c r="D45" s="11"/>
      <c r="E45" s="11"/>
      <c r="F45" s="11"/>
      <c r="G45" s="11"/>
      <c r="H45" s="88" t="s">
        <v>664</v>
      </c>
      <c r="I45" s="122" t="str">
        <f>IF(_epmOfflineCondition_,"N",_xll.EVPRO($B$1,$H45,"STYLE"))</f>
        <v>N</v>
      </c>
      <c r="J45" s="122" t="str">
        <f>IF(_epmOfflineCondition_,"N",_xll.EVPRO($B$1,$H45,"CALC"))</f>
        <v>N</v>
      </c>
      <c r="K45" s="179" t="str">
        <f t="shared" si="7"/>
        <v/>
      </c>
      <c r="L45" s="90" t="str">
        <f>IF(_epmOfflineCondition_,"510400",_xll.EVPRO($B$1,H45,"JDEID"))</f>
        <v>510400</v>
      </c>
      <c r="M45" s="90" t="str">
        <f>IF(_epmOfflineCondition_,"306001",IF(AND(I45="N",J45="N"),_xll.EVPRO($B$1,H45,"PSFTID"),""))</f>
        <v>306001</v>
      </c>
      <c r="N45" s="90" t="str">
        <f>IF(_epmOfflineCondition_,"Other Cost of Sales",IF(_xll.EVDES(H45,$B$1)="#NODATA","",_xll.EVDES(H45,$B$1)))</f>
        <v>Other Cost of Sales</v>
      </c>
      <c r="O45" s="445"/>
      <c r="P45" s="251"/>
      <c r="Q45" s="251"/>
      <c r="R45" s="251"/>
      <c r="S45" s="251"/>
      <c r="T45" s="251"/>
      <c r="U45" s="251"/>
      <c r="V45" s="251"/>
      <c r="W45" s="251"/>
      <c r="X45" s="251"/>
      <c r="Y45" s="251"/>
      <c r="Z45" s="251"/>
      <c r="AA45" s="251">
        <f>IF($I45="B1","",SUM(O45:Z45))</f>
        <v>0</v>
      </c>
      <c r="AB45" s="446" t="str">
        <f>IF(_epmOfflineCondition_,"",IF(AA45=0,"",IFERROR(AA45/_xll.EVGTS($B$1,1,_xll.EVPRO($B$1,$H45,"COSBASIS"),$B$3,$B$5,$B$6,$B$7,$B$9,AA$16,AA$17,AA$11),"")))</f>
        <v/>
      </c>
      <c r="AC45" s="437"/>
      <c r="AD45" s="251"/>
      <c r="AE45" s="446" t="str">
        <f>IF(_epmOfflineCondition_,"",IF(AD45=0,"",IFERROR(AD45/_xll.EVGTS($B$1,1,_xll.EVPRO($B$1,$H45,"COSBASIS"),$B$3,$B$5,$B$6,$B$7,$B$9,AD$16,AD$17,AD$18),"")))</f>
        <v/>
      </c>
      <c r="AF45" s="447">
        <f t="shared" si="8"/>
        <v>0</v>
      </c>
      <c r="AG45" s="251"/>
      <c r="AH45" s="446" t="str">
        <f>IF(_epmOfflineCondition_,"",IF(AG45=0,"",IFERROR(AG45/_xll.EVGTS($B$1,1,_xll.EVPRO($B$1,$H45,"COSBASIS"),$B$3,$B$5,$B$6,$B$7,$B$9,AG$16,AG$17,AG$18),"")))</f>
        <v/>
      </c>
      <c r="AI45" s="448">
        <f t="shared" si="9"/>
        <v>0</v>
      </c>
    </row>
    <row r="46" spans="1:35" x14ac:dyDescent="0.35">
      <c r="A46" s="65" t="s">
        <v>2</v>
      </c>
      <c r="B46" s="66" t="str">
        <f>IF(_epmOfflineCondition_,"'Telcom_Legacy'!$B$2:$B$10",_xll.EVRNG($B$2:$B$10))</f>
        <v>'Telcom_Legacy'!$B$2:$B$10</v>
      </c>
      <c r="C46" s="11"/>
      <c r="D46" s="11"/>
      <c r="E46" s="11"/>
      <c r="F46" s="11"/>
      <c r="G46" s="11"/>
      <c r="H46" s="88" t="s">
        <v>289</v>
      </c>
      <c r="I46" s="188" t="str">
        <f>IF(_epmOfflineCondition_,"T3",_xll.EVPRO($B$1,$H46,"STYLE"))</f>
        <v>T3</v>
      </c>
      <c r="J46" s="188" t="str">
        <f>IF(_epmOfflineCondition_,"Y",_xll.EVPRO($B$1,$H46,"CALC"))</f>
        <v>Y</v>
      </c>
      <c r="K46" s="189" t="str">
        <f t="shared" si="7"/>
        <v/>
      </c>
      <c r="L46" s="190" t="str">
        <f>IF(_epmOfflineCondition_,"500001",_xll.EVPRO($B$1,H46,"JDEID"))</f>
        <v>500001</v>
      </c>
      <c r="M46" s="190" t="str">
        <f>IF(_epmOfflineCondition_,"",IF(AND(I46="N",J46="N"),_xll.EVPRO($B$1,H46,"PSFTID"),""))</f>
        <v/>
      </c>
      <c r="N46" s="190" t="str">
        <f>IF(_epmOfflineCondition_,"Total Cost of Sales",IF(_xll.EVDES(H46,$B$1)="#NODATA","",_xll.EVDES(H46,$B$1)))</f>
        <v>Total Cost of Sales</v>
      </c>
      <c r="O46" s="454"/>
      <c r="P46" s="225"/>
      <c r="Q46" s="225"/>
      <c r="R46" s="225"/>
      <c r="S46" s="225"/>
      <c r="T46" s="225"/>
      <c r="U46" s="225"/>
      <c r="V46" s="225"/>
      <c r="W46" s="225"/>
      <c r="X46" s="225"/>
      <c r="Y46" s="225"/>
      <c r="Z46" s="225"/>
      <c r="AA46" s="225">
        <f>IF($I46="B1","",SUM(O46:Z46))</f>
        <v>0</v>
      </c>
      <c r="AB46" s="226" t="str">
        <f>IF(_epmOfflineCondition_,"",IF(AA46=0,"",IFERROR(AA46/_xll.EVGTS($B$1,1,_xll.EVPRO($B$1,$H46,"COSBASIS"),$B$3,$B$5,$B$6,$B$7,$B$9,AA$16,AA$17,AA$11),"")))</f>
        <v/>
      </c>
      <c r="AC46" s="227"/>
      <c r="AD46" s="225"/>
      <c r="AE46" s="226" t="str">
        <f>IF(_epmOfflineCondition_,"",IF(AD46=0,"",IFERROR(AD46/_xll.EVGTS($B$1,1,_xll.EVPRO($B$1,$H46,"COSBASIS"),$B$3,$B$5,$B$6,$B$7,$B$9,AD$16,AD$17,AD$18),"")))</f>
        <v/>
      </c>
      <c r="AF46" s="228">
        <f t="shared" si="8"/>
        <v>0</v>
      </c>
      <c r="AG46" s="225"/>
      <c r="AH46" s="226" t="str">
        <f>IF(_epmOfflineCondition_,"",IF(AG46=0,"",IFERROR(AG46/_xll.EVGTS($B$1,1,_xll.EVPRO($B$1,$H46,"COSBASIS"),$B$3,$B$5,$B$6,$B$7,$B$9,AG$16,AG$17,AG$18),"")))</f>
        <v/>
      </c>
      <c r="AI46" s="455">
        <f t="shared" si="9"/>
        <v>0</v>
      </c>
    </row>
    <row r="47" spans="1:35" x14ac:dyDescent="0.35">
      <c r="A47" s="65" t="s">
        <v>3</v>
      </c>
      <c r="B47" s="66" t="str">
        <f>IF(_epmOfflineCondition_,"'Telcom_Legacy'!$O$16:$AI$18",_xll.EVRNG(O16:AI18))</f>
        <v>'Telcom_Legacy'!$O$16:$AI$18</v>
      </c>
      <c r="C47" s="11"/>
      <c r="D47" s="11"/>
      <c r="E47" s="11"/>
      <c r="F47" s="11"/>
      <c r="G47" s="11"/>
      <c r="H47" s="185" t="s">
        <v>175</v>
      </c>
      <c r="I47" s="89" t="str">
        <f>IF(_epmOfflineCondition_,"B1",_xll.EVPRO($B$1,$H47,"STYLE"))</f>
        <v>B1</v>
      </c>
      <c r="J47" s="89" t="str">
        <f>IF(_epmOfflineCondition_,"Y",_xll.EVPRO($B$1,$H47,"CALC"))</f>
        <v>Y</v>
      </c>
      <c r="K47" s="265" t="str">
        <f t="shared" si="7"/>
        <v/>
      </c>
      <c r="L47" s="265"/>
      <c r="M47" s="265"/>
      <c r="N47" s="106" t="str">
        <f>IF(_epmOfflineCondition_,"BLANKROW",IF(_xll.EVDES(H47,$B$1)="#NODATA","",_xll.EVDES(H47,$B$1)))</f>
        <v>BLANKROW</v>
      </c>
      <c r="O47" s="205"/>
      <c r="P47" s="205"/>
      <c r="Q47" s="205"/>
      <c r="R47" s="205"/>
      <c r="S47" s="205"/>
      <c r="T47" s="205"/>
      <c r="U47" s="205"/>
      <c r="V47" s="205"/>
      <c r="W47" s="205"/>
      <c r="X47" s="205"/>
      <c r="Y47" s="205"/>
      <c r="Z47" s="205"/>
      <c r="AA47" s="205"/>
      <c r="AB47" s="206" t="str">
        <f>IF(_epmOfflineCondition_,"",IF(O47=0,"",IFERROR(O47/_xll.EVGTS($B$1,1,INDEX($C$144:$C$167,MATCH($H47,$A$144:$A$167,0)),$B$3,$B$5,$B$6,$B$7,$B$9,O$16,O$17,O$18),"")))</f>
        <v/>
      </c>
      <c r="AC47" s="11"/>
      <c r="AD47" s="205"/>
      <c r="AE47" s="206" t="str">
        <f>IF(_epmOfflineCondition_,"",IF(AD47=0,"",IFERROR(AD47/_xll.EVGTS($B$1,1,INDEX($C$144:$C$167,MATCH($H47,$A$144:$A$167,0)),$B$3,$B$5,$B$6,$B$7,$B$9,AD$16,AD$17,AD$18),"")))</f>
        <v/>
      </c>
      <c r="AF47" s="207" t="str">
        <f t="shared" si="8"/>
        <v/>
      </c>
      <c r="AG47" s="205"/>
      <c r="AH47" s="206" t="str">
        <f>IF(_epmOfflineCondition_,"",IF(AG47=0,"",IFERROR(AG47/_xll.EVGTS($B$1,1,INDEX($C$144:$C$167,MATCH($H47,$A$144:$A$167,0)),$B$3,$B$5,$B$6,$B$7,$B$9,AG$16,AG$17,AG$18),"")))</f>
        <v/>
      </c>
      <c r="AI47" s="207" t="str">
        <f t="shared" si="9"/>
        <v/>
      </c>
    </row>
    <row r="48" spans="1:35" x14ac:dyDescent="0.35">
      <c r="A48" s="65" t="s">
        <v>4</v>
      </c>
      <c r="B48" s="66" t="str">
        <f>IF(_epmOfflineCondition_,"'Telcom_Legacy'!$H$42:$H$46",_xll.EVRNG(H42:H46))</f>
        <v>'Telcom_Legacy'!$H$42:$H$46</v>
      </c>
      <c r="C48" s="11"/>
      <c r="D48" s="11"/>
      <c r="E48" s="11"/>
      <c r="F48" s="11"/>
      <c r="G48" s="11"/>
      <c r="H48" s="185" t="s">
        <v>292</v>
      </c>
      <c r="I48" s="89" t="str">
        <f>IF(_epmOfflineCondition_,"T3",_xll.EVPRO($B$1,$H48,"STYLE"))</f>
        <v>T3</v>
      </c>
      <c r="J48" s="89" t="str">
        <f>IF(_epmOfflineCondition_,"Y",_xll.EVPRO($B$1,$H48,"CALC"))</f>
        <v>Y</v>
      </c>
      <c r="K48" s="265" t="str">
        <f t="shared" si="7"/>
        <v/>
      </c>
      <c r="L48" s="265"/>
      <c r="M48" s="265"/>
      <c r="N48" s="106" t="str">
        <f>IF(_epmOfflineCondition_,"Gross Profit",IF(_xll.EVDES(H48,$B$1)="#NODATA","",_xll.EVDES(H48,$B$1)))</f>
        <v>Gross Profit</v>
      </c>
      <c r="O48" s="123">
        <f t="shared" ref="O48:Z48" si="10">SUMIF($H$34:$H$46,"400000",O34:O46)-SUMIF($H$34:$H$46,"500001",O34:O46)</f>
        <v>0</v>
      </c>
      <c r="P48" s="123">
        <f t="shared" si="10"/>
        <v>0</v>
      </c>
      <c r="Q48" s="123">
        <f t="shared" si="10"/>
        <v>0</v>
      </c>
      <c r="R48" s="123">
        <f t="shared" si="10"/>
        <v>0</v>
      </c>
      <c r="S48" s="123">
        <f t="shared" si="10"/>
        <v>0</v>
      </c>
      <c r="T48" s="123">
        <f t="shared" si="10"/>
        <v>0</v>
      </c>
      <c r="U48" s="123">
        <f t="shared" si="10"/>
        <v>0</v>
      </c>
      <c r="V48" s="123">
        <f t="shared" si="10"/>
        <v>0</v>
      </c>
      <c r="W48" s="123">
        <f t="shared" si="10"/>
        <v>0</v>
      </c>
      <c r="X48" s="123">
        <f t="shared" si="10"/>
        <v>0</v>
      </c>
      <c r="Y48" s="123">
        <f t="shared" si="10"/>
        <v>0</v>
      </c>
      <c r="Z48" s="123">
        <f t="shared" si="10"/>
        <v>0</v>
      </c>
      <c r="AA48" s="191">
        <f>IF($I48="B1","",SUM(O48:Z48))</f>
        <v>0</v>
      </c>
      <c r="AB48" s="192" t="str">
        <f>IF(AA48=0,"",IFERROR(AA48/AA$19,""))</f>
        <v/>
      </c>
      <c r="AC48" s="11"/>
      <c r="AD48" s="123">
        <f>SUMIF($H$34:$H$46,"400000",AD34:AD46)-SUMIF($H$34:$H$46,"500001",AD34:AD46)</f>
        <v>0</v>
      </c>
      <c r="AE48" s="192" t="str">
        <f>IF(AD48=0,"",IFERROR(AD48/AD$19,""))</f>
        <v/>
      </c>
      <c r="AF48" s="125">
        <f t="shared" si="8"/>
        <v>0</v>
      </c>
      <c r="AG48" s="123">
        <f>SUMIF($H$34:$H$46,"400000",AG34:AG46)-SUMIF($H$34:$H$46,"500001",AG34:AG46)</f>
        <v>0</v>
      </c>
      <c r="AH48" s="192" t="str">
        <f>IF(AG48=0,"",IFERROR(AG48/AG$19,""))</f>
        <v/>
      </c>
      <c r="AI48" s="125">
        <f t="shared" si="9"/>
        <v>0</v>
      </c>
    </row>
    <row r="49" spans="1:35" x14ac:dyDescent="0.35">
      <c r="A49" s="65" t="s">
        <v>5</v>
      </c>
      <c r="B49" s="66"/>
      <c r="C49" s="11"/>
      <c r="D49" s="11"/>
      <c r="E49" s="11"/>
      <c r="F49" s="384"/>
      <c r="G49" s="11"/>
      <c r="H49" s="11"/>
      <c r="I49" s="59"/>
      <c r="J49" s="59"/>
      <c r="K49" s="11"/>
      <c r="L49" s="11"/>
      <c r="M49" s="11"/>
      <c r="N49" s="11"/>
      <c r="O49" s="393"/>
      <c r="P49" s="394"/>
      <c r="Q49" s="394"/>
      <c r="R49" s="394"/>
      <c r="S49" s="394"/>
      <c r="T49" s="394"/>
      <c r="U49" s="394"/>
      <c r="V49" s="394"/>
      <c r="W49" s="394"/>
      <c r="X49" s="394"/>
      <c r="Y49" s="394"/>
      <c r="Z49" s="394"/>
      <c r="AA49" s="394"/>
      <c r="AB49" s="118"/>
      <c r="AC49" s="11"/>
      <c r="AD49" s="203"/>
      <c r="AE49" s="204"/>
      <c r="AF49" s="118"/>
      <c r="AG49" s="204"/>
      <c r="AH49" s="204"/>
      <c r="AI49" s="118"/>
    </row>
    <row r="50" spans="1:35" x14ac:dyDescent="0.35">
      <c r="A50" s="65" t="s">
        <v>6</v>
      </c>
      <c r="B50" s="66"/>
      <c r="C50" s="11"/>
      <c r="D50" s="11"/>
      <c r="E50" s="11"/>
      <c r="F50" s="384"/>
      <c r="G50" s="11"/>
      <c r="H50" s="11" t="s">
        <v>73</v>
      </c>
      <c r="I50" s="59" t="str">
        <f>IF(_epmOfflineCondition_,"B1",_xll.EVPRO($B$1,$H50,"STYLE"))</f>
        <v>B1</v>
      </c>
      <c r="J50" s="59" t="str">
        <f>IF(_epmOfflineCondition_,"Y",_xll.EVPRO($B$1,$H50,"CALC"))</f>
        <v>Y</v>
      </c>
      <c r="K50" s="11"/>
      <c r="L50" s="11"/>
      <c r="M50" s="11"/>
      <c r="N50" s="105" t="str">
        <f>IF(_epmOfflineCondition_,"Labor &amp; Related Expenses",IF(_xll.EVDES(H50,$B$1)="#NODATA","",_xll.EVDES(H50,$B$1)))</f>
        <v>Labor &amp; Related Expenses</v>
      </c>
      <c r="O50" s="203"/>
      <c r="P50" s="204"/>
      <c r="Q50" s="204"/>
      <c r="R50" s="204"/>
      <c r="S50" s="204"/>
      <c r="T50" s="204"/>
      <c r="U50" s="204"/>
      <c r="V50" s="204"/>
      <c r="W50" s="204"/>
      <c r="X50" s="204"/>
      <c r="Y50" s="204"/>
      <c r="Z50" s="204"/>
      <c r="AA50" s="204"/>
      <c r="AB50" s="410"/>
      <c r="AC50" s="11"/>
      <c r="AD50" s="411"/>
      <c r="AE50" s="412"/>
      <c r="AF50" s="118"/>
      <c r="AG50" s="204"/>
      <c r="AH50" s="412"/>
      <c r="AI50" s="118"/>
    </row>
    <row r="51" spans="1:35" x14ac:dyDescent="0.35">
      <c r="A51" s="65" t="s">
        <v>7</v>
      </c>
      <c r="B51" s="66" t="str">
        <f>IF(_epmOfflineCondition_,"'Telcom_Legacy'!$A$65:$F$69",_xll.EVRNG(A65:F69))</f>
        <v>'Telcom_Legacy'!$A$65:$F$69</v>
      </c>
      <c r="C51" s="11"/>
      <c r="D51" s="11"/>
      <c r="E51" s="11"/>
      <c r="F51" s="384"/>
      <c r="G51" s="11"/>
      <c r="H51" s="11" t="s">
        <v>74</v>
      </c>
      <c r="I51" s="59" t="str">
        <f>IF(_epmOfflineCondition_,"B1",_xll.EVPRO($B$1,$H51,"STYLE"))</f>
        <v>B1</v>
      </c>
      <c r="J51" s="59" t="str">
        <f>IF(_epmOfflineCondition_,"Y",_xll.EVPRO($B$1,$H51,"CALC"))</f>
        <v>Y</v>
      </c>
      <c r="K51" s="11"/>
      <c r="L51" s="11"/>
      <c r="M51" s="11"/>
      <c r="N51" s="53" t="str">
        <f>IF(_epmOfflineCondition_,"Salaries &amp; Wages",IF(_xll.EVDES(H51,$B$1)="#NODATA","",_xll.EVDES(H51,$B$1)))</f>
        <v>Salaries &amp; Wages</v>
      </c>
      <c r="O51" s="119"/>
      <c r="P51" s="120"/>
      <c r="Q51" s="120"/>
      <c r="R51" s="120"/>
      <c r="S51" s="120"/>
      <c r="T51" s="120"/>
      <c r="U51" s="120"/>
      <c r="V51" s="120"/>
      <c r="W51" s="120"/>
      <c r="X51" s="120"/>
      <c r="Y51" s="120"/>
      <c r="Z51" s="120"/>
      <c r="AA51" s="120"/>
      <c r="AB51" s="121"/>
      <c r="AC51" s="11"/>
      <c r="AD51" s="119"/>
      <c r="AE51" s="120"/>
      <c r="AF51" s="121"/>
      <c r="AG51" s="120"/>
      <c r="AH51" s="120"/>
      <c r="AI51" s="121"/>
    </row>
    <row r="52" spans="1:35" hidden="1" x14ac:dyDescent="0.35">
      <c r="A52" s="65" t="s">
        <v>47</v>
      </c>
      <c r="B52" s="66" t="str">
        <f>IF(_epmOfflineCondition_,"'Telcom_Legacy'!$A$117:$B$138",_xll.EVRNG($A$117:$B$138))</f>
        <v>'Telcom_Legacy'!$A$117:$B$138</v>
      </c>
      <c r="C52" s="11"/>
      <c r="D52" s="11"/>
      <c r="E52" s="11"/>
      <c r="F52" s="11"/>
      <c r="G52" s="11"/>
      <c r="H52" s="88" t="s">
        <v>667</v>
      </c>
      <c r="I52" s="122" t="str">
        <f>IF(_epmOfflineCondition_,"",_xll.EVPRO($B$1,$H52,"STYLE"))</f>
        <v/>
      </c>
      <c r="J52" s="122" t="str">
        <f>IF(_epmOfflineCondition_,"",_xll.EVPRO($B$1,$H52,"CALC"))</f>
        <v/>
      </c>
      <c r="K52" s="179" t="str">
        <f>IF(AND(I52&gt;="T3"),"&gt;","")</f>
        <v/>
      </c>
      <c r="L52" s="90" t="str">
        <f>IF(_epmOfflineCondition_,"",_xll.EVPRO($B$1,H52,"JDEID"))</f>
        <v/>
      </c>
      <c r="M52" s="90" t="str">
        <f>IF(_epmOfflineCondition_,"",IF(AND(I52="N",J52="N"),_xll.EVPRO($B$1,H52,"PSFTID"),""))</f>
        <v/>
      </c>
      <c r="N52" s="90" t="str">
        <f>IF(_epmOfflineCondition_,"",IF(_xll.EVDES(H52,$B$1)="#NODATA","",_xll.EVDES(H52,$B$1)))</f>
        <v/>
      </c>
      <c r="O52" s="216"/>
      <c r="P52" s="216"/>
      <c r="Q52" s="216"/>
      <c r="R52" s="216"/>
      <c r="S52" s="216"/>
      <c r="T52" s="216"/>
      <c r="U52" s="216"/>
      <c r="V52" s="216"/>
      <c r="W52" s="216"/>
      <c r="X52" s="216"/>
      <c r="Y52" s="216"/>
      <c r="Z52" s="216"/>
      <c r="AA52" s="251">
        <f>IF($I52="B1","",SUM(O52:Z52))</f>
        <v>0</v>
      </c>
      <c r="AB52" s="218" t="str">
        <f>IF(O52=0,"",IFERROR(O52/O$19,""))</f>
        <v/>
      </c>
      <c r="AC52" s="140"/>
      <c r="AD52" s="216"/>
      <c r="AE52" s="218" t="str">
        <f>IF(AD52=0,"",IFERROR(AD52/AD$19,""))</f>
        <v/>
      </c>
      <c r="AF52" s="233">
        <f>IF(AND($AA52="",AD52=""),"",$AA52-AD52)</f>
        <v>0</v>
      </c>
      <c r="AG52" s="216"/>
      <c r="AH52" s="218" t="str">
        <f>IF(AG52=0,"",IFERROR(AG52/AG$19,""))</f>
        <v/>
      </c>
      <c r="AI52" s="233">
        <f>IF(AND($AA52="",AG52=""),"",$AA52-AG52)</f>
        <v>0</v>
      </c>
    </row>
    <row r="53" spans="1:35" hidden="1" x14ac:dyDescent="0.35">
      <c r="A53" s="65" t="s">
        <v>8</v>
      </c>
      <c r="B53" s="66"/>
      <c r="C53" s="11"/>
      <c r="D53" s="11"/>
      <c r="E53" s="11"/>
      <c r="F53" s="11"/>
      <c r="G53" s="11"/>
      <c r="H53" s="88"/>
      <c r="I53" s="122" t="str">
        <f>IF(_epmOfflineCondition_,"",_xll.EVPRO($B$1,$H53,"STYLE"))</f>
        <v/>
      </c>
      <c r="J53" s="122" t="str">
        <f>IF(_epmOfflineCondition_,"",_xll.EVPRO($B$1,$H53,"CALC"))</f>
        <v/>
      </c>
      <c r="K53" s="179" t="str">
        <f>IF(AND(I53&gt;="T3"),"&gt;","")</f>
        <v/>
      </c>
      <c r="L53" s="90" t="str">
        <f>IF(_epmOfflineCondition_,"",_xll.EVPRO($B$1,H53,"JDEID"))</f>
        <v/>
      </c>
      <c r="M53" s="90" t="str">
        <f>IF(_epmOfflineCondition_,"",IF(AND(I53="N",J53="N"),_xll.EVPRO($B$1,H53,"PSFTID"),""))</f>
        <v/>
      </c>
      <c r="N53" s="90" t="str">
        <f>IF(_epmOfflineCondition_,"",IF(_xll.EVDES(H53,$B$1)="#NODATA","",_xll.EVDES(H53,$B$1)))</f>
        <v/>
      </c>
      <c r="O53" s="216"/>
      <c r="P53" s="216"/>
      <c r="Q53" s="216"/>
      <c r="R53" s="216"/>
      <c r="S53" s="216"/>
      <c r="T53" s="216"/>
      <c r="U53" s="216"/>
      <c r="V53" s="216"/>
      <c r="W53" s="216"/>
      <c r="X53" s="216"/>
      <c r="Y53" s="216"/>
      <c r="Z53" s="216"/>
      <c r="AA53" s="251">
        <f>IF($I53="B1","",SUM(O53:Z53))</f>
        <v>0</v>
      </c>
      <c r="AB53" s="218" t="str">
        <f>IF(O53=0,"",IFERROR(O53/O$19,""))</f>
        <v/>
      </c>
      <c r="AC53" s="140"/>
      <c r="AD53" s="216"/>
      <c r="AE53" s="218" t="str">
        <f>IF(AD53=0,"",IFERROR(AD53/AD$19,""))</f>
        <v/>
      </c>
      <c r="AF53" s="233">
        <f>IF(AND($AA53="",AD53=""),"",$AA53-AD53)</f>
        <v>0</v>
      </c>
      <c r="AG53" s="216"/>
      <c r="AH53" s="218" t="str">
        <f>IF(AG53=0,"",IFERROR(AG53/AG$19,""))</f>
        <v/>
      </c>
      <c r="AI53" s="233">
        <f>IF(AND($AA53="",AG53=""),"",$AA53-AG53)</f>
        <v>0</v>
      </c>
    </row>
    <row r="54" spans="1:35" x14ac:dyDescent="0.35">
      <c r="A54" s="11"/>
      <c r="B54" s="11"/>
      <c r="C54" s="11"/>
      <c r="D54" s="11"/>
      <c r="E54" s="11"/>
      <c r="F54" s="11"/>
      <c r="G54" s="11"/>
      <c r="H54" s="88" t="s">
        <v>75</v>
      </c>
      <c r="I54" s="89" t="str">
        <f>IF(_epmOfflineCondition_,"B1",_xll.EVPRO($B$1,$H54,"STYLE"))</f>
        <v>B1</v>
      </c>
      <c r="J54" s="89" t="str">
        <f>IF(_epmOfflineCondition_,"Y",_xll.EVPRO($B$1,$H54,"CALC"))</f>
        <v>Y</v>
      </c>
      <c r="K54" s="265" t="str">
        <f>IF(AND(I54&gt;="T3"),"&gt;","")</f>
        <v/>
      </c>
      <c r="L54" s="106" t="str">
        <f>IF(_epmOfflineCondition_,"",_xll.EVPRO($B$1,H54,"JDEID"))</f>
        <v/>
      </c>
      <c r="M54" s="90" t="str">
        <f>IF(_epmOfflineCondition_,"",IF(AND(I54="N",J54="N"),_xll.EVPRO($B$1,H54,"PSFTID"),""))</f>
        <v/>
      </c>
      <c r="N54" s="106" t="str">
        <f>IF(_epmOfflineCondition_,"Non-Management",IF(_xll.EVDES(H54,$B$1)="#NODATA","",_xll.EVDES(H54,$B$1)))</f>
        <v>Non-Management</v>
      </c>
      <c r="O54" s="197"/>
      <c r="P54" s="197"/>
      <c r="Q54" s="197"/>
      <c r="R54" s="197"/>
      <c r="S54" s="197"/>
      <c r="T54" s="197"/>
      <c r="U54" s="197"/>
      <c r="V54" s="197"/>
      <c r="W54" s="197"/>
      <c r="X54" s="197"/>
      <c r="Y54" s="197"/>
      <c r="Z54" s="197"/>
      <c r="AA54" s="180" t="str">
        <f>IF($I54="B1","",SUM(O54:Z54))</f>
        <v/>
      </c>
      <c r="AB54" s="198" t="str">
        <f>IF(O54=0,"",IFERROR(O54/O$19,""))</f>
        <v/>
      </c>
      <c r="AC54" s="11"/>
      <c r="AD54" s="197"/>
      <c r="AE54" s="198" t="str">
        <f>IF(AD54=0,"",IFERROR(AD54/AD$19,""))</f>
        <v/>
      </c>
      <c r="AF54" s="199" t="str">
        <f>IF(AND($AA54="",AD54=""),"",$AA54-AD54)</f>
        <v/>
      </c>
      <c r="AG54" s="197"/>
      <c r="AH54" s="198" t="str">
        <f>IF(AG54=0,"",IFERROR(AG54/AG$19,""))</f>
        <v/>
      </c>
      <c r="AI54" s="199" t="str">
        <f>IF(AND($AA54="",AG54=""),"",$AA54-AG54)</f>
        <v/>
      </c>
    </row>
    <row r="55" spans="1:35" hidden="1" x14ac:dyDescent="0.35">
      <c r="A55" s="62" t="s">
        <v>9</v>
      </c>
      <c r="B55" s="63" t="s">
        <v>10</v>
      </c>
      <c r="C55" s="11"/>
      <c r="D55" s="11"/>
      <c r="E55" s="11"/>
      <c r="F55" s="11"/>
      <c r="G55" s="11"/>
      <c r="H55" s="88" t="s">
        <v>667</v>
      </c>
      <c r="I55" s="122" t="str">
        <f>IF(_epmOfflineCondition_,"",_xll.EVPRO($B$1,$H55,"STYLE"))</f>
        <v/>
      </c>
      <c r="J55" s="122" t="str">
        <f>IF(_epmOfflineCondition_,"",_xll.EVPRO($B$1,$H55,"CALC"))</f>
        <v/>
      </c>
      <c r="K55" s="179" t="str">
        <f>IF(AND(I55&gt;="T3"),"&gt;","")</f>
        <v/>
      </c>
      <c r="L55" s="90" t="str">
        <f>IF(_epmOfflineCondition_,"",_xll.EVPRO($B$1,H55,"JDEID"))</f>
        <v/>
      </c>
      <c r="M55" s="90" t="str">
        <f>IF(_epmOfflineCondition_,"",IF(AND(I55="N",J55="N"),_xll.EVPRO($B$1,H55,"PSFTID"),""))</f>
        <v/>
      </c>
      <c r="N55" s="90" t="str">
        <f>IF(_epmOfflineCondition_,"",IF(_xll.EVDES(H55,$B$1)="#NODATA","",_xll.EVDES(H55,$B$1)))</f>
        <v/>
      </c>
      <c r="O55" s="216"/>
      <c r="P55" s="216"/>
      <c r="Q55" s="216"/>
      <c r="R55" s="216"/>
      <c r="S55" s="216"/>
      <c r="T55" s="216"/>
      <c r="U55" s="216"/>
      <c r="V55" s="216"/>
      <c r="W55" s="216"/>
      <c r="X55" s="216"/>
      <c r="Y55" s="216"/>
      <c r="Z55" s="216"/>
      <c r="AA55" s="251">
        <f>IF($I55="B1","",SUM(O55:Z55))</f>
        <v>0</v>
      </c>
      <c r="AB55" s="218" t="str">
        <f>IF(O55=0,"",IFERROR(O55/O$19,""))</f>
        <v/>
      </c>
      <c r="AC55" s="140"/>
      <c r="AD55" s="216"/>
      <c r="AE55" s="218" t="str">
        <f>IF(AD55=0,"",IFERROR(AD55/AD$19,""))</f>
        <v/>
      </c>
      <c r="AF55" s="233">
        <f>IF(AND($AA55="",AD55=""),"",$AA55-AD55)</f>
        <v>0</v>
      </c>
      <c r="AG55" s="216"/>
      <c r="AH55" s="218" t="str">
        <f>IF(AG55=0,"",IFERROR(AG55/AG$19,""))</f>
        <v/>
      </c>
      <c r="AI55" s="233">
        <f>IF(AND($AA55="",AG55=""),"",$AA55-AG55)</f>
        <v>0</v>
      </c>
    </row>
    <row r="56" spans="1:35" hidden="1" x14ac:dyDescent="0.35">
      <c r="A56" s="65" t="s">
        <v>11</v>
      </c>
      <c r="B56" s="66" t="s">
        <v>21</v>
      </c>
      <c r="C56" s="11"/>
      <c r="D56" s="11"/>
      <c r="E56" s="11"/>
      <c r="F56" s="11"/>
      <c r="G56" s="76"/>
      <c r="H56" s="88"/>
      <c r="I56" s="122" t="str">
        <f>IF(_epmOfflineCondition_,"",_xll.EVPRO($B$1,$H56,"STYLE"))</f>
        <v/>
      </c>
      <c r="J56" s="122" t="str">
        <f>IF(_epmOfflineCondition_,"",_xll.EVPRO($B$1,$H56,"CALC"))</f>
        <v/>
      </c>
      <c r="K56" s="179" t="str">
        <f>IF(AND(I56&gt;="T3"),"&gt;","")</f>
        <v/>
      </c>
      <c r="L56" s="90" t="str">
        <f>IF(_epmOfflineCondition_,"",_xll.EVPRO($B$1,H56,"JDEID"))</f>
        <v/>
      </c>
      <c r="M56" s="90" t="str">
        <f>IF(_epmOfflineCondition_,"",IF(AND(I56="N",J56="N"),_xll.EVPRO($B$1,H56,"PSFTID"),""))</f>
        <v/>
      </c>
      <c r="N56" s="90" t="str">
        <f>IF(_epmOfflineCondition_,"",IF(_xll.EVDES(H56,$B$1)="#NODATA","",_xll.EVDES(H56,$B$1)))</f>
        <v/>
      </c>
      <c r="O56" s="216"/>
      <c r="P56" s="216"/>
      <c r="Q56" s="216"/>
      <c r="R56" s="216"/>
      <c r="S56" s="216"/>
      <c r="T56" s="216"/>
      <c r="U56" s="216"/>
      <c r="V56" s="216"/>
      <c r="W56" s="216"/>
      <c r="X56" s="216"/>
      <c r="Y56" s="216"/>
      <c r="Z56" s="216"/>
      <c r="AA56" s="251">
        <f>IF($I56="B1","",SUM(O56:Z56))</f>
        <v>0</v>
      </c>
      <c r="AB56" s="218" t="str">
        <f>IF(O56=0,"",IFERROR(O56/O$19,""))</f>
        <v/>
      </c>
      <c r="AC56" s="140"/>
      <c r="AD56" s="216"/>
      <c r="AE56" s="218" t="str">
        <f>IF(AD56=0,"",IFERROR(AD56/AD$19,""))</f>
        <v/>
      </c>
      <c r="AF56" s="233">
        <f>IF(AND($AA56="",AD56=""),"",$AA56-AD56)</f>
        <v>0</v>
      </c>
      <c r="AG56" s="216"/>
      <c r="AH56" s="218" t="str">
        <f>IF(AG56=0,"",IFERROR(AG56/AG$19,""))</f>
        <v/>
      </c>
      <c r="AI56" s="233">
        <f>IF(AND($AA56="",AG56=""),"",$AA56-AG56)</f>
        <v>0</v>
      </c>
    </row>
    <row r="57" spans="1:35" x14ac:dyDescent="0.35">
      <c r="A57" s="65" t="s">
        <v>12</v>
      </c>
      <c r="B57" s="66" t="s">
        <v>22</v>
      </c>
      <c r="C57" s="11"/>
      <c r="D57" s="11"/>
      <c r="E57" s="11"/>
      <c r="F57" s="11"/>
      <c r="G57" s="11"/>
      <c r="H57" s="11"/>
      <c r="I57" s="59"/>
      <c r="J57" s="59"/>
      <c r="K57" s="11"/>
      <c r="L57" s="11"/>
      <c r="M57" s="11"/>
      <c r="N57" s="11"/>
      <c r="O57" s="129"/>
      <c r="P57" s="130"/>
      <c r="Q57" s="130"/>
      <c r="R57" s="130"/>
      <c r="S57" s="130"/>
      <c r="T57" s="130"/>
      <c r="U57" s="130"/>
      <c r="V57" s="130"/>
      <c r="W57" s="130"/>
      <c r="X57" s="130"/>
      <c r="Y57" s="130"/>
      <c r="Z57" s="130"/>
      <c r="AA57" s="130"/>
      <c r="AB57" s="131"/>
      <c r="AC57" s="11"/>
      <c r="AD57" s="129"/>
      <c r="AE57" s="130"/>
      <c r="AF57" s="131"/>
      <c r="AG57" s="129"/>
      <c r="AH57" s="130"/>
      <c r="AI57" s="131"/>
    </row>
    <row r="58" spans="1:35" x14ac:dyDescent="0.35">
      <c r="A58" s="65" t="s">
        <v>13</v>
      </c>
      <c r="B58" s="66" t="str">
        <f>"DEP(510000) AND "&amp;$E$6&amp;"=Y,500001"</f>
        <v>DEP(510000) AND D1131=Y,500001</v>
      </c>
      <c r="C58" s="11"/>
      <c r="D58" s="11"/>
      <c r="E58" s="11"/>
      <c r="F58" s="11"/>
      <c r="G58" s="11"/>
      <c r="H58" s="11" t="s">
        <v>82</v>
      </c>
      <c r="I58" s="59" t="str">
        <f>IF(_epmOfflineCondition_,"B1",_xll.EVPRO($B$1,$H58,"STYLE"))</f>
        <v>B1</v>
      </c>
      <c r="J58" s="59" t="str">
        <f>IF(_epmOfflineCondition_,"Y",_xll.EVPRO($B$1,$H58,"CALC"))</f>
        <v>Y</v>
      </c>
      <c r="K58" s="11"/>
      <c r="L58" s="11"/>
      <c r="M58" s="11"/>
      <c r="N58" s="105" t="str">
        <f>IF(_epmOfflineCondition_,"Other Expenses",IF(_xll.EVDES(H58,$B$1)="#NODATA","",_xll.EVDES(H58,$B$1)))</f>
        <v>Other Expenses</v>
      </c>
      <c r="O58" s="119"/>
      <c r="P58" s="120"/>
      <c r="Q58" s="120"/>
      <c r="R58" s="120"/>
      <c r="S58" s="120"/>
      <c r="T58" s="120"/>
      <c r="U58" s="120"/>
      <c r="V58" s="120"/>
      <c r="W58" s="120"/>
      <c r="X58" s="120"/>
      <c r="Y58" s="120"/>
      <c r="Z58" s="120"/>
      <c r="AA58" s="120"/>
      <c r="AB58" s="121"/>
      <c r="AC58" s="11"/>
      <c r="AD58" s="119"/>
      <c r="AE58" s="120"/>
      <c r="AF58" s="121"/>
      <c r="AG58" s="119"/>
      <c r="AH58" s="120"/>
      <c r="AI58" s="121"/>
    </row>
    <row r="59" spans="1:35" hidden="1" x14ac:dyDescent="0.35">
      <c r="A59" s="65" t="s">
        <v>14</v>
      </c>
      <c r="B59" s="66"/>
      <c r="C59" s="11"/>
      <c r="D59" s="11"/>
      <c r="E59" s="11"/>
      <c r="F59" s="11"/>
      <c r="G59" s="11"/>
      <c r="H59" s="88" t="s">
        <v>667</v>
      </c>
      <c r="I59" s="122" t="str">
        <f>IF(_epmOfflineCondition_,"",_xll.EVPRO($B$1,$H59,"STYLE"))</f>
        <v/>
      </c>
      <c r="J59" s="122" t="str">
        <f>IF(_epmOfflineCondition_,"",_xll.EVPRO($B$1,$H59,"CALC"))</f>
        <v/>
      </c>
      <c r="K59" s="179" t="str">
        <f>IF(AND(I59&lt;&gt;"B1",J59="Y"),"&gt;","")</f>
        <v/>
      </c>
      <c r="L59" s="90" t="str">
        <f>IF(_epmOfflineCondition_,"",_xll.EVPRO($B$1,H59,"JDEID"))</f>
        <v/>
      </c>
      <c r="M59" s="90" t="str">
        <f>IF(_epmOfflineCondition_,"",IF(AND(I59="N",J59="N"),_xll.EVPRO($B$1,H59,"PSFTID"),""))</f>
        <v/>
      </c>
      <c r="N59" s="90" t="str">
        <f>IF(_epmOfflineCondition_,"",IF(_xll.EVDES(H59,$B$1)="#NODATA","",_xll.EVDES(H59,$B$1)))</f>
        <v/>
      </c>
      <c r="O59" s="143"/>
      <c r="P59" s="143"/>
      <c r="Q59" s="143"/>
      <c r="R59" s="143"/>
      <c r="S59" s="143"/>
      <c r="T59" s="143"/>
      <c r="U59" s="143"/>
      <c r="V59" s="143"/>
      <c r="W59" s="143"/>
      <c r="X59" s="143"/>
      <c r="Y59" s="143"/>
      <c r="Z59" s="143"/>
      <c r="AA59" s="250">
        <f>IF($I59="B1","",SUM(O59:Z59))</f>
        <v>0</v>
      </c>
      <c r="AB59" s="144" t="str">
        <f>IF(AA59=0,"",IFERROR(AA59/AA$19,""))</f>
        <v/>
      </c>
      <c r="AC59" s="140"/>
      <c r="AD59" s="143"/>
      <c r="AE59" s="144" t="str">
        <f>IF(AD59=0,"",IFERROR(AD59/AD$19,""))</f>
        <v/>
      </c>
      <c r="AF59" s="145">
        <f>IF(AND($AA59="",AD59=""),"",$AA59-AD59)</f>
        <v>0</v>
      </c>
      <c r="AG59" s="143"/>
      <c r="AH59" s="144" t="str">
        <f>IF(AG59=0,"",IFERROR(AG59/AG$19,""))</f>
        <v/>
      </c>
      <c r="AI59" s="145">
        <f>IF(AND($AA59="",AG59=""),"",$AA59-AG59)</f>
        <v>0</v>
      </c>
    </row>
    <row r="60" spans="1:35" hidden="1" x14ac:dyDescent="0.35">
      <c r="A60" s="65" t="s">
        <v>15</v>
      </c>
      <c r="B60" s="66"/>
      <c r="C60" s="11"/>
      <c r="D60" s="11"/>
      <c r="E60" s="11"/>
      <c r="F60" s="11"/>
      <c r="G60" s="11"/>
      <c r="H60" s="88"/>
      <c r="I60" s="122" t="str">
        <f>IF(_epmOfflineCondition_,"",_xll.EVPRO($B$1,$H60,"STYLE"))</f>
        <v/>
      </c>
      <c r="J60" s="122" t="str">
        <f>IF(_epmOfflineCondition_,"",_xll.EVPRO($B$1,$H60,"CALC"))</f>
        <v/>
      </c>
      <c r="K60" s="179" t="str">
        <f>IF(AND(I60&lt;&gt;"B1",J60="Y"),"&gt;","")</f>
        <v/>
      </c>
      <c r="L60" s="90" t="str">
        <f>IF(_epmOfflineCondition_,"",_xll.EVPRO($B$1,H60,"JDEID"))</f>
        <v/>
      </c>
      <c r="M60" s="90" t="str">
        <f>IF(_epmOfflineCondition_,"",IF(AND(I60="N",J60="N"),_xll.EVPRO($B$1,H60,"PSFTID"),""))</f>
        <v/>
      </c>
      <c r="N60" s="90" t="str">
        <f>IF(_epmOfflineCondition_,"",IF(_xll.EVDES(H60,$B$1)="#NODATA","",_xll.EVDES(H60,$B$1)))</f>
        <v/>
      </c>
      <c r="O60" s="143"/>
      <c r="P60" s="143"/>
      <c r="Q60" s="143"/>
      <c r="R60" s="143"/>
      <c r="S60" s="143"/>
      <c r="T60" s="143"/>
      <c r="U60" s="143"/>
      <c r="V60" s="143"/>
      <c r="W60" s="143"/>
      <c r="X60" s="143"/>
      <c r="Y60" s="143"/>
      <c r="Z60" s="143"/>
      <c r="AA60" s="250">
        <f>IF($I60="B1","",SUM(O60:Z60))</f>
        <v>0</v>
      </c>
      <c r="AB60" s="144" t="str">
        <f>IF(AA60=0,"",IFERROR(AA60/AA$19,""))</f>
        <v/>
      </c>
      <c r="AC60" s="140"/>
      <c r="AD60" s="143"/>
      <c r="AE60" s="144" t="str">
        <f>IF(AD60=0,"",IFERROR(AD60/AD$19,""))</f>
        <v/>
      </c>
      <c r="AF60" s="145">
        <f>IF(AND($AA60="",AD60=""),"",$AA60-AD60)</f>
        <v>0</v>
      </c>
      <c r="AG60" s="143"/>
      <c r="AH60" s="144" t="str">
        <f>IF(AG60=0,"",IFERROR(AG60/AG$19,""))</f>
        <v/>
      </c>
      <c r="AI60" s="145">
        <f>IF(AND($AA60="",AG60=""),"",$AA60-AG60)</f>
        <v>0</v>
      </c>
    </row>
    <row r="61" spans="1:35" x14ac:dyDescent="0.35">
      <c r="A61" s="65" t="s">
        <v>16</v>
      </c>
      <c r="B61" s="66"/>
      <c r="C61" s="11"/>
      <c r="D61" s="11"/>
      <c r="E61" s="11"/>
      <c r="F61" s="11"/>
      <c r="G61" s="11"/>
      <c r="H61" s="88" t="s">
        <v>79</v>
      </c>
      <c r="I61" s="136" t="str">
        <f>IF(_epmOfflineCondition_,"T3",_xll.EVPRO($B$1,$H61,"STYLE"))</f>
        <v>T3</v>
      </c>
      <c r="J61" s="136" t="str">
        <f>IF(_epmOfflineCondition_,"Y",_xll.EVPRO($B$1,$H61,"CALC"))</f>
        <v>Y</v>
      </c>
      <c r="K61" s="104"/>
      <c r="L61" s="104"/>
      <c r="M61" s="104"/>
      <c r="N61" s="106" t="str">
        <f>IF(_epmOfflineCondition_,"Total Operations Expense",IF(_xll.EVDES(H61,$B$1)="#NODATA","",_xll.EVDES(H61,$B$1)))</f>
        <v>Total Operations Expense</v>
      </c>
      <c r="O61" s="154"/>
      <c r="P61" s="154"/>
      <c r="Q61" s="154"/>
      <c r="R61" s="154"/>
      <c r="S61" s="154"/>
      <c r="T61" s="154"/>
      <c r="U61" s="154"/>
      <c r="V61" s="154"/>
      <c r="W61" s="154"/>
      <c r="X61" s="154"/>
      <c r="Y61" s="154"/>
      <c r="Z61" s="154"/>
      <c r="AA61" s="154">
        <f>IF($I61="B1","",SUM(O61:Z61))</f>
        <v>0</v>
      </c>
      <c r="AB61" s="155" t="str">
        <f>IF(AA61=0,"",IFERROR(AA61/AA$19,""))</f>
        <v/>
      </c>
      <c r="AC61" s="140"/>
      <c r="AD61" s="154"/>
      <c r="AE61" s="155" t="str">
        <f>IF(AD61=0,"",IFERROR(AD61/AD$19,""))</f>
        <v/>
      </c>
      <c r="AF61" s="156">
        <f>IF(AND($AA61="",AD61=""),"",$AA61-AD61)</f>
        <v>0</v>
      </c>
      <c r="AG61" s="154"/>
      <c r="AH61" s="155" t="str">
        <f>IF(AG61=0,"",IFERROR(AG61/AG$19,""))</f>
        <v/>
      </c>
      <c r="AI61" s="156">
        <f>IF(AND($AA61="",AG61=""),"",$AA61-AG61)</f>
        <v>0</v>
      </c>
    </row>
    <row r="62" spans="1:35" x14ac:dyDescent="0.35">
      <c r="A62" s="65" t="s">
        <v>17</v>
      </c>
      <c r="B62" s="66"/>
      <c r="C62" s="11"/>
      <c r="D62" s="11"/>
      <c r="E62" s="11"/>
      <c r="F62" s="11"/>
      <c r="G62" s="11"/>
      <c r="H62" s="11"/>
      <c r="I62" s="59"/>
      <c r="J62" s="59"/>
      <c r="K62" s="11"/>
      <c r="L62" s="11"/>
      <c r="M62" s="11"/>
      <c r="N62" s="11"/>
      <c r="O62" s="140"/>
      <c r="P62" s="140"/>
      <c r="Q62" s="140"/>
      <c r="R62" s="140"/>
      <c r="S62" s="140"/>
      <c r="T62" s="140"/>
      <c r="U62" s="140"/>
      <c r="V62" s="140"/>
      <c r="W62" s="140"/>
      <c r="X62" s="140"/>
      <c r="Y62" s="140"/>
      <c r="Z62" s="140"/>
      <c r="AA62" s="140"/>
      <c r="AB62" s="140"/>
      <c r="AC62" s="140"/>
      <c r="AD62" s="140"/>
      <c r="AE62" s="140"/>
      <c r="AF62" s="140"/>
      <c r="AG62" s="140"/>
      <c r="AH62" s="140"/>
      <c r="AI62" s="140"/>
    </row>
    <row r="63" spans="1:35" x14ac:dyDescent="0.35">
      <c r="A63" s="11"/>
      <c r="B63" s="11"/>
      <c r="C63" s="11"/>
      <c r="D63" s="11"/>
      <c r="E63" s="11"/>
      <c r="F63" s="11"/>
      <c r="G63" s="11"/>
      <c r="H63" s="88" t="s">
        <v>80</v>
      </c>
      <c r="I63" s="136" t="str">
        <f>IF(_epmOfflineCondition_,"T3",_xll.EVPRO($B$1,$H63,"STYLE"))</f>
        <v>T3</v>
      </c>
      <c r="J63" s="136" t="str">
        <f>IF(_epmOfflineCondition_,"Y",_xll.EVPRO($B$1,$H63,"CALC"))</f>
        <v>Y</v>
      </c>
      <c r="K63" s="106"/>
      <c r="L63" s="106"/>
      <c r="M63" s="106"/>
      <c r="N63" s="106" t="str">
        <f>IF(_epmOfflineCondition_,"Total Expenses",IF(_xll.EVDES(H63,$B$1)="#NODATA","",_xll.EVDES(H63,$B$1)))</f>
        <v>Total Expenses</v>
      </c>
      <c r="O63" s="238"/>
      <c r="P63" s="238"/>
      <c r="Q63" s="238"/>
      <c r="R63" s="238"/>
      <c r="S63" s="238"/>
      <c r="T63" s="238"/>
      <c r="U63" s="238"/>
      <c r="V63" s="238"/>
      <c r="W63" s="238"/>
      <c r="X63" s="238"/>
      <c r="Y63" s="238"/>
      <c r="Z63" s="238"/>
      <c r="AA63" s="238">
        <f>IF($I63="B1","",SUM(O63:Z63))</f>
        <v>0</v>
      </c>
      <c r="AB63" s="239" t="str">
        <f>IF(AA63=0,"",IFERROR(AA63/AA$19,""))</f>
        <v/>
      </c>
      <c r="AC63" s="140"/>
      <c r="AD63" s="238"/>
      <c r="AE63" s="239" t="str">
        <f>IF(AD63=0,"",IFERROR(AD63/AD$19,""))</f>
        <v/>
      </c>
      <c r="AF63" s="254">
        <f>IF(AND($AA63="",AD63=""),"",$AA63-AD63)</f>
        <v>0</v>
      </c>
      <c r="AG63" s="255"/>
      <c r="AH63" s="256" t="str">
        <f>IF(AG63=0,"",IFERROR(AG63/AG$19,""))</f>
        <v/>
      </c>
      <c r="AI63" s="254">
        <f>IF(AND($AA63="",AG63=""),"",$AA63-AG63)</f>
        <v>0</v>
      </c>
    </row>
    <row r="64" spans="1:35" ht="15" thickBot="1" x14ac:dyDescent="0.4">
      <c r="A64" s="97" t="s">
        <v>92</v>
      </c>
      <c r="B64" s="98" t="s">
        <v>93</v>
      </c>
      <c r="C64" s="98" t="s">
        <v>94</v>
      </c>
      <c r="D64" s="98" t="s">
        <v>95</v>
      </c>
      <c r="E64" s="98" t="s">
        <v>96</v>
      </c>
      <c r="F64" s="99" t="s">
        <v>97</v>
      </c>
      <c r="G64" s="11"/>
      <c r="H64" s="88" t="s">
        <v>81</v>
      </c>
      <c r="I64" s="136" t="str">
        <f>IF(_epmOfflineCondition_,"T3",_xll.EVPRO($B$1,$H64,"STYLE"))</f>
        <v>T3</v>
      </c>
      <c r="J64" s="136" t="str">
        <f>IF(_epmOfflineCondition_,"Y",_xll.EVPRO($B$1,$H64,"CALC"))</f>
        <v>Y</v>
      </c>
      <c r="K64" s="106"/>
      <c r="L64" s="106"/>
      <c r="M64" s="106"/>
      <c r="N64" s="106" t="str">
        <f>IF(_epmOfflineCondition_,"Department Profit (Loss)",IF(_xll.EVDES(H64,$B$1)="#NODATA","",_xll.EVDES(H64,$B$1)))</f>
        <v>Department Profit (Loss)</v>
      </c>
      <c r="O64" s="169"/>
      <c r="P64" s="169"/>
      <c r="Q64" s="169"/>
      <c r="R64" s="169"/>
      <c r="S64" s="169"/>
      <c r="T64" s="169"/>
      <c r="U64" s="169"/>
      <c r="V64" s="169"/>
      <c r="W64" s="169"/>
      <c r="X64" s="169"/>
      <c r="Y64" s="169"/>
      <c r="Z64" s="169"/>
      <c r="AA64" s="169">
        <f>IF($I64="B1","",SUM(O64:Z64))</f>
        <v>0</v>
      </c>
      <c r="AB64" s="170" t="str">
        <f>IF(AA64=0,"",IFERROR(AA64/AA$19,""))</f>
        <v/>
      </c>
      <c r="AC64" s="140"/>
      <c r="AD64" s="169"/>
      <c r="AE64" s="170" t="str">
        <f>IF(AD64=0,"",IFERROR(AD64/AD$19,""))</f>
        <v/>
      </c>
      <c r="AF64" s="171">
        <f>IF(AND($AA64="",AD64=""),"",$AA64-AD64)</f>
        <v>0</v>
      </c>
      <c r="AG64" s="169"/>
      <c r="AH64" s="170" t="str">
        <f>IF(AG64=0,"",IFERROR(AG64/AG$19,""))</f>
        <v/>
      </c>
      <c r="AI64" s="171">
        <f>IF(AND($AA64="",AG64=""),"",$AA64-AG64)</f>
        <v>0</v>
      </c>
    </row>
    <row r="65" spans="1:35" ht="15" thickTop="1" x14ac:dyDescent="0.35">
      <c r="A65" s="11"/>
      <c r="B65" s="11"/>
      <c r="C65" s="11"/>
      <c r="D65" s="11"/>
      <c r="E65" s="11"/>
      <c r="F65" s="11"/>
      <c r="G65" s="11"/>
      <c r="H65" s="11"/>
      <c r="I65" s="59"/>
      <c r="J65" s="59"/>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row>
    <row r="66" spans="1:35" x14ac:dyDescent="0.35">
      <c r="A66" s="11" t="s">
        <v>209</v>
      </c>
      <c r="B66" s="11" t="s">
        <v>21</v>
      </c>
      <c r="C66" s="395"/>
      <c r="D66" s="11" t="s">
        <v>590</v>
      </c>
      <c r="E66" s="11"/>
      <c r="F66" s="11" t="s">
        <v>99</v>
      </c>
      <c r="G66" s="11"/>
      <c r="H66" s="11"/>
      <c r="I66" s="59"/>
      <c r="J66" s="59"/>
      <c r="K66" s="11"/>
      <c r="L66" s="11"/>
      <c r="M66" s="11"/>
      <c r="N66" s="104" t="str">
        <f>N63&amp;" - Check"</f>
        <v>Total Expenses - Check</v>
      </c>
      <c r="O66" s="209">
        <f t="shared" ref="O66:AA66" si="11">SUMIF($H$34:$H$64,"600000",O$34:O$64)+SUMIF($H$34:$H$64,"700000",O$34:O$64)-SUMIF($H$34:$H$64,"TOTDEPTEXP",O$34:O$64)</f>
        <v>0</v>
      </c>
      <c r="P66" s="209">
        <f t="shared" si="11"/>
        <v>0</v>
      </c>
      <c r="Q66" s="209">
        <f t="shared" si="11"/>
        <v>0</v>
      </c>
      <c r="R66" s="209">
        <f t="shared" si="11"/>
        <v>0</v>
      </c>
      <c r="S66" s="209">
        <f t="shared" si="11"/>
        <v>0</v>
      </c>
      <c r="T66" s="209">
        <f t="shared" si="11"/>
        <v>0</v>
      </c>
      <c r="U66" s="209">
        <f t="shared" si="11"/>
        <v>0</v>
      </c>
      <c r="V66" s="209">
        <f t="shared" si="11"/>
        <v>0</v>
      </c>
      <c r="W66" s="209">
        <f t="shared" si="11"/>
        <v>0</v>
      </c>
      <c r="X66" s="209">
        <f t="shared" si="11"/>
        <v>0</v>
      </c>
      <c r="Y66" s="209">
        <f t="shared" si="11"/>
        <v>0</v>
      </c>
      <c r="Z66" s="209">
        <f t="shared" si="11"/>
        <v>0</v>
      </c>
      <c r="AA66" s="209">
        <f t="shared" si="11"/>
        <v>0</v>
      </c>
      <c r="AB66" s="100"/>
      <c r="AC66" s="11"/>
      <c r="AD66" s="209">
        <f>SUMIF($H$34:$H$64,"600000",AD$34:AD$64)+SUMIF($H$34:$H$64,"700000",AD$34:AD$64)-SUMIF($H$34:$H$64,"TOTDEPTEXP",AD$34:AD$64)</f>
        <v>0</v>
      </c>
      <c r="AE66" s="100"/>
      <c r="AF66" s="91"/>
      <c r="AG66" s="209">
        <f>SUMIF($H$34:$H$64,"600000",AG$34:AG$64)+SUMIF($H$34:$H$64,"700000",AG$34:AG$64)-SUMIF($H$34:$H$64,"TOTDEPTEXP",AG$34:AG$64)</f>
        <v>0</v>
      </c>
      <c r="AH66" s="100"/>
      <c r="AI66" s="91"/>
    </row>
    <row r="67" spans="1:35" x14ac:dyDescent="0.35">
      <c r="A67" s="11" t="s">
        <v>105</v>
      </c>
      <c r="B67" s="11"/>
      <c r="C67" s="104" t="s">
        <v>101</v>
      </c>
      <c r="D67" s="11" t="s">
        <v>106</v>
      </c>
      <c r="E67" s="11"/>
      <c r="F67" s="11" t="s">
        <v>98</v>
      </c>
      <c r="G67" s="11"/>
      <c r="H67" s="11"/>
      <c r="I67" s="59"/>
      <c r="J67" s="59"/>
      <c r="K67" s="11"/>
      <c r="L67" s="11"/>
      <c r="M67" s="11"/>
      <c r="N67" s="104" t="str">
        <f>N64&amp;" - Check"</f>
        <v>Department Profit (Loss) - Check</v>
      </c>
      <c r="O67" s="209">
        <f t="shared" ref="O67:AA67" si="12">SUMIF($H$34:$H$64,"KPI_GP",O$34:O$64)-SUMIF($H$34:$H$64,"TOTDEPTEXP",O$34:O$64)-SUMIF($H$34:$H$64,"TOTDEPTPL",O$34:O$64)</f>
        <v>0</v>
      </c>
      <c r="P67" s="209">
        <f t="shared" si="12"/>
        <v>0</v>
      </c>
      <c r="Q67" s="209">
        <f t="shared" si="12"/>
        <v>0</v>
      </c>
      <c r="R67" s="209">
        <f t="shared" si="12"/>
        <v>0</v>
      </c>
      <c r="S67" s="209">
        <f t="shared" si="12"/>
        <v>0</v>
      </c>
      <c r="T67" s="209">
        <f t="shared" si="12"/>
        <v>0</v>
      </c>
      <c r="U67" s="209">
        <f t="shared" si="12"/>
        <v>0</v>
      </c>
      <c r="V67" s="209">
        <f t="shared" si="12"/>
        <v>0</v>
      </c>
      <c r="W67" s="209">
        <f t="shared" si="12"/>
        <v>0</v>
      </c>
      <c r="X67" s="209">
        <f t="shared" si="12"/>
        <v>0</v>
      </c>
      <c r="Y67" s="209">
        <f t="shared" si="12"/>
        <v>0</v>
      </c>
      <c r="Z67" s="209">
        <f t="shared" si="12"/>
        <v>0</v>
      </c>
      <c r="AA67" s="209">
        <f t="shared" si="12"/>
        <v>0</v>
      </c>
      <c r="AB67" s="100"/>
      <c r="AC67" s="11"/>
      <c r="AD67" s="209">
        <f>SUMIF($H$34:$H$64,"KPI_GP",AD$34:AD$64)-SUMIF($H$34:$H$64,"TOTDEPTEXP",AD$34:AD$64)-SUMIF($H$34:$H$64,"TOTDEPTPL",AD$34:AD$64)</f>
        <v>0</v>
      </c>
      <c r="AE67" s="100"/>
      <c r="AF67" s="91"/>
      <c r="AG67" s="209">
        <f>SUMIF($H$34:$H$64,"KPI_GP",AG$34:AG$64)-SUMIF($H$34:$H$64,"TOTDEPTEXP",AG$34:AG$64)-SUMIF($H$34:$H$64,"TOTDEPTPL",AG$34:AG$64)</f>
        <v>0</v>
      </c>
      <c r="AH67" s="100"/>
      <c r="AI67" s="91"/>
    </row>
    <row r="68" spans="1:35" x14ac:dyDescent="0.35">
      <c r="A68" s="11" t="s">
        <v>108</v>
      </c>
      <c r="B68" s="11"/>
      <c r="C68" s="106" t="s">
        <v>101</v>
      </c>
      <c r="D68" s="11" t="s">
        <v>106</v>
      </c>
      <c r="E68" s="11"/>
      <c r="F68" s="11" t="s">
        <v>98</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row>
    <row r="69" spans="1:35" x14ac:dyDescent="0.35">
      <c r="A69" s="11" t="s">
        <v>108</v>
      </c>
      <c r="B69" s="11"/>
      <c r="C69" s="196" t="s">
        <v>101</v>
      </c>
      <c r="D69" s="11" t="s">
        <v>107</v>
      </c>
      <c r="E69" s="11"/>
      <c r="F69" s="11" t="s">
        <v>99</v>
      </c>
      <c r="G69" s="11"/>
      <c r="H69" s="11"/>
      <c r="I69" s="59"/>
      <c r="J69" s="59"/>
      <c r="K69" s="11"/>
      <c r="L69" s="11"/>
      <c r="M69" s="11"/>
      <c r="N69" s="11"/>
      <c r="O69" s="137"/>
      <c r="P69" s="137"/>
      <c r="Q69" s="137"/>
      <c r="R69" s="137"/>
      <c r="S69" s="137"/>
      <c r="T69" s="137"/>
      <c r="U69" s="137"/>
      <c r="V69" s="137"/>
      <c r="W69" s="137"/>
      <c r="X69" s="137"/>
      <c r="Y69" s="137"/>
      <c r="Z69" s="137"/>
      <c r="AA69" s="137"/>
      <c r="AB69" s="11"/>
      <c r="AC69" s="11"/>
      <c r="AD69" s="137"/>
      <c r="AE69" s="11"/>
      <c r="AF69" s="11"/>
      <c r="AG69" s="137"/>
      <c r="AH69" s="11"/>
      <c r="AI69" s="11"/>
    </row>
    <row r="70" spans="1:35" x14ac:dyDescent="0.35">
      <c r="A70" s="11"/>
      <c r="B70" s="11"/>
      <c r="C70" s="11"/>
      <c r="D70" s="11"/>
      <c r="E70" s="11"/>
      <c r="F70" s="11"/>
      <c r="G70" s="11"/>
      <c r="H70" s="11"/>
      <c r="I70" s="59"/>
      <c r="J70" s="59"/>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row>
    <row r="71" spans="1:35" x14ac:dyDescent="0.35">
      <c r="A71" s="11"/>
      <c r="B71" s="11"/>
      <c r="C71" s="208"/>
      <c r="D71" s="11"/>
      <c r="E71" s="11"/>
      <c r="F71" s="11"/>
      <c r="G71" s="11"/>
      <c r="H71" s="11"/>
      <c r="I71" s="59"/>
      <c r="J71" s="59"/>
      <c r="K71" s="11"/>
      <c r="L71" s="11"/>
      <c r="M71" s="11"/>
      <c r="N71" s="11"/>
      <c r="O71" s="137"/>
      <c r="P71" s="137"/>
      <c r="Q71" s="137"/>
      <c r="R71" s="137"/>
      <c r="S71" s="137"/>
      <c r="T71" s="137"/>
      <c r="U71" s="137"/>
      <c r="V71" s="137"/>
      <c r="W71" s="137"/>
      <c r="X71" s="137"/>
      <c r="Y71" s="137"/>
      <c r="Z71" s="137"/>
      <c r="AA71" s="137"/>
      <c r="AB71" s="11"/>
      <c r="AC71" s="11"/>
      <c r="AD71" s="137"/>
      <c r="AE71" s="11"/>
      <c r="AF71" s="11"/>
      <c r="AG71" s="137"/>
      <c r="AH71" s="11"/>
      <c r="AI71" s="11"/>
    </row>
    <row r="72" spans="1:35" x14ac:dyDescent="0.35">
      <c r="A72" s="61" t="str">
        <f>IF(_epmOfflineCondition_,"Evdre:Ok",_xll.EVDRE($B$1,A75:B82,A85:B91))</f>
        <v>Evdre:Ok</v>
      </c>
      <c r="B72" s="11"/>
      <c r="C72" s="11"/>
      <c r="D72" s="11"/>
      <c r="E72" s="11"/>
      <c r="F72" s="11"/>
      <c r="G72" s="11"/>
      <c r="H72" s="11"/>
      <c r="I72" s="59"/>
      <c r="J72" s="59"/>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row>
    <row r="73" spans="1:35" x14ac:dyDescent="0.35">
      <c r="A73" s="11"/>
      <c r="B73" s="11"/>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row>
    <row r="74" spans="1:35" x14ac:dyDescent="0.35">
      <c r="A74" s="62" t="s">
        <v>0</v>
      </c>
      <c r="B74" s="63" t="s">
        <v>1</v>
      </c>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row>
    <row r="75" spans="1:35" x14ac:dyDescent="0.35">
      <c r="A75" s="65" t="s">
        <v>2</v>
      </c>
      <c r="B75" s="66" t="str">
        <f>IF(_epmOfflineCondition_,"'Telcom_Legacy'!$B$2:$B$10",_xll.EVRNG($B$2:$B$10))</f>
        <v>'Telcom_Legacy'!$B$2:$B$10</v>
      </c>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row>
    <row r="76" spans="1:35" x14ac:dyDescent="0.35">
      <c r="A76" s="65" t="s">
        <v>3</v>
      </c>
      <c r="B76" s="66" t="str">
        <f>IF(_epmOfflineCondition_,"'Telcom_Legacy'!$O$16:$AI$18",_xll.EVRNG(O16:AI18))</f>
        <v>'Telcom_Legacy'!$O$16:$AI$18</v>
      </c>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row>
    <row r="77" spans="1:35" x14ac:dyDescent="0.35">
      <c r="A77" s="65" t="s">
        <v>4</v>
      </c>
      <c r="B77" s="66" t="str">
        <f>IF(_epmOfflineCondition_,"'Telcom_Legacy'!$H$52:$H$53,'Telcom_Legacy'!$H$55:$H$56,'Telcom_Legacy'!$H$59:$H$60",_xll.EVRNG(H52:H53,H55:H56,H59:H60))</f>
        <v>'Telcom_Legacy'!$H$52:$H$53,'Telcom_Legacy'!$H$55:$H$56,'Telcom_Legacy'!$H$59:$H$60</v>
      </c>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row>
    <row r="78" spans="1:35" x14ac:dyDescent="0.35">
      <c r="A78" s="65" t="s">
        <v>5</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row>
    <row r="79" spans="1:35" x14ac:dyDescent="0.35">
      <c r="A79" s="65" t="s">
        <v>6</v>
      </c>
      <c r="B79" s="66"/>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row>
    <row r="80" spans="1:35" x14ac:dyDescent="0.35">
      <c r="A80" s="65" t="s">
        <v>7</v>
      </c>
      <c r="B80" s="66" t="str">
        <f>IF(_epmOfflineCondition_,"'Telcom_Legacy'!$A$94:$F$100",_xll.EVRNG(A94:F100))</f>
        <v>'Telcom_Legacy'!$A$94:$F$100</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row>
    <row r="81" spans="1:35" x14ac:dyDescent="0.35">
      <c r="A81" s="65" t="s">
        <v>47</v>
      </c>
      <c r="B81" s="66" t="str">
        <f>IF(_epmOfflineCondition_,"'Telcom_Legacy'!$A$117:$B$138",_xll.EVRNG($A$117:$B$138))</f>
        <v>'Telcom_Legacy'!$A$117:$B$138</v>
      </c>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row>
    <row r="82" spans="1:35" x14ac:dyDescent="0.35">
      <c r="A82" s="65" t="s">
        <v>8</v>
      </c>
      <c r="B82" s="66"/>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row>
    <row r="83" spans="1:35" x14ac:dyDescent="0.3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row>
    <row r="84" spans="1:35" x14ac:dyDescent="0.35">
      <c r="A84" s="62" t="s">
        <v>9</v>
      </c>
      <c r="B84" s="63" t="s">
        <v>10</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row>
    <row r="85" spans="1:35" x14ac:dyDescent="0.35">
      <c r="A85" s="65" t="s">
        <v>11</v>
      </c>
      <c r="B85" s="66" t="s">
        <v>21</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row>
    <row r="86" spans="1:35" x14ac:dyDescent="0.35">
      <c r="A86" s="65" t="s">
        <v>12</v>
      </c>
      <c r="B86" s="66" t="s">
        <v>22</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row>
    <row r="87" spans="1:35" x14ac:dyDescent="0.35">
      <c r="A87" s="65" t="s">
        <v>13</v>
      </c>
      <c r="B87" s="66" t="s">
        <v>737</v>
      </c>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row>
    <row r="88" spans="1:35" x14ac:dyDescent="0.35">
      <c r="A88" s="65" t="s">
        <v>14</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row>
    <row r="89" spans="1:35" x14ac:dyDescent="0.35">
      <c r="A89" s="65" t="s">
        <v>15</v>
      </c>
      <c r="B89" s="66"/>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35" x14ac:dyDescent="0.35">
      <c r="A90" s="65" t="s">
        <v>16</v>
      </c>
      <c r="B90" s="66" t="s">
        <v>78</v>
      </c>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35" x14ac:dyDescent="0.35">
      <c r="A91" s="65" t="s">
        <v>17</v>
      </c>
      <c r="B91" s="66"/>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35" x14ac:dyDescent="0.35">
      <c r="A92" s="11"/>
      <c r="B92" s="11"/>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35" x14ac:dyDescent="0.35">
      <c r="A93" s="97" t="s">
        <v>92</v>
      </c>
      <c r="B93" s="98" t="s">
        <v>93</v>
      </c>
      <c r="C93" s="98" t="s">
        <v>94</v>
      </c>
      <c r="D93" s="98" t="s">
        <v>95</v>
      </c>
      <c r="E93" s="98" t="s">
        <v>96</v>
      </c>
      <c r="F93" s="99" t="s">
        <v>97</v>
      </c>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35" x14ac:dyDescent="0.35">
      <c r="A94" s="11"/>
      <c r="B94" s="11"/>
      <c r="C94" s="11"/>
      <c r="D94" s="11"/>
      <c r="E94" s="11"/>
      <c r="F94" s="11"/>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35" x14ac:dyDescent="0.35">
      <c r="A95" s="11" t="s">
        <v>108</v>
      </c>
      <c r="B95" s="11"/>
      <c r="C95" s="104"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35" x14ac:dyDescent="0.35">
      <c r="A96" s="11" t="s">
        <v>100</v>
      </c>
      <c r="B96" s="11"/>
      <c r="C96" s="53"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35">
      <c r="A97" s="11" t="s">
        <v>109</v>
      </c>
      <c r="B97" s="11"/>
      <c r="C97" s="106" t="s">
        <v>101</v>
      </c>
      <c r="D97" s="11" t="s">
        <v>106</v>
      </c>
      <c r="E97" s="11"/>
      <c r="F97" s="11" t="s">
        <v>98</v>
      </c>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35">
      <c r="A98" s="11" t="s">
        <v>109</v>
      </c>
      <c r="B98" s="11"/>
      <c r="C98" s="196" t="s">
        <v>101</v>
      </c>
      <c r="D98" s="11" t="s">
        <v>107</v>
      </c>
      <c r="E98" s="11"/>
      <c r="F98" s="11" t="s">
        <v>99</v>
      </c>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35">
      <c r="A99" s="11" t="s">
        <v>110</v>
      </c>
      <c r="B99" s="11"/>
      <c r="C99" s="106" t="s">
        <v>101</v>
      </c>
      <c r="D99" s="11" t="s">
        <v>106</v>
      </c>
      <c r="E99" s="11"/>
      <c r="F99" s="11" t="s">
        <v>98</v>
      </c>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35">
      <c r="A100" s="11" t="s">
        <v>110</v>
      </c>
      <c r="B100" s="11"/>
      <c r="C100" s="109" t="s">
        <v>101</v>
      </c>
      <c r="D100" s="11" t="s">
        <v>107</v>
      </c>
      <c r="E100" s="11"/>
      <c r="F100" s="11" t="s">
        <v>99</v>
      </c>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35">
      <c r="A101" s="11"/>
      <c r="B101" s="11"/>
      <c r="C101" s="208"/>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35">
      <c r="A103" s="61" t="str">
        <f>IF(_epmOfflineCondition_,"Evdre:Ok",_xll.EVDRE($B$1,A106:B113))</f>
        <v>Evdre:Ok</v>
      </c>
      <c r="B103" s="11" t="s">
        <v>736</v>
      </c>
      <c r="C103" s="11"/>
      <c r="D103" s="11"/>
      <c r="E103" s="11"/>
      <c r="F103" s="11"/>
      <c r="G103" s="76"/>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35">
      <c r="A104" s="11"/>
      <c r="B104" s="11"/>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35">
      <c r="A105" s="62" t="s">
        <v>0</v>
      </c>
      <c r="B105" s="63" t="s">
        <v>1</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35">
      <c r="A106" s="65" t="s">
        <v>2</v>
      </c>
      <c r="B106" s="66" t="str">
        <f>IF(_epmOfflineCondition_,"'Telcom_Legacy'!$B$2:$B$10",_xll.EVRNG($B$2:$B$10))</f>
        <v>'Telcom_Legacy'!$B$2:$B$10</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35">
      <c r="A107" s="65" t="s">
        <v>3</v>
      </c>
      <c r="B107" s="66" t="str">
        <f>IF(_epmOfflineCondition_,"'Telcom_Legacy'!$O$16:$AI$18",_xll.EVRNG(O16:AI18))</f>
        <v>'Telcom_Legacy'!$O$16:$AI$18</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35">
      <c r="A108" s="65" t="s">
        <v>4</v>
      </c>
      <c r="B108" s="66" t="str">
        <f>IF(_epmOfflineCondition_,"'Telcom_Legacy'!$H$61:$H$64",_xll.EVRNG(H61:H64))</f>
        <v>'Telcom_Legacy'!$H$61:$H$64</v>
      </c>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35">
      <c r="A109" s="65" t="s">
        <v>5</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35">
      <c r="A110" s="65" t="s">
        <v>6</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35">
      <c r="A111" s="65" t="s">
        <v>7</v>
      </c>
      <c r="B111" s="66"/>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35">
      <c r="A112" s="65" t="s">
        <v>47</v>
      </c>
      <c r="B112" s="66" t="str">
        <f>IF(_epmOfflineCondition_,"'Telcom_Legacy'!$A$117:$B$138",_xll.EVRNG($A$117:$B$138))</f>
        <v>'Telcom_Legacy'!$A$117:$B$138</v>
      </c>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35">
      <c r="A113" s="65" t="s">
        <v>8</v>
      </c>
      <c r="B113" s="66"/>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3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35">
      <c r="A116" s="62" t="s">
        <v>23</v>
      </c>
      <c r="B116" s="63" t="s">
        <v>24</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35">
      <c r="A117" s="65" t="s">
        <v>25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35">
      <c r="A118" s="65" t="s">
        <v>26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35">
      <c r="A119" s="65" t="s">
        <v>27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35">
      <c r="A120" s="65" t="s">
        <v>28</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35">
      <c r="A121" s="65" t="s">
        <v>29</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35">
      <c r="A122" s="65" t="s">
        <v>30</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35">
      <c r="A123" s="65" t="s">
        <v>31</v>
      </c>
      <c r="B123" s="66" t="s">
        <v>78</v>
      </c>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35">
      <c r="A124" s="65" t="s">
        <v>32</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35">
      <c r="A125" s="65" t="s">
        <v>33</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35">
      <c r="A126" s="65" t="s">
        <v>34</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35">
      <c r="A127" s="65" t="s">
        <v>35</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35">
      <c r="A128" s="65" t="s">
        <v>36</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35">
      <c r="A129" s="65" t="s">
        <v>37</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35">
      <c r="A130" s="65" t="s">
        <v>38</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35">
      <c r="A131" s="65" t="s">
        <v>39</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35">
      <c r="A132" s="65" t="s">
        <v>40</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35">
      <c r="A133" s="65" t="s">
        <v>41</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35">
      <c r="A134" s="65" t="s">
        <v>42</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35">
      <c r="A135" s="65" t="s">
        <v>43</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35">
      <c r="A136" s="65" t="s">
        <v>44</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35">
      <c r="A137" s="65" t="s">
        <v>45</v>
      </c>
      <c r="B137" s="66"/>
      <c r="C137" s="11"/>
      <c r="D137" s="11"/>
      <c r="E137" s="11"/>
      <c r="F137" s="11"/>
      <c r="G137" s="11"/>
      <c r="H137" s="11"/>
      <c r="I137" s="267"/>
      <c r="J137" s="11"/>
      <c r="K137" s="267"/>
      <c r="L137" s="267"/>
      <c r="M137" s="267"/>
      <c r="N137" s="11"/>
      <c r="O137" s="267"/>
      <c r="P137" s="267"/>
      <c r="Q137" s="267"/>
      <c r="R137" s="267"/>
      <c r="S137" s="267"/>
      <c r="T137" s="267"/>
      <c r="U137" s="267"/>
      <c r="V137" s="267"/>
      <c r="W137" s="267"/>
      <c r="X137" s="267"/>
      <c r="Y137" s="267"/>
      <c r="Z137" s="267"/>
      <c r="AA137" s="267"/>
      <c r="AB137" s="11"/>
      <c r="AC137" s="11"/>
      <c r="AD137" s="267"/>
      <c r="AE137" s="11"/>
      <c r="AF137" s="267"/>
      <c r="AG137" s="11"/>
      <c r="AH137" s="267"/>
      <c r="AI137" s="11"/>
    </row>
    <row r="138" spans="1:35" x14ac:dyDescent="0.35">
      <c r="A138" s="65" t="s">
        <v>46</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35">
      <c r="A141" s="11"/>
      <c r="B141" s="11"/>
      <c r="C141" s="11"/>
      <c r="D141" s="11"/>
      <c r="E141" s="11"/>
      <c r="F141" s="11"/>
      <c r="G141" s="11"/>
      <c r="H141" s="11"/>
      <c r="I141" s="267"/>
      <c r="J141" s="11"/>
      <c r="K141" s="267"/>
      <c r="L141" s="267"/>
      <c r="M141" s="267"/>
      <c r="N141" s="11"/>
      <c r="O141" s="267"/>
      <c r="P141" s="267"/>
      <c r="Q141" s="267"/>
      <c r="R141" s="267"/>
      <c r="S141" s="267"/>
      <c r="T141" s="267"/>
      <c r="U141" s="267"/>
      <c r="V141" s="267"/>
      <c r="W141" s="267"/>
      <c r="X141" s="267"/>
      <c r="Y141" s="267"/>
      <c r="Z141" s="267"/>
      <c r="AA141" s="267"/>
      <c r="AB141" s="11"/>
      <c r="AC141" s="11"/>
      <c r="AD141" s="267"/>
      <c r="AE141" s="11"/>
      <c r="AF141" s="267"/>
      <c r="AG141" s="11"/>
      <c r="AH141" s="267"/>
      <c r="AI141" s="11"/>
    </row>
    <row r="142" spans="1:35"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35">
      <c r="A155" s="11"/>
      <c r="B155" s="11"/>
      <c r="C155" s="11"/>
      <c r="D155" s="11"/>
      <c r="E155" s="267"/>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35">
      <c r="A159" s="11"/>
      <c r="B159" s="11"/>
      <c r="C159" s="11"/>
      <c r="D159" s="11"/>
      <c r="E159" s="267"/>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sheetData>
  <sheetProtection algorithmName="SHA-512" hashValue="HBg2XMlzv+qyACIwp5G2HDQVHDHhlx67V3nSnnB2T3ITz55BVEJeMWKzAewZclQOEn0LObqHn6k0Ai2tiEo7+Q==" saltValue="9HMXHIcl94L8yfueTEHT0A==" spinCount="100000" sheet="1" scenarios="1"/>
  <mergeCells count="2">
    <mergeCell ref="AD31:AE31"/>
    <mergeCell ref="AG31:AH31"/>
  </mergeCells>
  <dataValidations disablePrompts="1" count="2">
    <dataValidation type="list" allowBlank="1" sqref="B87 B58 B29" xr:uid="{00000000-0002-0000-1F00-000000000000}">
      <formula1>"SELF,ALL,BAS,DEP,BASMEMBERS,MEMBERS,NOEXPAND,GDEP"</formula1>
    </dataValidation>
    <dataValidation type="list" allowBlank="1" sqref="B57 B86 B28" xr:uid="{00000000-0002-0000-1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6">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366</v>
      </c>
      <c r="C6" s="11" t="str">
        <f>IF(_epmOfflineCondition_,"Health Club/Spa",_xll.EVDES(B6,$B$1))</f>
        <v>Health Club/Spa</v>
      </c>
      <c r="D6" s="11"/>
      <c r="E6" s="58" t="str">
        <f>IF(_epmOfflineCondition_,"D1132",_xll.EVPRO($B$1,$B$6,$F$6))</f>
        <v>D1132</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IF(_epmOfflineCondition_,"'HC_SPA'!$B$2:$B$10",_xll.EVRNG($B$2:$B$10))</f>
        <v>'HC_SPA'!$B$2:$B$10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IF(_epmOfflineCondition_,"'HC_SPA'!$O$16:$AN$18",_xll.EVRNG($O$16:$AN$18))</f>
        <v>'HC_SPA'!$O$16:$AN$18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IF(_epmOfflineCondition_,"'HC_SPA'!$H$34:$H$44",_xll.EVRNG(H34:H44))</f>
        <v>'HC_SPA'!$H$34:$H$44</v>
      </c>
      <c r="C19" s="11"/>
      <c r="D19" s="11"/>
      <c r="E19" s="11"/>
      <c r="F19" s="11"/>
      <c r="G19" s="67" t="str">
        <f>$B$6</f>
        <v>D1132</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IF(_epmOfflineCondition_,"'HC_SPA'!$A$36:$F$40",_xll.EVRNG(A36:F40))</f>
        <v>'HC_SPA'!$A$36:$F$40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IF(_epmOfflineCondition_,"'HC_SPA'!$A$116:$B$137",_xll.EVRNG($A$116:$B$137))</f>
        <v>'HC_SPA'!$A$116:$B$137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IF(_epmOfflineCondition_,"Health Club/Spa Department",IF(_xll.EVDES(B6,$B$1)="#NODATA","",_xll.EVDES(B6,$B$1)&amp;" Department"))</f>
        <v>Health Club/Spa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"DEP(420100) AND "&amp;$E$6&amp;"=Y,400000"</f>
        <v>DEP(420100) AND D1132=Y,400000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367</v>
      </c>
      <c r="I34" s="122" t="str">
        <f>IF(_epmOfflineCondition_,"N",_xll.EVPRO($B$1,$H34,"STYLE"))</f>
        <v>N</v>
      </c>
      <c r="J34" s="122" t="str">
        <f>IF(_epmOfflineCondition_,"N",_xll.EVPRO($B$1,$H34,"CALC"))</f>
        <v>N</v>
      </c>
      <c r="K34" s="179" t="str">
        <f t="shared" ref="K34:K44" si="0">IF(AND(I34&gt;="T5"),"&gt;","")</f>
        <v/>
      </c>
      <c r="L34" s="90" t="str">
        <f>IF(_epmOfflineCondition_,"420300",_xll.EVPRO($B$1,H34,"JDEID"))</f>
        <v>420300</v>
      </c>
      <c r="M34" s="90" t="str">
        <f>IF(_epmOfflineCondition_,"205020",IF(AND(I34="N",J34="N"),_xll.EVPRO($B$1,H34,"PSFTID"),""))</f>
        <v>205020</v>
      </c>
      <c r="N34" s="90" t="str">
        <f>IF(_epmOfflineCondition_,"Massage &amp; Body Treatment Rev",IF(_xll.EVDES(H34,$B$1)="#NODATA","",_xll.EVDES(H34,$B$1)))</f>
        <v>Massage &amp; Body Treatment Rev</v>
      </c>
      <c r="O34" s="143"/>
      <c r="P34" s="143"/>
      <c r="Q34" s="143"/>
      <c r="R34" s="143"/>
      <c r="S34" s="143"/>
      <c r="T34" s="143"/>
      <c r="U34" s="143"/>
      <c r="V34" s="143"/>
      <c r="W34" s="143"/>
      <c r="X34" s="143"/>
      <c r="Y34" s="143"/>
      <c r="Z34" s="143"/>
      <c r="AA34" s="250">
        <f t="shared" ref="AA34:AA44" si="1">IF($I34="B1","",SUM(O34:Z34))</f>
        <v>0</v>
      </c>
      <c r="AB34" s="144" t="str">
        <f t="shared" ref="AB34:AB44" si="2">IF(AA34=0,"",IFERROR(AA34/AA$19,""))</f>
        <v/>
      </c>
      <c r="AC34" s="140"/>
      <c r="AD34" s="143"/>
      <c r="AE34" s="144" t="str">
        <f t="shared" ref="AE34:AE44" si="3">IF(AD34=0,"",IFERROR(AD34/AD$19,""))</f>
        <v/>
      </c>
      <c r="AF34" s="145">
        <f t="shared" ref="AF34:AF44" si="4">IF(AND($AA34="",AD34=""),"",$AA34-AD34)</f>
        <v>0</v>
      </c>
      <c r="AG34" s="143"/>
      <c r="AH34" s="144" t="str">
        <f t="shared" ref="AH34:AH44" si="5">IF(AG34=0,"",IFERROR(AG34/AG$19,""))</f>
        <v/>
      </c>
      <c r="AI34" s="145">
        <f t="shared" ref="AI34:AI44" si="6">IF(AND($AA34="",AG34=""),"",$AA34-AG34)</f>
        <v>0</v>
      </c>
      <c r="AJ34" s="440">
        <f t="shared" ref="AJ34:AJ44" si="7">IFERROR(AA34/AA$20,0)</f>
        <v>0</v>
      </c>
      <c r="AK34" s="441">
        <f t="shared" ref="AK34:AK44" si="8">IFERROR(AD34/AD$20,0)</f>
        <v>0</v>
      </c>
      <c r="AL34" s="442">
        <f t="shared" ref="AL34:AL44" si="9">IFERROR(AG34/AG$20,0)</f>
        <v>0</v>
      </c>
      <c r="AM34" s="443">
        <f t="shared" ref="AM34:AM44" si="10">+IFERROR(ROUND(($AB34-AE34)*100,2)&amp;" pts.",0)</f>
        <v>0</v>
      </c>
      <c r="AN34" s="444">
        <f t="shared" ref="AN34:AN44" si="11">+IFERROR(ROUND(($AB34-AH34)*100,2)&amp;" pts.",0)</f>
        <v>0</v>
      </c>
      <c r="AO34" s="11"/>
    </row>
    <row r="35" spans="1:41" x14ac:dyDescent="0.35">
      <c r="A35" s="97" t="s">
        <v>92</v>
      </c>
      <c r="B35" s="98" t="s">
        <v>93</v>
      </c>
      <c r="C35" s="98" t="s">
        <v>94</v>
      </c>
      <c r="D35" s="98" t="s">
        <v>95</v>
      </c>
      <c r="E35" s="98" t="s">
        <v>96</v>
      </c>
      <c r="F35" s="99" t="s">
        <v>97</v>
      </c>
      <c r="G35" s="11"/>
      <c r="H35" s="88" t="s">
        <v>368</v>
      </c>
      <c r="I35" s="122" t="str">
        <f>IF(_epmOfflineCondition_,"T5",_xll.EVPRO($B$1,$H35,"STYLE"))</f>
        <v>T5</v>
      </c>
      <c r="J35" s="122" t="str">
        <f>IF(_epmOfflineCondition_,"Y",_xll.EVPRO($B$1,$H35,"CALC"))</f>
        <v>Y</v>
      </c>
      <c r="K35" s="179" t="str">
        <f t="shared" si="0"/>
        <v>&gt;</v>
      </c>
      <c r="L35" s="90" t="str">
        <f>IF(_epmOfflineCondition_,"",_xll.EVPRO($B$1,H35,"JDEID"))</f>
        <v/>
      </c>
      <c r="M35" s="90" t="str">
        <f>IF(_epmOfflineCondition_,"",IF(AND(I35="N",J35="N"),_xll.EVPRO($B$1,H35,"PSFTID"),""))</f>
        <v/>
      </c>
      <c r="N35" s="90" t="str">
        <f>IF(_epmOfflineCondition_,"Skin Care Revenue",IF(_xll.EVDES(H35,$B$1)="#NODATA","",_xll.EVDES(H35,$B$1)))</f>
        <v>Skin Care Revenue</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369</v>
      </c>
      <c r="I36" s="122" t="str">
        <f>IF(_epmOfflineCondition_,"T5",_xll.EVPRO($B$1,$H36,"STYLE"))</f>
        <v>T5</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IF(_epmOfflineCondition_,"Hair Care Revenue",IF(_xll.EVDES(H36,$B$1)="#NODATA","",_xll.EVDES(H36,$B$1)))</f>
        <v>Hair Care Revenue</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105</v>
      </c>
      <c r="B37" s="11"/>
      <c r="C37" s="104" t="s">
        <v>101</v>
      </c>
      <c r="D37" s="11" t="s">
        <v>106</v>
      </c>
      <c r="E37" s="11"/>
      <c r="F37" s="11" t="s">
        <v>98</v>
      </c>
      <c r="G37" s="11"/>
      <c r="H37" s="88" t="s">
        <v>370</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IF(_epmOfflineCondition_,"Nail Care Revenue",IF(_xll.EVDES(H37,$B$1)="#NODATA","",_xll.EVDES(H37,$B$1)))</f>
        <v>Nail Care Revenue</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11" t="s">
        <v>104</v>
      </c>
      <c r="B38" s="11"/>
      <c r="C38" s="104" t="s">
        <v>101</v>
      </c>
      <c r="D38" s="11" t="s">
        <v>106</v>
      </c>
      <c r="E38" s="11"/>
      <c r="F38" s="11" t="s">
        <v>98</v>
      </c>
      <c r="G38" s="11"/>
      <c r="H38" s="88" t="s">
        <v>371</v>
      </c>
      <c r="I38" s="122" t="str">
        <f>IF(_epmOfflineCondition_,"T5",_xll.EVPRO($B$1,$H38,"STYLE"))</f>
        <v>T5</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IF(_epmOfflineCondition_,"Fitness Revenue",IF(_xll.EVDES(H38,$B$1)="#NODATA","",_xll.EVDES(H38,$B$1)))</f>
        <v>Fitness Revenue</v>
      </c>
      <c r="O38" s="143"/>
      <c r="P38" s="143"/>
      <c r="Q38" s="143"/>
      <c r="R38" s="143"/>
      <c r="S38" s="143"/>
      <c r="T38" s="143"/>
      <c r="U38" s="143"/>
      <c r="V38" s="143"/>
      <c r="W38" s="143"/>
      <c r="X38" s="143"/>
      <c r="Y38" s="143"/>
      <c r="Z38" s="143"/>
      <c r="AA38" s="250">
        <f t="shared" si="1"/>
        <v>0</v>
      </c>
      <c r="AB38" s="144" t="str">
        <f t="shared" si="2"/>
        <v/>
      </c>
      <c r="AC38" s="140"/>
      <c r="AD38" s="143"/>
      <c r="AE38" s="144" t="str">
        <f t="shared" si="3"/>
        <v/>
      </c>
      <c r="AF38" s="145">
        <f t="shared" si="4"/>
        <v>0</v>
      </c>
      <c r="AG38" s="143"/>
      <c r="AH38" s="144" t="str">
        <f t="shared" si="5"/>
        <v/>
      </c>
      <c r="AI38" s="145">
        <f t="shared" si="6"/>
        <v>0</v>
      </c>
      <c r="AJ38" s="440">
        <f t="shared" si="7"/>
        <v>0</v>
      </c>
      <c r="AK38" s="441">
        <f t="shared" si="8"/>
        <v>0</v>
      </c>
      <c r="AL38" s="442">
        <f t="shared" si="9"/>
        <v>0</v>
      </c>
      <c r="AM38" s="443">
        <f t="shared" si="10"/>
        <v>0</v>
      </c>
      <c r="AN38" s="444">
        <f t="shared" si="11"/>
        <v>0</v>
      </c>
      <c r="AO38" s="11"/>
    </row>
    <row r="39" spans="1:41" x14ac:dyDescent="0.35">
      <c r="A39" s="11" t="s">
        <v>108</v>
      </c>
      <c r="B39" s="11"/>
      <c r="C39" s="106" t="s">
        <v>101</v>
      </c>
      <c r="D39" s="11" t="s">
        <v>106</v>
      </c>
      <c r="E39" s="11"/>
      <c r="F39" s="11" t="s">
        <v>98</v>
      </c>
      <c r="G39" s="11"/>
      <c r="H39" s="88" t="s">
        <v>372</v>
      </c>
      <c r="I39" s="122" t="str">
        <f>IF(_epmOfflineCondition_,"N",_xll.EVPRO($B$1,$H39,"STYLE"))</f>
        <v>N</v>
      </c>
      <c r="J39" s="122" t="str">
        <f>IF(_epmOfflineCondition_,"N",_xll.EVPRO($B$1,$H39,"CALC"))</f>
        <v>N</v>
      </c>
      <c r="K39" s="179" t="str">
        <f t="shared" si="0"/>
        <v/>
      </c>
      <c r="L39" s="90" t="str">
        <f>IF(_epmOfflineCondition_,"420350",_xll.EVPRO($B$1,H39,"JDEID"))</f>
        <v>420350</v>
      </c>
      <c r="M39" s="90" t="str">
        <f>IF(_epmOfflineCondition_,"205018",IF(AND(I39="N",J39="N"),_xll.EVPRO($B$1,H39,"PSFTID"),""))</f>
        <v>205018</v>
      </c>
      <c r="N39" s="90" t="str">
        <f>IF(_epmOfflineCondition_,"Health &amp; Wellness Revenue",IF(_xll.EVDES(H39,$B$1)="#NODATA","",_xll.EVDES(H39,$B$1)))</f>
        <v>Health &amp; Wellness Revenue</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96" t="s">
        <v>101</v>
      </c>
      <c r="D40" s="11" t="s">
        <v>107</v>
      </c>
      <c r="E40" s="11"/>
      <c r="F40" s="11" t="s">
        <v>99</v>
      </c>
      <c r="G40" s="11"/>
      <c r="H40" s="88" t="s">
        <v>373</v>
      </c>
      <c r="I40" s="122" t="str">
        <f>IF(_epmOfflineCondition_,"T5",_xll.EVPRO($B$1,$H40,"STYLE"))</f>
        <v>T5</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IF(_epmOfflineCondition_,"Membership Fee Revenue",IF(_xll.EVDES(H40,$B$1)="#NODATA","",_xll.EVDES(H40,$B$1)))</f>
        <v>Membership Fee Revenue</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11"/>
      <c r="B41" s="11"/>
      <c r="C41" s="11"/>
      <c r="D41" s="11"/>
      <c r="E41" s="11"/>
      <c r="F41" s="11"/>
      <c r="G41" s="11"/>
      <c r="H41" s="88" t="s">
        <v>374</v>
      </c>
      <c r="I41" s="122" t="str">
        <f>IF(_epmOfflineCondition_,"T5",_xll.EVPRO($B$1,$H41,"STYLE"))</f>
        <v>T5</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IF(_epmOfflineCondition_,"Retail Revenue",IF(_xll.EVDES(H41,$B$1)="#NODATA","",_xll.EVDES(H41,$B$1)))</f>
        <v>Retail Revenue</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11"/>
      <c r="B42" s="11"/>
      <c r="C42" s="11"/>
      <c r="D42" s="11"/>
      <c r="E42" s="11"/>
      <c r="F42" s="11"/>
      <c r="G42" s="11"/>
      <c r="H42" s="185" t="s">
        <v>375</v>
      </c>
      <c r="I42" s="122" t="str">
        <f>IF(_epmOfflineCondition_,"N",_xll.EVPRO($B$1,$H42,"STYLE"))</f>
        <v>N</v>
      </c>
      <c r="J42" s="122" t="str">
        <f>IF(_epmOfflineCondition_,"N",_xll.EVPRO($B$1,$H42,"CALC"))</f>
        <v>N</v>
      </c>
      <c r="K42" s="179" t="str">
        <f t="shared" si="0"/>
        <v/>
      </c>
      <c r="L42" s="90" t="str">
        <f>IF(_epmOfflineCondition_,"420700",_xll.EVPRO($B$1,H42,"JDEID"))</f>
        <v>420700</v>
      </c>
      <c r="M42" s="90" t="str">
        <f>IF(_epmOfflineCondition_,"205035",IF(AND(I42="N",J42="N"),_xll.EVPRO($B$1,H42,"PSFTID"),""))</f>
        <v>205035</v>
      </c>
      <c r="N42" s="90" t="str">
        <f>IF(_epmOfflineCondition_,"Other Revenue",IF(_xll.EVDES(H42,$B$1)="#NODATA","",_xll.EVDES(H42,$B$1)))</f>
        <v>Other Revenue</v>
      </c>
      <c r="O42" s="143"/>
      <c r="P42" s="143"/>
      <c r="Q42" s="143"/>
      <c r="R42" s="143"/>
      <c r="S42" s="143"/>
      <c r="T42" s="143"/>
      <c r="U42" s="143"/>
      <c r="V42" s="143"/>
      <c r="W42" s="143"/>
      <c r="X42" s="143"/>
      <c r="Y42" s="143"/>
      <c r="Z42" s="143"/>
      <c r="AA42" s="250">
        <f t="shared" si="1"/>
        <v>0</v>
      </c>
      <c r="AB42" s="144" t="str">
        <f t="shared" si="2"/>
        <v/>
      </c>
      <c r="AC42" s="140"/>
      <c r="AD42" s="143"/>
      <c r="AE42" s="144" t="str">
        <f t="shared" si="3"/>
        <v/>
      </c>
      <c r="AF42" s="145">
        <f t="shared" si="4"/>
        <v>0</v>
      </c>
      <c r="AG42" s="143">
        <v>0</v>
      </c>
      <c r="AH42" s="144" t="str">
        <f t="shared" si="5"/>
        <v/>
      </c>
      <c r="AI42" s="145">
        <f t="shared" si="6"/>
        <v>0</v>
      </c>
      <c r="AJ42" s="440">
        <f t="shared" si="7"/>
        <v>0</v>
      </c>
      <c r="AK42" s="441">
        <f t="shared" si="8"/>
        <v>0</v>
      </c>
      <c r="AL42" s="442">
        <f t="shared" si="9"/>
        <v>0</v>
      </c>
      <c r="AM42" s="443">
        <f t="shared" si="10"/>
        <v>0</v>
      </c>
      <c r="AN42" s="444">
        <f t="shared" si="11"/>
        <v>0</v>
      </c>
      <c r="AO42" s="11"/>
    </row>
    <row r="43" spans="1:41" x14ac:dyDescent="0.35">
      <c r="A43" s="61" t="str">
        <f>IF(_epmOfflineCondition_,"Evdre:Ok",_xll.EVDRE($B$1,A46:B53,A56:B62))</f>
        <v>Evdre:Ok</v>
      </c>
      <c r="B43" s="11"/>
      <c r="C43" s="11"/>
      <c r="D43" s="11"/>
      <c r="E43" s="11"/>
      <c r="F43" s="11"/>
      <c r="G43" s="11"/>
      <c r="H43" s="185" t="s">
        <v>376</v>
      </c>
      <c r="I43" s="122" t="str">
        <f>IF(_epmOfflineCondition_,"N",_xll.EVPRO($B$1,$H43,"STYLE"))</f>
        <v>N</v>
      </c>
      <c r="J43" s="122" t="str">
        <f>IF(_epmOfflineCondition_,"N",_xll.EVPRO($B$1,$H43,"CALC"))</f>
        <v>N</v>
      </c>
      <c r="K43" s="179" t="str">
        <f t="shared" si="0"/>
        <v/>
      </c>
      <c r="L43" s="90" t="str">
        <f>IF(_epmOfflineCondition_,"420990",_xll.EVPRO($B$1,H43,"JDEID"))</f>
        <v>420990</v>
      </c>
      <c r="M43" s="90" t="str">
        <f>IF(_epmOfflineCondition_,"200529",IF(AND(I43="N",J43="N"),_xll.EVPRO($B$1,H43,"PSFTID"),""))</f>
        <v>200529</v>
      </c>
      <c r="N43" s="90" t="str">
        <f>IF(_epmOfflineCondition_,"Spa: Allowances",IF(_xll.EVDES(H43,$B$1)="#NODATA","",_xll.EVDES(H43,$B$1)))</f>
        <v>Spa: Allowances</v>
      </c>
      <c r="O43" s="217"/>
      <c r="P43" s="217"/>
      <c r="Q43" s="217"/>
      <c r="R43" s="217"/>
      <c r="S43" s="217"/>
      <c r="T43" s="217"/>
      <c r="U43" s="217"/>
      <c r="V43" s="217"/>
      <c r="W43" s="217"/>
      <c r="X43" s="217"/>
      <c r="Y43" s="217"/>
      <c r="Z43" s="217"/>
      <c r="AA43" s="251">
        <f t="shared" si="1"/>
        <v>0</v>
      </c>
      <c r="AB43" s="219" t="str">
        <f t="shared" si="2"/>
        <v/>
      </c>
      <c r="AC43" s="140"/>
      <c r="AD43" s="217"/>
      <c r="AE43" s="219" t="str">
        <f t="shared" si="3"/>
        <v/>
      </c>
      <c r="AF43" s="220">
        <f t="shared" si="4"/>
        <v>0</v>
      </c>
      <c r="AG43" s="217"/>
      <c r="AH43" s="219" t="str">
        <f t="shared" si="5"/>
        <v/>
      </c>
      <c r="AI43" s="220">
        <f t="shared" si="6"/>
        <v>0</v>
      </c>
      <c r="AJ43" s="449">
        <f t="shared" si="7"/>
        <v>0</v>
      </c>
      <c r="AK43" s="450">
        <f t="shared" si="8"/>
        <v>0</v>
      </c>
      <c r="AL43" s="451">
        <f t="shared" si="9"/>
        <v>0</v>
      </c>
      <c r="AM43" s="452">
        <f t="shared" si="10"/>
        <v>0</v>
      </c>
      <c r="AN43" s="453">
        <f t="shared" si="11"/>
        <v>0</v>
      </c>
      <c r="AO43" s="11"/>
    </row>
    <row r="44" spans="1:41" x14ac:dyDescent="0.35">
      <c r="A44" s="11"/>
      <c r="B44" s="11"/>
      <c r="C44" s="11"/>
      <c r="D44" s="11"/>
      <c r="E44" s="11"/>
      <c r="F44" s="11"/>
      <c r="G44" s="11"/>
      <c r="H44" s="88" t="s">
        <v>280</v>
      </c>
      <c r="I44" s="188" t="str">
        <f>IF(_epmOfflineCondition_,"T3",_xll.EVPRO($B$1,$H44,"STYLE"))</f>
        <v>T3</v>
      </c>
      <c r="J44" s="188" t="str">
        <f>IF(_epmOfflineCondition_,"Y",_xll.EVPRO($B$1,$H44,"CALC"))</f>
        <v>Y</v>
      </c>
      <c r="K44" s="189" t="str">
        <f t="shared" si="0"/>
        <v/>
      </c>
      <c r="L44" s="190" t="str">
        <f>IF(_epmOfflineCondition_,"400000",_xll.EVPRO($B$1,H44,"JDEID"))</f>
        <v>400000</v>
      </c>
      <c r="M44" s="190" t="str">
        <f>IF(_epmOfflineCondition_,"",IF(AND(I44="N",J44="N"),_xll.EVPRO($B$1,H44,"PSFTID"),""))</f>
        <v/>
      </c>
      <c r="N44" s="190" t="str">
        <f>IF(_epmOfflineCondition_,"Total Revenue",IF(_xll.EVDES(H44,$B$1)="#NODATA","",_xll.EVDES(H44,$B$1)))</f>
        <v>Total Revenue</v>
      </c>
      <c r="O44" s="225"/>
      <c r="P44" s="225"/>
      <c r="Q44" s="225"/>
      <c r="R44" s="225"/>
      <c r="S44" s="225"/>
      <c r="T44" s="225"/>
      <c r="U44" s="225"/>
      <c r="V44" s="225"/>
      <c r="W44" s="225"/>
      <c r="X44" s="225"/>
      <c r="Y44" s="225"/>
      <c r="Z44" s="225"/>
      <c r="AA44" s="225">
        <f t="shared" si="1"/>
        <v>0</v>
      </c>
      <c r="AB44" s="226" t="str">
        <f t="shared" si="2"/>
        <v/>
      </c>
      <c r="AC44" s="227"/>
      <c r="AD44" s="225"/>
      <c r="AE44" s="226" t="str">
        <f t="shared" si="3"/>
        <v/>
      </c>
      <c r="AF44" s="228">
        <f t="shared" si="4"/>
        <v>0</v>
      </c>
      <c r="AG44" s="225">
        <v>0</v>
      </c>
      <c r="AH44" s="226" t="str">
        <f t="shared" si="5"/>
        <v/>
      </c>
      <c r="AI44" s="228">
        <f t="shared" si="6"/>
        <v>0</v>
      </c>
      <c r="AJ44" s="229">
        <f t="shared" si="7"/>
        <v>0</v>
      </c>
      <c r="AK44" s="230">
        <f t="shared" si="8"/>
        <v>0</v>
      </c>
      <c r="AL44" s="232">
        <f t="shared" si="9"/>
        <v>0</v>
      </c>
      <c r="AM44" s="427">
        <f t="shared" si="10"/>
        <v>0</v>
      </c>
      <c r="AN44" s="456">
        <f t="shared" si="11"/>
        <v>0</v>
      </c>
      <c r="AO44" s="11"/>
    </row>
    <row r="45" spans="1:41" x14ac:dyDescent="0.35">
      <c r="A45" s="62" t="s">
        <v>0</v>
      </c>
      <c r="B45" s="63" t="s">
        <v>1</v>
      </c>
      <c r="C45" s="11"/>
      <c r="D45" s="11"/>
      <c r="E45" s="11"/>
      <c r="F45" s="11"/>
      <c r="G45" s="11"/>
      <c r="H45" s="11"/>
      <c r="I45" s="59"/>
      <c r="J45" s="59"/>
      <c r="K45" s="11"/>
      <c r="L45" s="11"/>
      <c r="M45" s="11"/>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65" t="s">
        <v>2</v>
      </c>
      <c r="B46" s="66" t="str">
        <f>IF(_epmOfflineCondition_,"'HC_SPA'!$B$2:$B$10",_xll.EVRNG($B$2:$B$10))</f>
        <v>'HC_SPA'!$B$2:$B$10</v>
      </c>
      <c r="C46" s="11"/>
      <c r="D46" s="11"/>
      <c r="E46" s="11"/>
      <c r="F46" s="11"/>
      <c r="G46" s="11"/>
      <c r="H46" s="11" t="s">
        <v>281</v>
      </c>
      <c r="I46" s="59" t="str">
        <f>IF(_epmOfflineCondition_,"B1",_xll.EVPRO($B$1,$H46,"STYLE"))</f>
        <v>B1</v>
      </c>
      <c r="J46" s="59" t="str">
        <f>IF(_epmOfflineCondition_,"Y",_xll.EVPRO($B$1,$H46,"CALC"))</f>
        <v>Y</v>
      </c>
      <c r="K46" s="11"/>
      <c r="L46" s="11"/>
      <c r="M46" s="11"/>
      <c r="N46" s="105" t="str">
        <f>IF(_epmOfflineCondition_,"Cost of Sales",IF(_xll.EVDES(H46,$B$1)="#NODATA","",_xll.EVDES(H46,$B$1)))</f>
        <v>Cost of Sales</v>
      </c>
      <c r="O46" s="203"/>
      <c r="P46" s="204"/>
      <c r="Q46" s="204"/>
      <c r="R46" s="204"/>
      <c r="S46" s="204"/>
      <c r="T46" s="204"/>
      <c r="U46" s="204"/>
      <c r="V46" s="204"/>
      <c r="W46" s="204"/>
      <c r="X46" s="204"/>
      <c r="Y46" s="204"/>
      <c r="Z46" s="204"/>
      <c r="AA46" s="204"/>
      <c r="AB46" s="118"/>
      <c r="AC46" s="11"/>
      <c r="AD46" s="203"/>
      <c r="AE46" s="204"/>
      <c r="AF46" s="118"/>
      <c r="AG46" s="203"/>
      <c r="AH46" s="204"/>
      <c r="AI46" s="118"/>
      <c r="AJ46" s="11"/>
      <c r="AK46" s="11"/>
      <c r="AL46" s="11"/>
      <c r="AM46" s="11"/>
      <c r="AN46" s="11"/>
      <c r="AO46" s="11"/>
    </row>
    <row r="47" spans="1:41" x14ac:dyDescent="0.35">
      <c r="A47" s="65" t="s">
        <v>3</v>
      </c>
      <c r="B47" s="66" t="str">
        <f>IF(_epmOfflineCondition_,"'HC_SPA'!$O$16:$AN$18",_xll.EVRNG($O$16:$AN$18))</f>
        <v>'HC_SPA'!$O$16:$AN$18</v>
      </c>
      <c r="C47" s="11"/>
      <c r="D47" s="11"/>
      <c r="E47" s="11"/>
      <c r="F47" s="11"/>
      <c r="G47" s="11"/>
      <c r="H47" s="88" t="s">
        <v>377</v>
      </c>
      <c r="I47" s="122" t="str">
        <f>IF(_epmOfflineCondition_,"N",_xll.EVPRO($B$1,$H47,"STYLE"))</f>
        <v>N</v>
      </c>
      <c r="J47" s="122" t="str">
        <f>IF(_epmOfflineCondition_,"N",_xll.EVPRO($B$1,$H47,"CALC"))</f>
        <v>N</v>
      </c>
      <c r="K47" s="179" t="str">
        <f>IF(AND(I47&gt;="T5"),"&gt;","")</f>
        <v/>
      </c>
      <c r="L47" s="90" t="str">
        <f>IF(_epmOfflineCondition_,"520600",_xll.EVPRO($B$1,H47,"JDEID"))</f>
        <v>520600</v>
      </c>
      <c r="M47" s="90" t="str">
        <f>IF(_epmOfflineCondition_,"300030",IF(AND(I47="N",J47="N"),_xll.EVPRO($B$1,H47,"PSFTID"),""))</f>
        <v>300030</v>
      </c>
      <c r="N47" s="90" t="str">
        <f>IF(_epmOfflineCondition_,"Merchandise Cost Of Sales",IF(_xll.EVDES(H47,$B$1)="#NODATA","",_xll.EVDES(H47,$B$1)))</f>
        <v>Merchandise Cost Of Sales</v>
      </c>
      <c r="O47" s="143"/>
      <c r="P47" s="143"/>
      <c r="Q47" s="143"/>
      <c r="R47" s="143"/>
      <c r="S47" s="143"/>
      <c r="T47" s="143"/>
      <c r="U47" s="143"/>
      <c r="V47" s="143"/>
      <c r="W47" s="143"/>
      <c r="X47" s="143"/>
      <c r="Y47" s="143"/>
      <c r="Z47" s="143"/>
      <c r="AA47" s="143">
        <f>IF($I47="B1","",SUM(O47:Z47))</f>
        <v>0</v>
      </c>
      <c r="AB47" s="144" t="str">
        <f>IF(_epmOfflineCondition_,"",IF(AA47=0,"",IFERROR(AA47/_xll.EVGTS($B$1,1,_xll.EVPRO($B$1,$H47,"COSBASIS"),$B$3,$B$5,$B$6,$B$7,$B$9,AA$16,AA$17,AA$11),"")))</f>
        <v/>
      </c>
      <c r="AC47" s="140"/>
      <c r="AD47" s="143"/>
      <c r="AE47" s="144" t="str">
        <f>IF(_epmOfflineCondition_,"",IF(AD47=0,"",IFERROR(AD47/_xll.EVGTS($B$1,1,_xll.EVPRO($B$1,$H47,"COSBASIS"),$B$3,$B$5,$B$6,$B$7,$B$9,AD$16,AD$17,AD$18),"")))</f>
        <v/>
      </c>
      <c r="AF47" s="145">
        <f>IF(AND($AA47="",AD47=""),"",$AA47-AD47)</f>
        <v>0</v>
      </c>
      <c r="AG47" s="143"/>
      <c r="AH47" s="144" t="str">
        <f>IF(_epmOfflineCondition_,"",IF(AG47=0,"",IFERROR(AG47/_xll.EVGTS($B$1,1,_xll.EVPRO($B$1,$H47,"COSBASIS"),$B$3,$B$5,$B$6,$B$7,$B$9,AG$16,AG$17,AG$18),"")))</f>
        <v/>
      </c>
      <c r="AI47" s="145">
        <f>IF(AND($AA47="",AG47=""),"",$AA47-AG47)</f>
        <v>0</v>
      </c>
      <c r="AJ47" s="440">
        <f>IFERROR(AA47/AA$20,0)</f>
        <v>0</v>
      </c>
      <c r="AK47" s="441">
        <f>IFERROR(AD47/AD$20,0)</f>
        <v>0</v>
      </c>
      <c r="AL47" s="442">
        <f>IFERROR(AG47/AG$20,0)</f>
        <v>0</v>
      </c>
      <c r="AM47" s="443">
        <f>+IFERROR(ROUND(($AB47-AE47)*100,2)&amp;" pts.",0)</f>
        <v>0</v>
      </c>
      <c r="AN47" s="444">
        <f>+IFERROR(ROUND(($AB47-AH47)*100,2)&amp;" pts.",0)</f>
        <v>0</v>
      </c>
      <c r="AO47" s="11"/>
    </row>
    <row r="48" spans="1:41" x14ac:dyDescent="0.35">
      <c r="A48" s="65" t="s">
        <v>4</v>
      </c>
      <c r="B48" s="66" t="str">
        <f>IF(_epmOfflineCondition_,"'HC_SPA'!$H$47:$H$49",_xll.EVRNG(H47:H49))</f>
        <v>'HC_SPA'!$H$47:$H$49</v>
      </c>
      <c r="C48" s="11"/>
      <c r="D48" s="11"/>
      <c r="E48" s="11"/>
      <c r="F48" s="11"/>
      <c r="G48" s="11"/>
      <c r="H48" s="185" t="s">
        <v>378</v>
      </c>
      <c r="I48" s="122" t="str">
        <f>IF(_epmOfflineCondition_,"N",_xll.EVPRO($B$1,$H48,"STYLE"))</f>
        <v>N</v>
      </c>
      <c r="J48" s="122" t="str">
        <f>IF(_epmOfflineCondition_,"N",_xll.EVPRO($B$1,$H48,"CALC"))</f>
        <v>N</v>
      </c>
      <c r="K48" s="179" t="str">
        <f>IF(AND(I48&gt;="T5"),"&gt;","")</f>
        <v/>
      </c>
      <c r="L48" s="90" t="str">
        <f>IF(_epmOfflineCondition_,"520650",_xll.EVPRO($B$1,H48,"JDEID"))</f>
        <v>520650</v>
      </c>
      <c r="M48" s="90" t="str">
        <f>IF(_epmOfflineCondition_,"305023",IF(AND(I48="N",J48="N"),_xll.EVPRO($B$1,H48,"PSFTID"),""))</f>
        <v>305023</v>
      </c>
      <c r="N48" s="90" t="str">
        <f>IF(_epmOfflineCondition_,"Clothing Cost Of Sales",IF(_xll.EVDES(H48,$B$1)="#NODATA","",_xll.EVDES(H48,$B$1)))</f>
        <v>Clothing Cost Of Sales</v>
      </c>
      <c r="O48" s="217"/>
      <c r="P48" s="217"/>
      <c r="Q48" s="217"/>
      <c r="R48" s="217"/>
      <c r="S48" s="217"/>
      <c r="T48" s="217"/>
      <c r="U48" s="217"/>
      <c r="V48" s="217"/>
      <c r="W48" s="217"/>
      <c r="X48" s="217"/>
      <c r="Y48" s="217"/>
      <c r="Z48" s="217"/>
      <c r="AA48" s="217">
        <f>IF($I48="B1","",SUM(O48:Z48))</f>
        <v>0</v>
      </c>
      <c r="AB48" s="219" t="str">
        <f>IF(_epmOfflineCondition_,"",IF(AA48=0,"",IFERROR(AA48/_xll.EVGTS($B$1,1,_xll.EVPRO($B$1,$H48,"COSBASIS"),$B$3,$B$5,$B$6,$B$7,$B$9,AA$16,AA$17,AA$11),"")))</f>
        <v/>
      </c>
      <c r="AC48" s="140"/>
      <c r="AD48" s="217"/>
      <c r="AE48" s="219" t="str">
        <f>IF(_epmOfflineCondition_,"",IF(AD48=0,"",IFERROR(AD48/_xll.EVGTS($B$1,1,_xll.EVPRO($B$1,$H48,"COSBASIS"),$B$3,$B$5,$B$6,$B$7,$B$9,AD$16,AD$17,AD$18),"")))</f>
        <v/>
      </c>
      <c r="AF48" s="220">
        <f>IF(AND($AA48="",AD48=""),"",$AA48-AD48)</f>
        <v>0</v>
      </c>
      <c r="AG48" s="217"/>
      <c r="AH48" s="219" t="str">
        <f>IF(_epmOfflineCondition_,"",IF(AG48=0,"",IFERROR(AG48/_xll.EVGTS($B$1,1,_xll.EVPRO($B$1,$H48,"COSBASIS"),$B$3,$B$5,$B$6,$B$7,$B$9,AG$16,AG$17,AG$18),"")))</f>
        <v/>
      </c>
      <c r="AI48" s="220">
        <f>IF(AND($AA48="",AG48=""),"",$AA48-AG48)</f>
        <v>0</v>
      </c>
      <c r="AJ48" s="449">
        <f>IFERROR(AA48/AA$20,0)</f>
        <v>0</v>
      </c>
      <c r="AK48" s="450">
        <f>IFERROR(AD48/AD$20,0)</f>
        <v>0</v>
      </c>
      <c r="AL48" s="451">
        <f>IFERROR(AG48/AG$20,0)</f>
        <v>0</v>
      </c>
      <c r="AM48" s="452">
        <f>+IFERROR(ROUND(($AB48-AE48)*100,2)&amp;" pts.",0)</f>
        <v>0</v>
      </c>
      <c r="AN48" s="453">
        <f>+IFERROR(ROUND(($AB48-AH48)*100,2)&amp;" pts.",0)</f>
        <v>0</v>
      </c>
      <c r="AO48" s="11"/>
    </row>
    <row r="49" spans="1:41" x14ac:dyDescent="0.35">
      <c r="A49" s="65" t="s">
        <v>5</v>
      </c>
      <c r="B49" s="66"/>
      <c r="C49" s="11"/>
      <c r="D49" s="11"/>
      <c r="E49" s="11"/>
      <c r="F49" s="384"/>
      <c r="G49" s="11"/>
      <c r="H49" s="185" t="s">
        <v>379</v>
      </c>
      <c r="I49" s="188" t="str">
        <f>IF(_epmOfflineCondition_,"T4",_xll.EVPRO($B$1,$H49,"STYLE"))</f>
        <v>T4</v>
      </c>
      <c r="J49" s="188" t="str">
        <f>IF(_epmOfflineCondition_,"Y",_xll.EVPRO($B$1,$H49,"CALC"))</f>
        <v>Y</v>
      </c>
      <c r="K49" s="189" t="str">
        <f>IF(AND(I49&gt;="T5"),"&gt;","")</f>
        <v/>
      </c>
      <c r="L49" s="190" t="str">
        <f>IF(_epmOfflineCondition_,"",_xll.EVPRO($B$1,H49,"JDEID"))</f>
        <v/>
      </c>
      <c r="M49" s="190" t="str">
        <f>IF(_epmOfflineCondition_,"",IF(AND(I49="N",J49="N"),_xll.EVPRO($B$1,H49,"PSFTID"),""))</f>
        <v/>
      </c>
      <c r="N49" s="190" t="str">
        <f>IF(_epmOfflineCondition_,"Total Retail HC/ Spa Cost of Sales",IF(_xll.EVDES(H49,$B$1)="#NODATA","",_xll.EVDES(H49,$B$1)))</f>
        <v>Total Retail HC/ Spa Cost of Sales</v>
      </c>
      <c r="O49" s="225"/>
      <c r="P49" s="225"/>
      <c r="Q49" s="225"/>
      <c r="R49" s="225"/>
      <c r="S49" s="225"/>
      <c r="T49" s="225"/>
      <c r="U49" s="225"/>
      <c r="V49" s="225"/>
      <c r="W49" s="225"/>
      <c r="X49" s="225"/>
      <c r="Y49" s="225"/>
      <c r="Z49" s="225"/>
      <c r="AA49" s="225">
        <f>IF($I49="B1","",SUM(O49:Z49))</f>
        <v>0</v>
      </c>
      <c r="AB49" s="226" t="str">
        <f>IF(_epmOfflineCondition_,"",IF(AA49=0,"",IFERROR(AA49/_xll.EVGTS($B$1,1,_xll.EVPRO($B$1,$H49,"COSBASIS"),$B$3,$B$5,$B$6,$B$7,$B$9,AA$16,AA$17,AA$11),"")))</f>
        <v/>
      </c>
      <c r="AC49" s="227"/>
      <c r="AD49" s="225"/>
      <c r="AE49" s="226" t="str">
        <f>IF(_epmOfflineCondition_,"",IF(AD49=0,"",IFERROR(AD49/_xll.EVGTS($B$1,1,_xll.EVPRO($B$1,$H49,"COSBASIS"),$B$3,$B$5,$B$6,$B$7,$B$9,AD$16,AD$17,AD$18),"")))</f>
        <v/>
      </c>
      <c r="AF49" s="228">
        <f>IF(AND($AA49="",AD49=""),"",$AA49-AD49)</f>
        <v>0</v>
      </c>
      <c r="AG49" s="225"/>
      <c r="AH49" s="226" t="str">
        <f>IF(_epmOfflineCondition_,"",IF(AG49=0,"",IFERROR(AG49/_xll.EVGTS($B$1,1,_xll.EVPRO($B$1,$H49,"COSBASIS"),$B$3,$B$5,$B$6,$B$7,$B$9,AG$16,AG$17,AG$18),"")))</f>
        <v/>
      </c>
      <c r="AI49" s="228">
        <f>IF(AND($AA49="",AG49=""),"",$AA49-AG49)</f>
        <v>0</v>
      </c>
      <c r="AJ49" s="229">
        <f>IFERROR(AA49/AA$20,0)</f>
        <v>0</v>
      </c>
      <c r="AK49" s="230">
        <f>IFERROR(AD49/AD$20,0)</f>
        <v>0</v>
      </c>
      <c r="AL49" s="232">
        <f>IFERROR(AG49/AG$20,0)</f>
        <v>0</v>
      </c>
      <c r="AM49" s="427">
        <f>+IFERROR(ROUND(($AB49-AE49)*100,2)&amp;" pts.",0)</f>
        <v>0</v>
      </c>
      <c r="AN49" s="456">
        <f>+IFERROR(ROUND(($AB49-AH49)*100,2)&amp;" pts.",0)</f>
        <v>0</v>
      </c>
      <c r="AO49" s="11"/>
    </row>
    <row r="50" spans="1:41" x14ac:dyDescent="0.35">
      <c r="A50" s="65" t="s">
        <v>6</v>
      </c>
      <c r="B50" s="66"/>
      <c r="C50" s="11"/>
      <c r="D50" s="11"/>
      <c r="E50" s="11"/>
      <c r="F50" s="384"/>
      <c r="G50" s="11"/>
      <c r="H50" s="185" t="s">
        <v>175</v>
      </c>
      <c r="I50" s="89" t="str">
        <f>IF(_epmOfflineCondition_,"B1",_xll.EVPRO($B$1,$H50,"STYLE"))</f>
        <v>B1</v>
      </c>
      <c r="J50" s="89" t="str">
        <f>IF(_epmOfflineCondition_,"Y",_xll.EVPRO($B$1,$H50,"CALC"))</f>
        <v>Y</v>
      </c>
      <c r="K50" s="265" t="str">
        <f>IF(AND(I50&gt;="T5"),"&gt;","")</f>
        <v/>
      </c>
      <c r="L50" s="265"/>
      <c r="M50" s="265"/>
      <c r="N50" s="106" t="str">
        <f>IF(_epmOfflineCondition_,"BLANKROW",IF(_xll.EVDES(H50,$B$1)="#NODATA","",_xll.EVDES(H50,$B$1)))</f>
        <v>BLANKROW</v>
      </c>
      <c r="O50" s="205"/>
      <c r="P50" s="205"/>
      <c r="Q50" s="205"/>
      <c r="R50" s="205"/>
      <c r="S50" s="205"/>
      <c r="T50" s="205"/>
      <c r="U50" s="205"/>
      <c r="V50" s="205"/>
      <c r="W50" s="205"/>
      <c r="X50" s="205"/>
      <c r="Y50" s="205"/>
      <c r="Z50" s="205"/>
      <c r="AA50" s="205" t="str">
        <f>IF($I50="B1","",SUM(O50:Z50))</f>
        <v/>
      </c>
      <c r="AB50" s="206" t="str">
        <f>IF(_epmOfflineCondition_,"",IF(O50=0,"",IFERROR(O50/_xll.EVGTS($B$1,1,INDEX($C$143:$C$166,MATCH($H50,$A$143:$A$166,0)),$B$3,$B$5,$B$6,$B$7,$B$9,O$16,O$17,O$18),"")))</f>
        <v/>
      </c>
      <c r="AC50" s="11"/>
      <c r="AD50" s="205"/>
      <c r="AE50" s="206" t="str">
        <f>IF(_epmOfflineCondition_,"",IF(AD50=0,"",IFERROR(AD50/_xll.EVGTS($B$1,1,INDEX($C$143:$C$166,MATCH($H50,$A$143:$A$166,0)),$B$3,$B$5,$B$6,$B$7,$B$9,AD$16,AD$17,AD$18),"")))</f>
        <v/>
      </c>
      <c r="AF50" s="207" t="str">
        <f>IF(AND($AA50="",AD50=""),"",$AA50-AD50)</f>
        <v/>
      </c>
      <c r="AG50" s="205"/>
      <c r="AH50" s="206" t="str">
        <f>IF(_epmOfflineCondition_,"",IF(AG50=0,"",IFERROR(AG50/_xll.EVGTS($B$1,1,INDEX($C$143:$C$166,MATCH($H50,$A$143:$A$166,0)),$B$3,$B$5,$B$6,$B$7,$B$9,AG$16,AG$17,AG$18),"")))</f>
        <v/>
      </c>
      <c r="AI50" s="207" t="str">
        <f>IF(AND($AA50="",AG50=""),"",$AA50-AG50)</f>
        <v/>
      </c>
      <c r="AJ50" s="200">
        <f>IFERROR(AA50/AA$20,0)</f>
        <v>0</v>
      </c>
      <c r="AK50" s="201">
        <f>IFERROR(AD50/AD$20,0)</f>
        <v>0</v>
      </c>
      <c r="AL50" s="202">
        <f>IFERROR(AG50/AG$20,0)</f>
        <v>0</v>
      </c>
      <c r="AM50" s="392">
        <f>+IFERROR(ROUND(($AB50-AE50)*100,2)&amp;" pts.",0)</f>
        <v>0</v>
      </c>
      <c r="AN50" s="409">
        <f>+IFERROR(ROUND(($AB50-AH50)*100,2)&amp;" pts.",0)</f>
        <v>0</v>
      </c>
      <c r="AO50" s="11"/>
    </row>
    <row r="51" spans="1:41" x14ac:dyDescent="0.35">
      <c r="A51" s="65" t="s">
        <v>7</v>
      </c>
      <c r="B51" s="66" t="str">
        <f>IF(_epmOfflineCondition_,"'HC_SPA'!$A$65:$F$68",_xll.EVRNG(A65:F68))</f>
        <v>'HC_SPA'!$A$65:$F$68</v>
      </c>
      <c r="C51" s="11"/>
      <c r="D51" s="11"/>
      <c r="E51" s="11"/>
      <c r="F51" s="384"/>
      <c r="G51" s="11"/>
      <c r="H51" s="185" t="s">
        <v>292</v>
      </c>
      <c r="I51" s="89" t="str">
        <f>IF(_epmOfflineCondition_,"T3",_xll.EVPRO($B$1,$H51,"STYLE"))</f>
        <v>T3</v>
      </c>
      <c r="J51" s="89" t="str">
        <f>IF(_epmOfflineCondition_,"Y",_xll.EVPRO($B$1,$H51,"CALC"))</f>
        <v>Y</v>
      </c>
      <c r="K51" s="265" t="str">
        <f>IF(AND(I51&gt;="T5"),"&gt;","")</f>
        <v/>
      </c>
      <c r="L51" s="265"/>
      <c r="M51" s="265"/>
      <c r="N51" s="106" t="str">
        <f>IF(_epmOfflineCondition_,"Gross Profit",IF(_xll.EVDES(H51,$B$1)="#NODATA","",_xll.EVDES(H51,$B$1)))</f>
        <v>Gross Profit</v>
      </c>
      <c r="O51" s="123">
        <f t="shared" ref="O51:Z51" si="12">SUMIF($H$34:$H$49,"400000",O34:O49)-SUMIF($H$34:$H$49,"COS_SPARET",O34:O49)</f>
        <v>0</v>
      </c>
      <c r="P51" s="123">
        <f t="shared" si="12"/>
        <v>0</v>
      </c>
      <c r="Q51" s="123">
        <f t="shared" si="12"/>
        <v>0</v>
      </c>
      <c r="R51" s="123">
        <f t="shared" si="12"/>
        <v>0</v>
      </c>
      <c r="S51" s="123">
        <f t="shared" si="12"/>
        <v>0</v>
      </c>
      <c r="T51" s="123">
        <f t="shared" si="12"/>
        <v>0</v>
      </c>
      <c r="U51" s="123">
        <f t="shared" si="12"/>
        <v>0</v>
      </c>
      <c r="V51" s="123">
        <f t="shared" si="12"/>
        <v>0</v>
      </c>
      <c r="W51" s="123">
        <f t="shared" si="12"/>
        <v>0</v>
      </c>
      <c r="X51" s="123">
        <f t="shared" si="12"/>
        <v>0</v>
      </c>
      <c r="Y51" s="123">
        <f t="shared" si="12"/>
        <v>0</v>
      </c>
      <c r="Z51" s="123">
        <f t="shared" si="12"/>
        <v>0</v>
      </c>
      <c r="AA51" s="191">
        <f>IF($I51="B1","",SUM(O51:Z51))</f>
        <v>0</v>
      </c>
      <c r="AB51" s="192" t="str">
        <f>IF(AA51=0,"",IFERROR(AA51/AA$19,""))</f>
        <v/>
      </c>
      <c r="AC51" s="11"/>
      <c r="AD51" s="123">
        <f>SUMIF($H$34:$H$49,"400000",AD34:AD49)-SUMIF($H$34:$H$49,"COS_SPARET",AD34:AD49)</f>
        <v>0</v>
      </c>
      <c r="AE51" s="192" t="str">
        <f>IF(AD51=0,"",IFERROR(AD51/AD$19,""))</f>
        <v/>
      </c>
      <c r="AF51" s="125">
        <f>IF(AND($AA51="",AD51=""),"",$AA51-AD51)</f>
        <v>0</v>
      </c>
      <c r="AG51" s="123">
        <f>SUMIF($H$34:$H$49,"400000",AG34:AG49)-SUMIF($H$34:$H$49,"COS_SPARET",AG34:AG49)</f>
        <v>0</v>
      </c>
      <c r="AH51" s="192" t="str">
        <f>IF(AG51=0,"",IFERROR(AG51/AG$19,""))</f>
        <v/>
      </c>
      <c r="AI51" s="125">
        <f>IF(AND($AA51="",AG51=""),"",$AA51-AG51)</f>
        <v>0</v>
      </c>
      <c r="AJ51" s="193">
        <f>IFERROR(AA51/AA$20,0)</f>
        <v>0</v>
      </c>
      <c r="AK51" s="194">
        <f>IFERROR(AD51/AD$20,0)</f>
        <v>0</v>
      </c>
      <c r="AL51" s="195">
        <f>IFERROR(AG51/AG$20,0)</f>
        <v>0</v>
      </c>
      <c r="AM51" s="407">
        <f>+IFERROR(ROUND(($AB51-AE51)*100,2)&amp;" pts.",0)</f>
        <v>0</v>
      </c>
      <c r="AN51" s="408">
        <f>+IFERROR(ROUND(($AB51-AH51)*100,2)&amp;" pts.",0)</f>
        <v>0</v>
      </c>
      <c r="AO51" s="11"/>
    </row>
    <row r="52" spans="1:41" x14ac:dyDescent="0.35">
      <c r="A52" s="65" t="s">
        <v>47</v>
      </c>
      <c r="B52" s="66" t="str">
        <f>IF(_epmOfflineCondition_,"'HC_SPA'!$A$116:$B$137",_xll.EVRNG($A$116:$B$137))</f>
        <v>'HC_SPA'!$A$116:$B$137</v>
      </c>
      <c r="C52" s="11"/>
      <c r="D52" s="11"/>
      <c r="E52" s="11"/>
      <c r="F52" s="11"/>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203"/>
      <c r="AE52" s="204"/>
      <c r="AF52" s="118"/>
      <c r="AG52" s="204"/>
      <c r="AH52" s="204"/>
      <c r="AI52" s="118"/>
      <c r="AJ52" s="11"/>
      <c r="AK52" s="11"/>
      <c r="AL52" s="11"/>
      <c r="AM52" s="11"/>
      <c r="AN52" s="11"/>
      <c r="AO52" s="11"/>
    </row>
    <row r="53" spans="1:41" x14ac:dyDescent="0.35">
      <c r="A53" s="65" t="s">
        <v>8</v>
      </c>
      <c r="B53" s="66"/>
      <c r="C53" s="11"/>
      <c r="D53" s="11"/>
      <c r="E53" s="11"/>
      <c r="F53" s="11"/>
      <c r="G53" s="11"/>
      <c r="H53" s="11" t="s">
        <v>73</v>
      </c>
      <c r="I53" s="59" t="str">
        <f>IF(_epmOfflineCondition_,"B1",_xll.EVPRO($B$1,$H53,"STYLE"))</f>
        <v>B1</v>
      </c>
      <c r="J53" s="59" t="str">
        <f>IF(_epmOfflineCondition_,"Y",_xll.EVPRO($B$1,$H53,"CALC"))</f>
        <v>Y</v>
      </c>
      <c r="K53" s="11"/>
      <c r="L53" s="11"/>
      <c r="M53" s="11"/>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35">
      <c r="A54" s="11"/>
      <c r="B54" s="11"/>
      <c r="C54" s="11"/>
      <c r="D54" s="11"/>
      <c r="E54" s="11"/>
      <c r="F54" s="11"/>
      <c r="G54" s="11"/>
      <c r="H54" s="11" t="s">
        <v>74</v>
      </c>
      <c r="I54" s="59" t="str">
        <f>IF(_epmOfflineCondition_,"B1",_xll.EVPRO($B$1,$H54,"STYLE"))</f>
        <v>B1</v>
      </c>
      <c r="J54" s="59" t="str">
        <f>IF(_epmOfflineCondition_,"Y",_xll.EVPRO($B$1,$H54,"CALC"))</f>
        <v>Y</v>
      </c>
      <c r="K54" s="11"/>
      <c r="L54" s="11"/>
      <c r="M54" s="11"/>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20"/>
      <c r="AH54" s="120"/>
      <c r="AI54" s="121"/>
      <c r="AJ54" s="11"/>
      <c r="AK54" s="11"/>
      <c r="AL54" s="11"/>
      <c r="AM54" s="11"/>
      <c r="AN54" s="11"/>
      <c r="AO54" s="11"/>
    </row>
    <row r="55" spans="1:41" hidden="1" x14ac:dyDescent="0.35">
      <c r="A55" s="62" t="s">
        <v>9</v>
      </c>
      <c r="B55" s="63" t="s">
        <v>10</v>
      </c>
      <c r="C55" s="11"/>
      <c r="D55" s="11"/>
      <c r="E55" s="11"/>
      <c r="F55" s="11"/>
      <c r="G55" s="11"/>
      <c r="H55" s="88" t="s">
        <v>667</v>
      </c>
      <c r="I55" s="122" t="str">
        <f>IF(_epmOfflineCondition_,"",_xll.EVPRO($B$1,$H55,"STYLE"))</f>
        <v/>
      </c>
      <c r="J55" s="122" t="str">
        <f>IF(_epmOfflineCondition_,"",_xll.EVPRO($B$1,$H55,"CALC"))</f>
        <v/>
      </c>
      <c r="K55" s="179" t="str">
        <f>IF(AND(I55&gt;="T3"),"&gt;","")</f>
        <v/>
      </c>
      <c r="L55" s="90" t="str">
        <f>IF(_epmOfflineCondition_,"",_xll.EVPRO($B$1,H55,"JDEID"))</f>
        <v/>
      </c>
      <c r="M55" s="90" t="str">
        <f>IF(_epmOfflineCondition_,"",IF(AND(I55="N",J55="N"),_xll.EVPRO($B$1,H55,"PSFTID"),""))</f>
        <v/>
      </c>
      <c r="N55" s="90" t="str">
        <f>IF(_epmOfflineCondition_,"",IF(_xll.EVDES(H55,$B$1)="#NODATA","",_xll.EVDES(H55,$B$1)))</f>
        <v/>
      </c>
      <c r="O55" s="210"/>
      <c r="P55" s="210"/>
      <c r="Q55" s="210"/>
      <c r="R55" s="210"/>
      <c r="S55" s="210"/>
      <c r="T55" s="210"/>
      <c r="U55" s="210"/>
      <c r="V55" s="210"/>
      <c r="W55" s="210"/>
      <c r="X55" s="210"/>
      <c r="Y55" s="210"/>
      <c r="Z55" s="210"/>
      <c r="AA55" s="210">
        <f>IF($I55="B1","",SUM(O55:Z55))</f>
        <v>0</v>
      </c>
      <c r="AB55" s="211" t="str">
        <f>IF(AA55=0,"",IFERROR(AA55/AA$19,""))</f>
        <v/>
      </c>
      <c r="AC55" s="140"/>
      <c r="AD55" s="210"/>
      <c r="AE55" s="211" t="str">
        <f>IF(AD55=0,"",IFERROR(AD55/AD$19,""))</f>
        <v/>
      </c>
      <c r="AF55" s="253">
        <f>IF(AND($AA55="",AD55=""),"",$AA55-AD55)</f>
        <v>0</v>
      </c>
      <c r="AG55" s="210"/>
      <c r="AH55" s="211" t="str">
        <f>IF(AG55=0,"",IFERROR(AG55/AG$19,""))</f>
        <v/>
      </c>
      <c r="AI55" s="253">
        <f>IF(AND($AA55="",AG55=""),"",$AA55-AG55)</f>
        <v>0</v>
      </c>
      <c r="AJ55" s="440">
        <f>IFERROR(AA55/AA$20,0)</f>
        <v>0</v>
      </c>
      <c r="AK55" s="441">
        <f>IFERROR(AD55/AD$20,0)</f>
        <v>0</v>
      </c>
      <c r="AL55" s="442">
        <f>IFERROR(AG55/AG$20,0)</f>
        <v>0</v>
      </c>
      <c r="AM55" s="443">
        <f>+IFERROR(ROUND(($AB55-AE55)*100,2)&amp;" pts.",0)</f>
        <v>0</v>
      </c>
      <c r="AN55" s="444">
        <f>+IFERROR(ROUND(($AB55-AH55)*100,2)&amp;" pts.",0)</f>
        <v>0</v>
      </c>
      <c r="AO55" s="11"/>
    </row>
    <row r="56" spans="1:41" hidden="1" x14ac:dyDescent="0.35">
      <c r="A56" s="65" t="s">
        <v>11</v>
      </c>
      <c r="B56" s="66" t="s">
        <v>21</v>
      </c>
      <c r="C56" s="11"/>
      <c r="D56" s="11"/>
      <c r="E56" s="11"/>
      <c r="F56" s="11"/>
      <c r="G56" s="76"/>
      <c r="H56" s="88"/>
      <c r="I56" s="122" t="str">
        <f>IF(_epmOfflineCondition_,"",_xll.EVPRO($B$1,$H56,"STYLE"))</f>
        <v/>
      </c>
      <c r="J56" s="122" t="str">
        <f>IF(_epmOfflineCondition_,"",_xll.EVPRO($B$1,$H56,"CALC"))</f>
        <v/>
      </c>
      <c r="K56" s="179" t="str">
        <f>IF(AND(I56&gt;="T3"),"&gt;","")</f>
        <v/>
      </c>
      <c r="L56" s="90" t="str">
        <f>IF(_epmOfflineCondition_,"",_xll.EVPRO($B$1,H56,"JDEID"))</f>
        <v/>
      </c>
      <c r="M56" s="90" t="str">
        <f>IF(_epmOfflineCondition_,"",IF(AND(I56="N",J56="N"),_xll.EVPRO($B$1,H56,"PSFTID"),""))</f>
        <v/>
      </c>
      <c r="N56" s="90" t="str">
        <f>IF(_epmOfflineCondition_,"",IF(_xll.EVDES(H56,$B$1)="#NODATA","",_xll.EVDES(H56,$B$1)))</f>
        <v/>
      </c>
      <c r="O56" s="210"/>
      <c r="P56" s="210"/>
      <c r="Q56" s="210"/>
      <c r="R56" s="210"/>
      <c r="S56" s="210"/>
      <c r="T56" s="210"/>
      <c r="U56" s="210"/>
      <c r="V56" s="210"/>
      <c r="W56" s="210"/>
      <c r="X56" s="210"/>
      <c r="Y56" s="210"/>
      <c r="Z56" s="210"/>
      <c r="AA56" s="210">
        <f>IF($I56="B1","",SUM(O56:Z56))</f>
        <v>0</v>
      </c>
      <c r="AB56" s="211" t="str">
        <f>IF(AA56=0,"",IFERROR(AA56/AA$19,""))</f>
        <v/>
      </c>
      <c r="AC56" s="140"/>
      <c r="AD56" s="210"/>
      <c r="AE56" s="211" t="str">
        <f>IF(AD56=0,"",IFERROR(AD56/AD$19,""))</f>
        <v/>
      </c>
      <c r="AF56" s="253">
        <f>IF(AND($AA56="",AD56=""),"",$AA56-AD56)</f>
        <v>0</v>
      </c>
      <c r="AG56" s="210"/>
      <c r="AH56" s="211" t="str">
        <f>IF(AG56=0,"",IFERROR(AG56/AG$19,""))</f>
        <v/>
      </c>
      <c r="AI56" s="253">
        <f>IF(AND($AA56="",AG56=""),"",$AA56-AG56)</f>
        <v>0</v>
      </c>
      <c r="AJ56" s="440">
        <f>IFERROR(AA56/AA$20,0)</f>
        <v>0</v>
      </c>
      <c r="AK56" s="441">
        <f>IFERROR(AD56/AD$20,0)</f>
        <v>0</v>
      </c>
      <c r="AL56" s="442">
        <f>IFERROR(AG56/AG$20,0)</f>
        <v>0</v>
      </c>
      <c r="AM56" s="443">
        <f>+IFERROR(ROUND(($AB56-AE56)*100,2)&amp;" pts.",0)</f>
        <v>0</v>
      </c>
      <c r="AN56" s="444">
        <f>+IFERROR(ROUND(($AB56-AH56)*100,2)&amp;" pts.",0)</f>
        <v>0</v>
      </c>
      <c r="AO56" s="11"/>
    </row>
    <row r="57" spans="1:41" x14ac:dyDescent="0.35">
      <c r="A57" s="65" t="s">
        <v>12</v>
      </c>
      <c r="B57" s="66" t="s">
        <v>22</v>
      </c>
      <c r="C57" s="11"/>
      <c r="D57" s="11"/>
      <c r="E57" s="11"/>
      <c r="F57" s="11"/>
      <c r="G57" s="11"/>
      <c r="H57" s="88" t="s">
        <v>75</v>
      </c>
      <c r="I57" s="89" t="str">
        <f>IF(_epmOfflineCondition_,"B1",_xll.EVPRO($B$1,$H57,"STYLE"))</f>
        <v>B1</v>
      </c>
      <c r="J57" s="89" t="str">
        <f>IF(_epmOfflineCondition_,"Y",_xll.EVPRO($B$1,$H57,"CALC"))</f>
        <v>Y</v>
      </c>
      <c r="K57" s="265" t="str">
        <f>IF(AND(I57&gt;="T3"),"&gt;","")</f>
        <v/>
      </c>
      <c r="L57" s="106"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197" t="str">
        <f>IF($I57="B1","",SUM(O57:Z57))</f>
        <v/>
      </c>
      <c r="AB57" s="198" t="str">
        <f>IF(AA57=0,"",IFERROR(AA57/AA$19,""))</f>
        <v/>
      </c>
      <c r="AC57" s="11"/>
      <c r="AD57" s="197"/>
      <c r="AE57" s="198" t="str">
        <f>IF(AD57=0,"",IFERROR(AD57/AD$19,""))</f>
        <v/>
      </c>
      <c r="AF57" s="199" t="str">
        <f>IF(AND($AA57="",AD57=""),"",$AA57-AD57)</f>
        <v/>
      </c>
      <c r="AG57" s="197"/>
      <c r="AH57" s="198" t="str">
        <f>IF(AG57=0,"",IFERROR(AG57/AG$19,""))</f>
        <v/>
      </c>
      <c r="AI57" s="199" t="str">
        <f>IF(AND($AA57="",AG57=""),"",$AA57-AG57)</f>
        <v/>
      </c>
      <c r="AJ57" s="397">
        <f>IFERROR(AA57/AA$20,0)</f>
        <v>0</v>
      </c>
      <c r="AK57" s="398">
        <f>IFERROR(AD57/AD$20,0)</f>
        <v>0</v>
      </c>
      <c r="AL57" s="399">
        <f>IFERROR(AG57/AG$20,0)</f>
        <v>0</v>
      </c>
      <c r="AM57" s="400">
        <f>+IFERROR(ROUND(($AB57-AE57)*100,2)&amp;" pts.",0)</f>
        <v>0</v>
      </c>
      <c r="AN57" s="401">
        <f>+IFERROR(ROUND(($AB57-AH57)*100,2)&amp;" pts.",0)</f>
        <v>0</v>
      </c>
      <c r="AO57" s="11"/>
    </row>
    <row r="58" spans="1:41" hidden="1" x14ac:dyDescent="0.35">
      <c r="A58" s="65" t="s">
        <v>13</v>
      </c>
      <c r="B58" s="66" t="str">
        <f>"DEP(COS_SPARET) AND "&amp;$E$6&amp;"=Y,COS_SPARET"</f>
        <v>DEP(COS_SPARET) AND D1132=Y,COS_SPARET</v>
      </c>
      <c r="C58" s="11"/>
      <c r="D58" s="11"/>
      <c r="E58" s="11"/>
      <c r="F58" s="11"/>
      <c r="G58" s="11"/>
      <c r="H58" s="88" t="s">
        <v>667</v>
      </c>
      <c r="I58" s="122" t="str">
        <f>IF(_epmOfflineCondition_,"",_xll.EVPRO($B$1,$H58,"STYLE"))</f>
        <v/>
      </c>
      <c r="J58" s="122" t="str">
        <f>IF(_epmOfflineCondition_,"",_xll.EVPRO($B$1,$H58,"CALC"))</f>
        <v/>
      </c>
      <c r="K58" s="179" t="str">
        <f>IF(AND(I58&gt;="T3"),"&gt;","")</f>
        <v/>
      </c>
      <c r="L58" s="90" t="str">
        <f>IF(_epmOfflineCondition_,"",_xll.EVPRO($B$1,H58,"JDEID"))</f>
        <v/>
      </c>
      <c r="M58" s="90" t="str">
        <f>IF(_epmOfflineCondition_,"",IF(AND(I58="N",J58="N"),_xll.EVPRO($B$1,H58,"PSFTID"),""))</f>
        <v/>
      </c>
      <c r="N58" s="90" t="str">
        <f>IF(_epmOfflineCondition_,"",IF(_xll.EVDES(H58,$B$1)="#NODATA","",_xll.EVDES(H58,$B$1)))</f>
        <v/>
      </c>
      <c r="O58" s="216"/>
      <c r="P58" s="216"/>
      <c r="Q58" s="216"/>
      <c r="R58" s="216"/>
      <c r="S58" s="216"/>
      <c r="T58" s="216"/>
      <c r="U58" s="216"/>
      <c r="V58" s="216"/>
      <c r="W58" s="216"/>
      <c r="X58" s="216"/>
      <c r="Y58" s="216"/>
      <c r="Z58" s="216"/>
      <c r="AA58" s="216">
        <f>IF($I58="B1","",SUM(O58:Z58))</f>
        <v>0</v>
      </c>
      <c r="AB58" s="218" t="str">
        <f>IF(AA58=0,"",IFERROR(AA58/AA$19,""))</f>
        <v/>
      </c>
      <c r="AC58" s="140"/>
      <c r="AD58" s="216"/>
      <c r="AE58" s="218" t="str">
        <f>IF(AD58=0,"",IFERROR(AD58/AD$19,""))</f>
        <v/>
      </c>
      <c r="AF58" s="233">
        <f>IF(AND($AA58="",AD58=""),"",$AA58-AD58)</f>
        <v>0</v>
      </c>
      <c r="AG58" s="216"/>
      <c r="AH58" s="218" t="str">
        <f>IF(AG58=0,"",IFERROR(AG58/AG$19,""))</f>
        <v/>
      </c>
      <c r="AI58" s="233">
        <f>IF(AND($AA58="",AG58=""),"",$AA58-AG58)</f>
        <v>0</v>
      </c>
      <c r="AJ58" s="440">
        <f>IFERROR(AA58/AA$20,0)</f>
        <v>0</v>
      </c>
      <c r="AK58" s="441">
        <f>IFERROR(AD58/AD$20,0)</f>
        <v>0</v>
      </c>
      <c r="AL58" s="442">
        <f>IFERROR(AG58/AG$20,0)</f>
        <v>0</v>
      </c>
      <c r="AM58" s="443">
        <f>+IFERROR(ROUND(($AB58-AE58)*100,2)&amp;" pts.",0)</f>
        <v>0</v>
      </c>
      <c r="AN58" s="444">
        <f>+IFERROR(ROUND(($AB58-AH58)*100,2)&amp;" pts.",0)</f>
        <v>0</v>
      </c>
      <c r="AO58" s="11"/>
    </row>
    <row r="59" spans="1:41" hidden="1" x14ac:dyDescent="0.35">
      <c r="A59" s="65" t="s">
        <v>14</v>
      </c>
      <c r="B59" s="66"/>
      <c r="C59" s="11"/>
      <c r="D59" s="11"/>
      <c r="E59" s="11"/>
      <c r="F59" s="11"/>
      <c r="G59" s="11"/>
      <c r="H59" s="88"/>
      <c r="I59" s="122" t="str">
        <f>IF(_epmOfflineCondition_,"",_xll.EVPRO($B$1,$H59,"STYLE"))</f>
        <v/>
      </c>
      <c r="J59" s="122" t="str">
        <f>IF(_epmOfflineCondition_,"",_xll.EVPRO($B$1,$H59,"CALC"))</f>
        <v/>
      </c>
      <c r="K59" s="179" t="str">
        <f>IF(AND(I59&gt;="T3"),"&gt;","")</f>
        <v/>
      </c>
      <c r="L59" s="90" t="str">
        <f>IF(_epmOfflineCondition_,"",_xll.EVPRO($B$1,H59,"JDEID"))</f>
        <v/>
      </c>
      <c r="M59" s="90" t="str">
        <f>IF(_epmOfflineCondition_,"",IF(AND(I59="N",J59="N"),_xll.EVPRO($B$1,H59,"PSFTID"),""))</f>
        <v/>
      </c>
      <c r="N59" s="90" t="str">
        <f>IF(_epmOfflineCondition_,"",IF(_xll.EVDES(H59,$B$1)="#NODATA","",_xll.EVDES(H59,$B$1)))</f>
        <v/>
      </c>
      <c r="O59" s="216"/>
      <c r="P59" s="216"/>
      <c r="Q59" s="216"/>
      <c r="R59" s="216"/>
      <c r="S59" s="216"/>
      <c r="T59" s="216"/>
      <c r="U59" s="216"/>
      <c r="V59" s="216"/>
      <c r="W59" s="216"/>
      <c r="X59" s="216"/>
      <c r="Y59" s="216"/>
      <c r="Z59" s="216"/>
      <c r="AA59" s="216">
        <f>IF($I59="B1","",SUM(O59:Z59))</f>
        <v>0</v>
      </c>
      <c r="AB59" s="218" t="str">
        <f>IF(AA59=0,"",IFERROR(AA59/AA$19,""))</f>
        <v/>
      </c>
      <c r="AC59" s="140"/>
      <c r="AD59" s="216"/>
      <c r="AE59" s="218" t="str">
        <f>IF(AD59=0,"",IFERROR(AD59/AD$19,""))</f>
        <v/>
      </c>
      <c r="AF59" s="233">
        <f>IF(AND($AA59="",AD59=""),"",$AA59-AD59)</f>
        <v>0</v>
      </c>
      <c r="AG59" s="216"/>
      <c r="AH59" s="218" t="str">
        <f>IF(AG59=0,"",IFERROR(AG59/AG$19,""))</f>
        <v/>
      </c>
      <c r="AI59" s="233">
        <f>IF(AND($AA59="",AG59=""),"",$AA59-AG59)</f>
        <v>0</v>
      </c>
      <c r="AJ59" s="440">
        <f>IFERROR(AA59/AA$20,0)</f>
        <v>0</v>
      </c>
      <c r="AK59" s="441">
        <f>IFERROR(AD59/AD$20,0)</f>
        <v>0</v>
      </c>
      <c r="AL59" s="442">
        <f>IFERROR(AG59/AG$20,0)</f>
        <v>0</v>
      </c>
      <c r="AM59" s="443">
        <f>+IFERROR(ROUND(($AB59-AE59)*100,2)&amp;" pts.",0)</f>
        <v>0</v>
      </c>
      <c r="AN59" s="444">
        <f>+IFERROR(ROUND(($AB59-AH59)*100,2)&amp;" pts.",0)</f>
        <v>0</v>
      </c>
      <c r="AO59" s="11"/>
    </row>
    <row r="60" spans="1:41" x14ac:dyDescent="0.35">
      <c r="A60" s="65" t="s">
        <v>15</v>
      </c>
      <c r="B60" s="66"/>
      <c r="C60" s="11"/>
      <c r="D60" s="11"/>
      <c r="E60" s="11"/>
      <c r="F60" s="11"/>
      <c r="G60" s="11"/>
      <c r="H60" s="11"/>
      <c r="I60" s="59"/>
      <c r="J60" s="59"/>
      <c r="K60" s="11"/>
      <c r="L60" s="11"/>
      <c r="M60" s="11"/>
      <c r="N60" s="11"/>
      <c r="O60" s="129"/>
      <c r="P60" s="130"/>
      <c r="Q60" s="130"/>
      <c r="R60" s="130"/>
      <c r="S60" s="130"/>
      <c r="T60" s="130"/>
      <c r="U60" s="130"/>
      <c r="V60" s="130"/>
      <c r="W60" s="130"/>
      <c r="X60" s="130"/>
      <c r="Y60" s="130"/>
      <c r="Z60" s="130"/>
      <c r="AA60" s="130"/>
      <c r="AB60" s="131"/>
      <c r="AC60" s="11"/>
      <c r="AD60" s="129"/>
      <c r="AE60" s="130"/>
      <c r="AF60" s="131"/>
      <c r="AG60" s="129"/>
      <c r="AH60" s="130"/>
      <c r="AI60" s="131"/>
      <c r="AJ60" s="11"/>
      <c r="AK60" s="11"/>
      <c r="AL60" s="11"/>
      <c r="AM60" s="11"/>
      <c r="AN60" s="11"/>
      <c r="AO60" s="11"/>
    </row>
    <row r="61" spans="1:41" x14ac:dyDescent="0.35">
      <c r="A61" s="65" t="s">
        <v>16</v>
      </c>
      <c r="B61" s="66"/>
      <c r="C61" s="11"/>
      <c r="D61" s="11"/>
      <c r="E61" s="11"/>
      <c r="F61" s="11"/>
      <c r="G61" s="11"/>
      <c r="H61" s="11" t="s">
        <v>82</v>
      </c>
      <c r="I61" s="59" t="str">
        <f>IF(_epmOfflineCondition_,"B1",_xll.EVPRO($B$1,$H61,"STYLE"))</f>
        <v>B1</v>
      </c>
      <c r="J61" s="59" t="str">
        <f>IF(_epmOfflineCondition_,"Y",_xll.EVPRO($B$1,$H61,"CALC"))</f>
        <v>Y</v>
      </c>
      <c r="K61" s="11"/>
      <c r="L61" s="11"/>
      <c r="M61" s="11"/>
      <c r="N61" s="105" t="str">
        <f>IF(_epmOfflineCondition_,"Other Expenses",IF(_xll.EVDES(H61,$B$1)="#NODATA","",_xll.EVDES(H61,$B$1)))</f>
        <v>Other Expenses</v>
      </c>
      <c r="O61" s="119"/>
      <c r="P61" s="120"/>
      <c r="Q61" s="120"/>
      <c r="R61" s="120"/>
      <c r="S61" s="120"/>
      <c r="T61" s="120"/>
      <c r="U61" s="120"/>
      <c r="V61" s="120"/>
      <c r="W61" s="120"/>
      <c r="X61" s="120"/>
      <c r="Y61" s="120"/>
      <c r="Z61" s="120"/>
      <c r="AA61" s="120"/>
      <c r="AB61" s="121"/>
      <c r="AC61" s="11"/>
      <c r="AD61" s="119"/>
      <c r="AE61" s="120"/>
      <c r="AF61" s="121"/>
      <c r="AG61" s="119"/>
      <c r="AH61" s="120"/>
      <c r="AI61" s="121"/>
      <c r="AJ61" s="11"/>
      <c r="AK61" s="11"/>
      <c r="AL61" s="11"/>
      <c r="AM61" s="11"/>
      <c r="AN61" s="11"/>
      <c r="AO61" s="11"/>
    </row>
    <row r="62" spans="1:41" hidden="1" x14ac:dyDescent="0.35">
      <c r="A62" s="65" t="s">
        <v>17</v>
      </c>
      <c r="B62" s="66"/>
      <c r="C62" s="11"/>
      <c r="D62" s="11"/>
      <c r="E62" s="11"/>
      <c r="F62" s="11"/>
      <c r="G62" s="11"/>
      <c r="H62" s="88" t="s">
        <v>667</v>
      </c>
      <c r="I62" s="122" t="str">
        <f>IF(_epmOfflineCondition_,"",_xll.EVPRO($B$1,$H62,"STYLE"))</f>
        <v/>
      </c>
      <c r="J62" s="122" t="str">
        <f>IF(_epmOfflineCondition_,"",_xll.EVPRO($B$1,$H62,"CALC"))</f>
        <v/>
      </c>
      <c r="K62" s="179" t="str">
        <f>IF(AND(I62&lt;&gt;"B1",J62="Y"),"&gt;","")</f>
        <v/>
      </c>
      <c r="L62" s="90" t="str">
        <f>IF(_epmOfflineCondition_,"",_xll.EVPRO($B$1,H62,"JDEID"))</f>
        <v/>
      </c>
      <c r="M62" s="90" t="str">
        <f>IF(_epmOfflineCondition_,"",IF(AND(I62="N",J62="N"),_xll.EVPRO($B$1,H62,"PSFTID"),""))</f>
        <v/>
      </c>
      <c r="N62" s="90" t="str">
        <f>IF(_epmOfflineCondition_,"",IF(_xll.EVDES(H62,$B$1)="#NODATA","",_xll.EVDES(H62,$B$1)))</f>
        <v/>
      </c>
      <c r="O62" s="143"/>
      <c r="P62" s="143"/>
      <c r="Q62" s="143"/>
      <c r="R62" s="143"/>
      <c r="S62" s="143"/>
      <c r="T62" s="143"/>
      <c r="U62" s="143"/>
      <c r="V62" s="143"/>
      <c r="W62" s="143"/>
      <c r="X62" s="143"/>
      <c r="Y62" s="143"/>
      <c r="Z62" s="143"/>
      <c r="AA62" s="143">
        <f>IF($I62="B1","",SUM(O62:Z62))</f>
        <v>0</v>
      </c>
      <c r="AB62" s="144" t="str">
        <f>IF(AA62=0,"",IFERROR(AA62/AA$19,""))</f>
        <v/>
      </c>
      <c r="AC62" s="140"/>
      <c r="AD62" s="143"/>
      <c r="AE62" s="144" t="str">
        <f>IF(AD62=0,"",IFERROR(AD62/AD$19,""))</f>
        <v/>
      </c>
      <c r="AF62" s="145">
        <f>IF(AND($AA62="",AD62=""),"",$AA62-AD62)</f>
        <v>0</v>
      </c>
      <c r="AG62" s="143"/>
      <c r="AH62" s="144" t="str">
        <f>IF(AG62=0,"",IFERROR(AG62/AG$19,""))</f>
        <v/>
      </c>
      <c r="AI62" s="145">
        <f>IF(AND($AA62="",AG62=""),"",$AA62-AG62)</f>
        <v>0</v>
      </c>
      <c r="AJ62" s="440">
        <f>IFERROR(AA62/AA$20,0)</f>
        <v>0</v>
      </c>
      <c r="AK62" s="441">
        <f>IFERROR(AD62/AD$20,0)</f>
        <v>0</v>
      </c>
      <c r="AL62" s="442">
        <f>IFERROR(AG62/AG$20,0)</f>
        <v>0</v>
      </c>
      <c r="AM62" s="443">
        <f>+IFERROR(ROUND(($AB62-AE62)*100,2)&amp;" pts.",0)</f>
        <v>0</v>
      </c>
      <c r="AN62" s="444">
        <f>+IFERROR(ROUND(($AB62-AH62)*100,2)&amp;" pts.",0)</f>
        <v>0</v>
      </c>
      <c r="AO62" s="11"/>
    </row>
    <row r="63" spans="1:41" hidden="1" x14ac:dyDescent="0.35">
      <c r="A63" s="11"/>
      <c r="B63" s="11"/>
      <c r="C63" s="11"/>
      <c r="D63" s="11"/>
      <c r="E63" s="11"/>
      <c r="F63" s="11"/>
      <c r="G63" s="11"/>
      <c r="H63" s="88"/>
      <c r="I63" s="122" t="str">
        <f>IF(_epmOfflineCondition_,"",_xll.EVPRO($B$1,$H63,"STYLE"))</f>
        <v/>
      </c>
      <c r="J63" s="122" t="str">
        <f>IF(_epmOfflineCondition_,"",_xll.EVPRO($B$1,$H63,"CALC"))</f>
        <v/>
      </c>
      <c r="K63" s="179" t="str">
        <f>IF(AND(I63&lt;&gt;"B1",J63="Y"),"&gt;","")</f>
        <v/>
      </c>
      <c r="L63" s="90" t="str">
        <f>IF(_epmOfflineCondition_,"",_xll.EVPRO($B$1,H63,"JDEID"))</f>
        <v/>
      </c>
      <c r="M63" s="90" t="str">
        <f>IF(_epmOfflineCondition_,"",IF(AND(I63="N",J63="N"),_xll.EVPRO($B$1,H63,"PSFTID"),""))</f>
        <v/>
      </c>
      <c r="N63" s="90" t="str">
        <f>IF(_epmOfflineCondition_,"",IF(_xll.EVDES(H63,$B$1)="#NODATA","",_xll.EVDES(H63,$B$1)))</f>
        <v/>
      </c>
      <c r="O63" s="143"/>
      <c r="P63" s="143"/>
      <c r="Q63" s="143"/>
      <c r="R63" s="143"/>
      <c r="S63" s="143"/>
      <c r="T63" s="143"/>
      <c r="U63" s="143"/>
      <c r="V63" s="143"/>
      <c r="W63" s="143"/>
      <c r="X63" s="143"/>
      <c r="Y63" s="143"/>
      <c r="Z63" s="143"/>
      <c r="AA63" s="143">
        <f>IF($I63="B1","",SUM(O63:Z63))</f>
        <v>0</v>
      </c>
      <c r="AB63" s="144" t="str">
        <f>IF(AA63=0,"",IFERROR(AA63/AA$19,""))</f>
        <v/>
      </c>
      <c r="AC63" s="140"/>
      <c r="AD63" s="143"/>
      <c r="AE63" s="144" t="str">
        <f>IF(AD63=0,"",IFERROR(AD63/AD$19,""))</f>
        <v/>
      </c>
      <c r="AF63" s="145">
        <f>IF(AND($AA63="",AD63=""),"",$AA63-AD63)</f>
        <v>0</v>
      </c>
      <c r="AG63" s="143"/>
      <c r="AH63" s="144" t="str">
        <f>IF(AG63=0,"",IFERROR(AG63/AG$19,""))</f>
        <v/>
      </c>
      <c r="AI63" s="145">
        <f>IF(AND($AA63="",AG63=""),"",$AA63-AG63)</f>
        <v>0</v>
      </c>
      <c r="AJ63" s="440">
        <f>IFERROR(AA63/AA$20,0)</f>
        <v>0</v>
      </c>
      <c r="AK63" s="441">
        <f>IFERROR(AD63/AD$20,0)</f>
        <v>0</v>
      </c>
      <c r="AL63" s="442">
        <f>IFERROR(AG63/AG$20,0)</f>
        <v>0</v>
      </c>
      <c r="AM63" s="443">
        <f>+IFERROR(ROUND(($AB63-AE63)*100,2)&amp;" pts.",0)</f>
        <v>0</v>
      </c>
      <c r="AN63" s="444">
        <f>+IFERROR(ROUND(($AB63-AH63)*100,2)&amp;" pts.",0)</f>
        <v>0</v>
      </c>
      <c r="AO63" s="11"/>
    </row>
    <row r="64" spans="1:41" x14ac:dyDescent="0.35">
      <c r="A64" s="97" t="s">
        <v>92</v>
      </c>
      <c r="B64" s="98" t="s">
        <v>93</v>
      </c>
      <c r="C64" s="98" t="s">
        <v>94</v>
      </c>
      <c r="D64" s="98" t="s">
        <v>95</v>
      </c>
      <c r="E64" s="98" t="s">
        <v>96</v>
      </c>
      <c r="F64" s="99" t="s">
        <v>97</v>
      </c>
      <c r="G64" s="11"/>
      <c r="H64" s="88" t="s">
        <v>79</v>
      </c>
      <c r="I64" s="136" t="str">
        <f>IF(_epmOfflineCondition_,"T3",_xll.EVPRO($B$1,$H64,"STYLE"))</f>
        <v>T3</v>
      </c>
      <c r="J64" s="136" t="str">
        <f>IF(_epmOfflineCondition_,"Y",_xll.EVPRO($B$1,$H64,"CALC"))</f>
        <v>Y</v>
      </c>
      <c r="K64" s="104"/>
      <c r="L64" s="104"/>
      <c r="M64" s="104"/>
      <c r="N64" s="106" t="str">
        <f>IF(_epmOfflineCondition_,"Total Operations Expense",IF(_xll.EVDES(H64,$B$1)="#NODATA","",_xll.EVDES(H64,$B$1)))</f>
        <v>Total Operations Expense</v>
      </c>
      <c r="O64" s="154"/>
      <c r="P64" s="154"/>
      <c r="Q64" s="154"/>
      <c r="R64" s="154"/>
      <c r="S64" s="154"/>
      <c r="T64" s="154"/>
      <c r="U64" s="154"/>
      <c r="V64" s="154"/>
      <c r="W64" s="154"/>
      <c r="X64" s="154"/>
      <c r="Y64" s="154"/>
      <c r="Z64" s="154"/>
      <c r="AA64" s="154">
        <f>IF($I64="B1","",SUM(O64:Z64))</f>
        <v>0</v>
      </c>
      <c r="AB64" s="155" t="str">
        <f>IF(AA64=0,"",IFERROR(AA64/AA$19,""))</f>
        <v/>
      </c>
      <c r="AC64" s="140"/>
      <c r="AD64" s="154"/>
      <c r="AE64" s="155" t="str">
        <f>IF(AD64=0,"",IFERROR(AD64/AD$19,""))</f>
        <v/>
      </c>
      <c r="AF64" s="156">
        <f>IF(AND($AA64="",AD64=""),"",$AA64-AD64)</f>
        <v>0</v>
      </c>
      <c r="AG64" s="154"/>
      <c r="AH64" s="155" t="str">
        <f>IF(AG64=0,"",IFERROR(AG64/AG$19,""))</f>
        <v/>
      </c>
      <c r="AI64" s="156">
        <f>IF(AND($AA64="",AG64=""),"",$AA64-AG64)</f>
        <v>0</v>
      </c>
      <c r="AJ64" s="466">
        <f>IFERROR(AA64/AA$20,0)</f>
        <v>0</v>
      </c>
      <c r="AK64" s="467">
        <f>IFERROR(AD64/AD$20,0)</f>
        <v>0</v>
      </c>
      <c r="AL64" s="468">
        <f>IFERROR(AG64/AG$20,0)</f>
        <v>0</v>
      </c>
      <c r="AM64" s="469">
        <f>+IFERROR(ROUND(($AB64-AE64)*100,2)&amp;" pts.",0)</f>
        <v>0</v>
      </c>
      <c r="AN64" s="555">
        <f>+IFERROR(ROUND(($AB64-AH64)*100,2)&amp;" pts.",0)</f>
        <v>0</v>
      </c>
      <c r="AO64" s="11"/>
    </row>
    <row r="65" spans="1:41" x14ac:dyDescent="0.35">
      <c r="A65" s="11"/>
      <c r="B65" s="11"/>
      <c r="C65" s="11"/>
      <c r="D65" s="11"/>
      <c r="E65" s="11"/>
      <c r="F65" s="11"/>
      <c r="G65" s="11"/>
      <c r="H65" s="11"/>
      <c r="I65" s="59"/>
      <c r="J65" s="59"/>
      <c r="K65" s="11"/>
      <c r="L65" s="11"/>
      <c r="M65" s="11"/>
      <c r="N65" s="11"/>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1"/>
    </row>
    <row r="66" spans="1:41" x14ac:dyDescent="0.35">
      <c r="A66" s="11" t="s">
        <v>105</v>
      </c>
      <c r="B66" s="11"/>
      <c r="C66" s="104" t="s">
        <v>101</v>
      </c>
      <c r="D66" s="11" t="s">
        <v>106</v>
      </c>
      <c r="E66" s="11"/>
      <c r="F66" s="11" t="s">
        <v>98</v>
      </c>
      <c r="G66" s="11"/>
      <c r="H66" s="88" t="s">
        <v>80</v>
      </c>
      <c r="I66" s="136" t="str">
        <f>IF(_epmOfflineCondition_,"T3",_xll.EVPRO($B$1,$H66,"STYLE"))</f>
        <v>T3</v>
      </c>
      <c r="J66" s="136" t="str">
        <f>IF(_epmOfflineCondition_,"Y",_xll.EVPRO($B$1,$H66,"CALC"))</f>
        <v>Y</v>
      </c>
      <c r="K66" s="106"/>
      <c r="L66" s="106"/>
      <c r="M66" s="106"/>
      <c r="N66" s="106" t="str">
        <f>IF(_epmOfflineCondition_,"Total Expenses",IF(_xll.EVDES(H66,$B$1)="#NODATA","",_xll.EVDES(H66,$B$1)))</f>
        <v>Total Expenses</v>
      </c>
      <c r="O66" s="238"/>
      <c r="P66" s="238"/>
      <c r="Q66" s="238"/>
      <c r="R66" s="238"/>
      <c r="S66" s="238"/>
      <c r="T66" s="238"/>
      <c r="U66" s="238"/>
      <c r="V66" s="238"/>
      <c r="W66" s="238"/>
      <c r="X66" s="238"/>
      <c r="Y66" s="238"/>
      <c r="Z66" s="238"/>
      <c r="AA66" s="238">
        <f>IF($I66="B1","",SUM(O66:Z66))</f>
        <v>0</v>
      </c>
      <c r="AB66" s="239" t="str">
        <f>IF(AA66=0,"",IFERROR(AA66/AA$19,""))</f>
        <v/>
      </c>
      <c r="AC66" s="140"/>
      <c r="AD66" s="238"/>
      <c r="AE66" s="239" t="str">
        <f>IF(AD66=0,"",IFERROR(AD66/AD$19,""))</f>
        <v/>
      </c>
      <c r="AF66" s="254">
        <f>IF(AND($AA66="",AD66=""),"",$AA66-AD66)</f>
        <v>0</v>
      </c>
      <c r="AG66" s="255"/>
      <c r="AH66" s="256" t="str">
        <f>IF(AG66=0,"",IFERROR(AG66/AG$19,""))</f>
        <v/>
      </c>
      <c r="AI66" s="254">
        <f>IF(AND($AA66="",AG66=""),"",$AA66-AG66)</f>
        <v>0</v>
      </c>
      <c r="AJ66" s="472">
        <f>IFERROR(AA66/AA$20,0)</f>
        <v>0</v>
      </c>
      <c r="AK66" s="473">
        <f>IFERROR(AD66/AD$20,0)</f>
        <v>0</v>
      </c>
      <c r="AL66" s="474">
        <f>IFERROR(AG66/AG$20,0)</f>
        <v>0</v>
      </c>
      <c r="AM66" s="475">
        <f>+IFERROR(ROUND(($AB66-AE66)*100,2)&amp;" pts.",0)</f>
        <v>0</v>
      </c>
      <c r="AN66" s="556">
        <f>+IFERROR(ROUND(($AB66-AH66)*100,2)&amp;" pts.",0)</f>
        <v>0</v>
      </c>
      <c r="AO66" s="11"/>
    </row>
    <row r="67" spans="1:41" ht="15" thickBot="1" x14ac:dyDescent="0.4">
      <c r="A67" s="11" t="s">
        <v>102</v>
      </c>
      <c r="B67" s="11"/>
      <c r="C67" s="106" t="s">
        <v>101</v>
      </c>
      <c r="D67" s="11" t="s">
        <v>106</v>
      </c>
      <c r="E67" s="11"/>
      <c r="F67" s="11" t="s">
        <v>98</v>
      </c>
      <c r="G67" s="11"/>
      <c r="H67" s="88" t="s">
        <v>81</v>
      </c>
      <c r="I67" s="136" t="str">
        <f>IF(_epmOfflineCondition_,"T3",_xll.EVPRO($B$1,$H67,"STYLE"))</f>
        <v>T3</v>
      </c>
      <c r="J67" s="136" t="str">
        <f>IF(_epmOfflineCondition_,"Y",_xll.EVPRO($B$1,$H67,"CALC"))</f>
        <v>Y</v>
      </c>
      <c r="K67" s="106"/>
      <c r="L67" s="106"/>
      <c r="M67" s="106"/>
      <c r="N67" s="106" t="str">
        <f>IF(_epmOfflineCondition_,"Department Profit (Loss)",IF(_xll.EVDES(H67,$B$1)="#NODATA","",_xll.EVDES(H67,$B$1)))</f>
        <v>Department Profit (Loss)</v>
      </c>
      <c r="O67" s="169"/>
      <c r="P67" s="169"/>
      <c r="Q67" s="169"/>
      <c r="R67" s="169"/>
      <c r="S67" s="169"/>
      <c r="T67" s="169"/>
      <c r="U67" s="169"/>
      <c r="V67" s="169"/>
      <c r="W67" s="169"/>
      <c r="X67" s="169"/>
      <c r="Y67" s="169"/>
      <c r="Z67" s="169"/>
      <c r="AA67" s="169">
        <f>IF($I67="B1","",SUM(O67:Z67))</f>
        <v>0</v>
      </c>
      <c r="AB67" s="170" t="str">
        <f>IF(AA67=0,"",IFERROR(AA67/AA$19,""))</f>
        <v/>
      </c>
      <c r="AC67" s="140"/>
      <c r="AD67" s="169"/>
      <c r="AE67" s="170" t="str">
        <f>IF(AD67=0,"",IFERROR(AD67/AD$19,""))</f>
        <v/>
      </c>
      <c r="AF67" s="171">
        <f>IF(AND($AA67="",AD67=""),"",$AA67-AD67)</f>
        <v>0</v>
      </c>
      <c r="AG67" s="169">
        <v>0</v>
      </c>
      <c r="AH67" s="170" t="str">
        <f>IF(AG67=0,"",IFERROR(AG67/AG$19,""))</f>
        <v/>
      </c>
      <c r="AI67" s="171">
        <f>IF(AND($AA67="",AG67=""),"",$AA67-AG67)</f>
        <v>0</v>
      </c>
      <c r="AJ67" s="477">
        <f>IFERROR(AA67/AA$20,0)</f>
        <v>0</v>
      </c>
      <c r="AK67" s="478">
        <f>IFERROR(AD67/AD$20,0)</f>
        <v>0</v>
      </c>
      <c r="AL67" s="479">
        <f>IFERROR(AG67/AG$20,0)</f>
        <v>0</v>
      </c>
      <c r="AM67" s="480">
        <f>+IFERROR(ROUND(($AB67-AE67)*100,2)&amp;" pts.",0)</f>
        <v>0</v>
      </c>
      <c r="AN67" s="557">
        <f>+IFERROR(ROUND(($AB67-AH67)*100,2)&amp;" pts.",0)</f>
        <v>0</v>
      </c>
      <c r="AO67" s="11"/>
    </row>
    <row r="68" spans="1:41" ht="15" thickTop="1" x14ac:dyDescent="0.35">
      <c r="A68" s="11" t="s">
        <v>102</v>
      </c>
      <c r="B68" s="11"/>
      <c r="C68" s="196" t="s">
        <v>101</v>
      </c>
      <c r="D68" s="11" t="s">
        <v>107</v>
      </c>
      <c r="E68" s="11"/>
      <c r="F68" s="11" t="s">
        <v>99</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11"/>
      <c r="M69" s="11"/>
      <c r="N69" s="104" t="str">
        <f>N66&amp;" - Check"</f>
        <v>Total Expenses - Check</v>
      </c>
      <c r="O69" s="209">
        <f t="shared" ref="O69:AA69" si="13">SUMIF($H$34:$H$67,"600000",O$34:O$67)+SUMIF($H$34:$H$67,"700000",O$34:O$67)-SUMIF($H$34:$H$67,"TOTDEPTEXP",O$34:O$67)</f>
        <v>0</v>
      </c>
      <c r="P69" s="209">
        <f t="shared" si="13"/>
        <v>0</v>
      </c>
      <c r="Q69" s="209">
        <f t="shared" si="13"/>
        <v>0</v>
      </c>
      <c r="R69" s="209">
        <f t="shared" si="13"/>
        <v>0</v>
      </c>
      <c r="S69" s="209">
        <f t="shared" si="13"/>
        <v>0</v>
      </c>
      <c r="T69" s="209">
        <f t="shared" si="13"/>
        <v>0</v>
      </c>
      <c r="U69" s="209">
        <f t="shared" si="13"/>
        <v>0</v>
      </c>
      <c r="V69" s="209">
        <f t="shared" si="13"/>
        <v>0</v>
      </c>
      <c r="W69" s="209">
        <f t="shared" si="13"/>
        <v>0</v>
      </c>
      <c r="X69" s="209">
        <f t="shared" si="13"/>
        <v>0</v>
      </c>
      <c r="Y69" s="209">
        <f t="shared" si="13"/>
        <v>0</v>
      </c>
      <c r="Z69" s="209">
        <f t="shared" si="13"/>
        <v>0</v>
      </c>
      <c r="AA69" s="209">
        <f t="shared" si="13"/>
        <v>0</v>
      </c>
      <c r="AB69" s="100"/>
      <c r="AC69" s="11"/>
      <c r="AD69" s="209">
        <f>SUMIF($H$34:$H$67,"600000",AD$34:AD$67)+SUMIF($H$34:$H$67,"700000",AD$34:AD$67)-SUMIF($H$34:$H$67,"TOTDEPTEXP",AD$34:AD$67)</f>
        <v>0</v>
      </c>
      <c r="AE69" s="100"/>
      <c r="AF69" s="91"/>
      <c r="AG69" s="209">
        <f>SUMIF($H$34:$H$67,"600000",AG$34:AG$67)+SUMIF($H$34:$H$67,"700000",AG$34:AG$67)-SUMIF($H$34:$H$67,"TOTDEPTEXP",AG$34:AG$67)</f>
        <v>0</v>
      </c>
      <c r="AH69" s="100"/>
      <c r="AI69" s="91"/>
      <c r="AJ69" s="11"/>
      <c r="AK69" s="11"/>
      <c r="AL69" s="11"/>
      <c r="AM69" s="11"/>
      <c r="AN69" s="11"/>
      <c r="AO69" s="11"/>
    </row>
    <row r="70" spans="1:41" x14ac:dyDescent="0.35">
      <c r="A70" s="11"/>
      <c r="B70" s="11"/>
      <c r="C70" s="208"/>
      <c r="D70" s="11"/>
      <c r="E70" s="11"/>
      <c r="F70" s="11"/>
      <c r="G70" s="11"/>
      <c r="H70" s="11"/>
      <c r="I70" s="59"/>
      <c r="J70" s="59"/>
      <c r="K70" s="11"/>
      <c r="L70" s="11"/>
      <c r="M70" s="11"/>
      <c r="N70" s="104" t="str">
        <f>N67&amp;" - Check"</f>
        <v>Department Profit (Loss) - Check</v>
      </c>
      <c r="O70" s="209">
        <f t="shared" ref="O70:AA70" si="14">SUMIF($H$34:$H$67,"KPI_GP",O$34:O$67)-SUMIF($H$34:$H$67,"TOTDEPTEXP",O$34:O$67)-SUMIF($H$34:$H$67,"TOTDEPTPL",O$34:O$67)</f>
        <v>0</v>
      </c>
      <c r="P70" s="209">
        <f t="shared" si="14"/>
        <v>0</v>
      </c>
      <c r="Q70" s="209">
        <f t="shared" si="14"/>
        <v>0</v>
      </c>
      <c r="R70" s="209">
        <f t="shared" si="14"/>
        <v>0</v>
      </c>
      <c r="S70" s="209">
        <f t="shared" si="14"/>
        <v>0</v>
      </c>
      <c r="T70" s="209">
        <f t="shared" si="14"/>
        <v>0</v>
      </c>
      <c r="U70" s="209">
        <f t="shared" si="14"/>
        <v>0</v>
      </c>
      <c r="V70" s="209">
        <f t="shared" si="14"/>
        <v>0</v>
      </c>
      <c r="W70" s="209">
        <f t="shared" si="14"/>
        <v>0</v>
      </c>
      <c r="X70" s="209">
        <f t="shared" si="14"/>
        <v>0</v>
      </c>
      <c r="Y70" s="209">
        <f t="shared" si="14"/>
        <v>0</v>
      </c>
      <c r="Z70" s="209">
        <f t="shared" si="14"/>
        <v>0</v>
      </c>
      <c r="AA70" s="209">
        <f t="shared" si="14"/>
        <v>0</v>
      </c>
      <c r="AB70" s="100"/>
      <c r="AC70" s="11"/>
      <c r="AD70" s="209">
        <f>SUMIF($H$34:$H$67,"KPI_GP",AD$34:AD$67)-SUMIF($H$34:$H$67,"TOTDEPTEXP",AD$34:AD$67)-SUMIF($H$34:$H$67,"TOTDEPTPL",AD$34:AD$67)</f>
        <v>0</v>
      </c>
      <c r="AE70" s="100"/>
      <c r="AF70" s="91"/>
      <c r="AG70" s="209">
        <f>SUMIF($H$34:$H$67,"KPI_GP",AG$34:AG$67)-SUMIF($H$34:$H$67,"TOTDEPTEXP",AG$34:AG$67)-SUMIF($H$34:$H$67,"TOTDEPTPL",AG$34:AG$67)</f>
        <v>0</v>
      </c>
      <c r="AH70" s="100"/>
      <c r="AI70" s="91"/>
      <c r="AJ70" s="11"/>
      <c r="AK70" s="11"/>
      <c r="AL70" s="11"/>
      <c r="AM70" s="11"/>
      <c r="AN70" s="11"/>
      <c r="AO70" s="11"/>
    </row>
    <row r="71" spans="1:41" x14ac:dyDescent="0.35">
      <c r="A71" s="61" t="str">
        <f>IF(_epmOfflineCondition_,"Evdre:Ok",_xll.EVDRE($B$1,A74:B81,A84:B90))</f>
        <v>Evdre:Ok</v>
      </c>
      <c r="B71" s="11"/>
      <c r="C71" s="11"/>
      <c r="D71" s="11"/>
      <c r="E71" s="11"/>
      <c r="F71" s="11"/>
      <c r="G71" s="11"/>
      <c r="H71" s="11"/>
      <c r="I71" s="59"/>
      <c r="J71" s="59"/>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11"/>
      <c r="I72" s="59"/>
      <c r="J72" s="59"/>
      <c r="K72" s="11"/>
      <c r="L72" s="11"/>
      <c r="M72" s="11"/>
      <c r="N72" s="11"/>
      <c r="O72" s="137"/>
      <c r="P72" s="137"/>
      <c r="Q72" s="137"/>
      <c r="R72" s="137"/>
      <c r="S72" s="137"/>
      <c r="T72" s="137"/>
      <c r="U72" s="137"/>
      <c r="V72" s="137"/>
      <c r="W72" s="137"/>
      <c r="X72" s="137"/>
      <c r="Y72" s="137"/>
      <c r="Z72" s="137"/>
      <c r="AA72" s="137"/>
      <c r="AB72" s="11"/>
      <c r="AC72" s="11"/>
      <c r="AD72" s="137"/>
      <c r="AE72" s="11"/>
      <c r="AF72" s="11"/>
      <c r="AG72" s="137"/>
      <c r="AH72" s="11"/>
      <c r="AI72" s="11"/>
      <c r="AJ72" s="11"/>
      <c r="AK72" s="11"/>
      <c r="AL72" s="11"/>
      <c r="AM72" s="11"/>
      <c r="AN72" s="11"/>
      <c r="AO72" s="11"/>
    </row>
    <row r="73" spans="1:41" x14ac:dyDescent="0.35">
      <c r="A73" s="62" t="s">
        <v>0</v>
      </c>
      <c r="B73" s="63" t="s">
        <v>1</v>
      </c>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2</v>
      </c>
      <c r="B74" s="66" t="str">
        <f>IF(_epmOfflineCondition_,"'HC_SPA'!$B$2:$B$10",_xll.EVRNG($B$2:$B$10))</f>
        <v>'HC_SPA'!$B$2:$B$10</v>
      </c>
      <c r="C74" s="11"/>
      <c r="D74" s="11"/>
      <c r="E74" s="11"/>
      <c r="F74" s="11"/>
      <c r="G74" s="11"/>
      <c r="H74" s="11"/>
      <c r="I74" s="59"/>
      <c r="J74" s="59"/>
      <c r="K74" s="11"/>
      <c r="L74" s="11"/>
      <c r="M74" s="11"/>
      <c r="N74" s="11"/>
      <c r="O74" s="137"/>
      <c r="P74" s="137"/>
      <c r="Q74" s="137"/>
      <c r="R74" s="137"/>
      <c r="S74" s="137"/>
      <c r="T74" s="137"/>
      <c r="U74" s="137"/>
      <c r="V74" s="137"/>
      <c r="W74" s="137"/>
      <c r="X74" s="137"/>
      <c r="Y74" s="137"/>
      <c r="Z74" s="137"/>
      <c r="AA74" s="137"/>
      <c r="AB74" s="11"/>
      <c r="AC74" s="11"/>
      <c r="AD74" s="137"/>
      <c r="AE74" s="11"/>
      <c r="AF74" s="11"/>
      <c r="AG74" s="137"/>
      <c r="AH74" s="11"/>
      <c r="AI74" s="11"/>
      <c r="AJ74" s="11"/>
      <c r="AK74" s="11"/>
      <c r="AL74" s="11"/>
      <c r="AM74" s="11"/>
      <c r="AN74" s="11"/>
      <c r="AO74" s="11"/>
    </row>
    <row r="75" spans="1:41" x14ac:dyDescent="0.35">
      <c r="A75" s="65" t="s">
        <v>3</v>
      </c>
      <c r="B75" s="66" t="str">
        <f>IF(_epmOfflineCondition_,"'HC_SPA'!$O$16:$AN$18",_xll.EVRNG($O$16:$AN$18))</f>
        <v>'HC_SPA'!$O$16:$AN$18</v>
      </c>
      <c r="C75" s="11"/>
      <c r="D75" s="11"/>
      <c r="E75" s="11"/>
      <c r="F75" s="11"/>
      <c r="G75" s="11"/>
      <c r="H75" s="11"/>
      <c r="I75" s="59"/>
      <c r="J75" s="5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4</v>
      </c>
      <c r="B76" s="66" t="str">
        <f>IF(_epmOfflineCondition_,"'HC_SPA'!$H$55:$H$56,'HC_SPA'!$H$58:$H$59,'HC_SPA'!$H$62:$H$63",_xll.EVRNG(H55:H56,H58:H59,H62:H63))</f>
        <v>'HC_SPA'!$H$55:$H$56,'HC_SPA'!$H$58:$H$59,'HC_SPA'!$H$62:$H$63</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5</v>
      </c>
      <c r="B77" s="66"/>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6</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7</v>
      </c>
      <c r="B79" s="66" t="str">
        <f>IF(_epmOfflineCondition_,"'HC_SPA'!$A$93:$F$99",_xll.EVRNG(A93:F99))</f>
        <v>'HC_SPA'!$A$93:$F$99</v>
      </c>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47</v>
      </c>
      <c r="B80" s="66" t="str">
        <f>IF(_epmOfflineCondition_,"'HC_SPA'!$A$116:$B$137",_xll.EVRNG($A$116:$B$137))</f>
        <v>'HC_SPA'!$A$116:$B$137</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8</v>
      </c>
      <c r="B81" s="66"/>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208"/>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1" t="str">
        <f>IF(_epmOfflineCondition_,"Evdre:Ok",_xll.EVDRE($B$1,A105:B112))</f>
        <v>Evdre:Ok</v>
      </c>
      <c r="B102" s="11" t="s">
        <v>736</v>
      </c>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76"/>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0</v>
      </c>
      <c r="B104" s="63" t="s">
        <v>1</v>
      </c>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v>
      </c>
      <c r="B105" s="66" t="str">
        <f>IF(_epmOfflineCondition_,"'HC_SPA'!$B$2:$B$10",_xll.EVRNG($B$2:$B$10))</f>
        <v>'HC_SPA'!$B$2:$B$10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3</v>
      </c>
      <c r="B106" s="66" t="str">
        <f>IF(_epmOfflineCondition_,"'HC_SPA'!$O$16:$AN$18",_xll.EVRNG($O$16:$AN$18))</f>
        <v>'HC_SPA'!$O$16:$AN$18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v>
      </c>
      <c r="B107" s="66" t="str">
        <f>IF(_epmOfflineCondition_,"'HC_SPA'!$H$64:$H$67",_xll.EVRNG(H64:H67))</f>
        <v>'HC_SPA'!$H$64:$H$67</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6</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47</v>
      </c>
      <c r="B111" s="66" t="str">
        <f>IF(_epmOfflineCondition_,"'HC_SPA'!$A$116:$B$137",_xll.EVRNG($A$116:$B$137))</f>
        <v>'HC_SPA'!$A$116:$B$137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267"/>
      <c r="J140" s="11"/>
      <c r="K140" s="267"/>
      <c r="L140" s="267"/>
      <c r="M140" s="267"/>
      <c r="N140" s="11"/>
      <c r="O140" s="267"/>
      <c r="P140" s="267"/>
      <c r="Q140" s="267"/>
      <c r="R140" s="267"/>
      <c r="S140" s="267"/>
      <c r="T140" s="267"/>
      <c r="U140" s="267"/>
      <c r="V140" s="267"/>
      <c r="W140" s="267"/>
      <c r="X140" s="267"/>
      <c r="Y140" s="267"/>
      <c r="Z140" s="267"/>
      <c r="AA140" s="267"/>
      <c r="AB140" s="11"/>
      <c r="AC140" s="11"/>
      <c r="AD140" s="267"/>
      <c r="AE140" s="11"/>
      <c r="AF140" s="267"/>
      <c r="AG140" s="11"/>
      <c r="AH140" s="267"/>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267"/>
      <c r="J144" s="11"/>
      <c r="K144" s="267"/>
      <c r="L144" s="267"/>
      <c r="M144" s="267"/>
      <c r="N144" s="11"/>
      <c r="O144" s="267"/>
      <c r="P144" s="267"/>
      <c r="Q144" s="267"/>
      <c r="R144" s="267"/>
      <c r="S144" s="267"/>
      <c r="T144" s="267"/>
      <c r="U144" s="267"/>
      <c r="V144" s="267"/>
      <c r="W144" s="267"/>
      <c r="X144" s="267"/>
      <c r="Y144" s="267"/>
      <c r="Z144" s="267"/>
      <c r="AA144" s="267"/>
      <c r="AB144" s="11"/>
      <c r="AC144" s="11"/>
      <c r="AD144" s="267"/>
      <c r="AE144" s="11"/>
      <c r="AF144" s="267"/>
      <c r="AG144" s="11"/>
      <c r="AH144" s="267"/>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dcP+7V5Ar559QjP5X5UWDWTFLZ07g8jxPSwxOy7jKMfDKVvmT8C3JpssWkAU8YGxcJfbSv4Tcy+UUxeAH8ar+Q==" saltValue="bafyaVXVhQmv68n6xJQykg==" spinCount="100000" sheet="1" scenarios="1"/>
  <mergeCells count="2">
    <mergeCell ref="AD31:AE31"/>
    <mergeCell ref="AG31:AH31"/>
  </mergeCells>
  <dataValidations disablePrompts="1" count="2">
    <dataValidation type="list" allowBlank="1" sqref="B28 B57 B85" xr:uid="{00000000-0002-0000-2000-000000000000}">
      <formula1>"ACCOUNT,BUSINESSUNIT,CATEGORY,DATASRC,DEPARTMENT,INTCO,MEASURES,RPTCURRENCY,TIME"</formula1>
    </dataValidation>
    <dataValidation type="list" allowBlank="1" sqref="B86 B58 B29" xr:uid="{00000000-0002-0000-2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482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4827" r:id="rId7" name="FPMExcelClientSheetOptionstb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380</v>
      </c>
      <c r="C6" s="11" t="str">
        <f>IF(_epmOfflineCondition_,"Parking",_xll.EVDES(B6,$B$1))</f>
        <v>Parking</v>
      </c>
      <c r="D6" s="11"/>
      <c r="E6" s="58" t="str">
        <f>IF(_epmOfflineCondition_,"D1133",_xll.EVPRO($B$1,$B$6,$F$6))</f>
        <v>D1133</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IF(_epmOfflineCondition_,"'Parking'!$B$2:$B$10",_xll.EVRNG($B$2:$B$10))</f>
        <v>'Parking'!$B$2:$B$10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IF(_epmOfflineCondition_,"'Parking'!$O$16:$AN$18",_xll.EVRNG($O$16:$AN$18))</f>
        <v>'Parking'!$O$16:$AN$18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IF(_epmOfflineCondition_,"'Parking'!$H$34:$H$38",_xll.EVRNG(H34:H38))</f>
        <v>'Parking'!$H$34:$H$38</v>
      </c>
      <c r="C19" s="11"/>
      <c r="D19" s="11"/>
      <c r="E19" s="11"/>
      <c r="F19" s="11"/>
      <c r="G19" s="67" t="str">
        <f>$B$6</f>
        <v>D1133</v>
      </c>
      <c r="H19" s="67">
        <v>400000</v>
      </c>
      <c r="I19" s="68"/>
      <c r="J19" s="68"/>
      <c r="K19" s="67"/>
      <c r="L19" s="67"/>
      <c r="M19" s="67"/>
      <c r="N19" s="67" t="str">
        <f>IF(_epmOfflineCondition_,"Total Revenue",_xll.EVDES(H19))</f>
        <v>Total Revenue</v>
      </c>
      <c r="O19" s="69">
        <f>IF(_epmOfflineCondition_,25679.95,_xll.EVGTS($B$1,1,$B$3,$B$5,$B$7,$B$9,O$16,O$17,O$18,$G$19,$H$19))</f>
        <v>25679.95</v>
      </c>
      <c r="P19" s="69">
        <f>IF(_epmOfflineCondition_,22547.47,_xll.EVGTS($B$1,1,$B$3,$B$5,$B$7,$B$9,P$16,P$17,P$18,$G$19,$H$19))</f>
        <v>22547.47</v>
      </c>
      <c r="Q19" s="69">
        <f>IF(_epmOfflineCondition_,12410.54,_xll.EVGTS($B$1,1,$B$3,$B$5,$B$7,$B$9,Q$16,Q$17,Q$18,$G$19,$H$19))</f>
        <v>12410.54</v>
      </c>
      <c r="R19" s="69">
        <f>IF(_epmOfflineCondition_,0,_xll.EVGTS($B$1,1,$B$3,$B$5,$B$7,$B$9,R$16,R$17,R$18,$G$19,$H$19))</f>
        <v>0</v>
      </c>
      <c r="S19" s="69">
        <f>IF(_epmOfflineCondition_,-72.9,_xll.EVGTS($B$1,1,$B$3,$B$5,$B$7,$B$9,S$16,S$17,S$18,$G$19,$H$19))</f>
        <v>-72.900000000000006</v>
      </c>
      <c r="T19" s="69">
        <f>IF(_epmOfflineCondition_,0,_xll.EVGTS($B$1,1,$B$3,$B$5,$B$7,$B$9,T$16,T$17,T$18,$G$19,$H$19))</f>
        <v>0</v>
      </c>
      <c r="U19" s="69">
        <f>IF(_epmOfflineCondition_,0,_xll.EVGTS($B$1,1,$B$3,$B$5,$B$7,$B$9,U$16,U$17,U$18,$G$19,$H$19))</f>
        <v>0</v>
      </c>
      <c r="V19" s="69">
        <f>IF(_epmOfflineCondition_,0,_xll.EVGTS($B$1,1,$B$3,$B$5,$B$7,$B$9,V$16,V$17,V$18,$G$19,$H$19))</f>
        <v>0</v>
      </c>
      <c r="W19" s="69">
        <f>IF(_epmOfflineCondition_,547.5,_xll.EVGTS($B$1,1,$B$3,$B$5,$B$7,$B$9,W$16,W$17,W$18,$G$19,$H$19))</f>
        <v>547.5</v>
      </c>
      <c r="X19" s="69">
        <f>IF(_epmOfflineCondition_,0,_xll.EVGTS($B$1,1,$B$3,$B$5,$B$7,$B$9,X$16,X$17,X$18,$G$19,$H$19))</f>
        <v>0</v>
      </c>
      <c r="Y19" s="69">
        <f>IF(_epmOfflineCondition_,0,_xll.EVGTS($B$1,1,$B$3,$B$5,$B$7,$B$9,Y$16,Y$17,Y$18,$G$19,$H$19))</f>
        <v>0</v>
      </c>
      <c r="Z19" s="69">
        <f>IF(_epmOfflineCondition_,0,_xll.EVGTS($B$1,1,$B$3,$B$5,$B$7,$B$9,Z$16,Z$17,Z$18,$G$19,$H$19))</f>
        <v>0</v>
      </c>
      <c r="AA19" s="69">
        <f>SUM(O19:Z19)</f>
        <v>61112.56</v>
      </c>
      <c r="AB19" s="67"/>
      <c r="AC19" s="67"/>
      <c r="AD19" s="69">
        <f>IF(_epmOfflineCondition_,267966.55,_xll.EVGTS($B$1,1,$B$3,$B$5,$B$7,$B$9,AD$16,AD$17,AD$18,$G$19,$H$19))</f>
        <v>267966.55</v>
      </c>
      <c r="AE19" s="67"/>
      <c r="AF19" s="67"/>
      <c r="AG19" s="69">
        <f>IF(_epmOfflineCondition_,231789.42,_xll.EVGTS($B$1,1,$B$3,$B$5,$B$7,$B$9,AG$16,AG$17,AG$18,$G$19,$H$19))</f>
        <v>231789.42</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IF(_epmOfflineCondition_,"'Parking'!$A$36:$F$40",_xll.EVRNG(A36:F40))</f>
        <v>'Parking'!$A$36:$F$40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IF(_epmOfflineCondition_,"'Parking'!$A$116:$B$137",_xll.EVRNG($A$116:$B$137))</f>
        <v>'Parking'!$A$116:$B$137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IF(_epmOfflineCondition_,"Parking Department",IF(_xll.EVDES(B6,$B$1)="#NODATA","",_xll.EVDES(B6,$B$1)&amp;" Department"))</f>
        <v>Parking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"DEP(430000) AND "&amp;$E$6&amp;"=Y,400000"</f>
        <v>DEP(430000) AND D1133=Y,400000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381</v>
      </c>
      <c r="I34" s="122" t="str">
        <f>IF(_epmOfflineCondition_,"N",_xll.EVPRO($B$1,$H34,"STYLE"))</f>
        <v>N</v>
      </c>
      <c r="J34" s="122" t="str">
        <f>IF(_epmOfflineCondition_,"N",_xll.EVPRO($B$1,$H34,"CALC"))</f>
        <v>N</v>
      </c>
      <c r="K34" s="179" t="str">
        <f>IF(AND(I34&gt;="T5"),"&gt;","")</f>
        <v/>
      </c>
      <c r="L34" s="90" t="str">
        <f>IF(_epmOfflineCondition_,"430100",_xll.EVPRO($B$1,H34,"JDEID"))</f>
        <v>430100</v>
      </c>
      <c r="M34" s="90" t="str">
        <f>IF(_epmOfflineCondition_,"206012",IF(AND(I34="N",J34="N"),_xll.EVPRO($B$1,H34,"PSFTID"),""))</f>
        <v>206012</v>
      </c>
      <c r="N34" s="90" t="str">
        <f>IF(_epmOfflineCondition_,"Self-Parking Revenue",IF(_xll.EVDES(H34,$B$1)="#NODATA","",_xll.EVDES(H34,$B$1)))</f>
        <v>Self-Parking Revenue</v>
      </c>
      <c r="O34" s="143">
        <v>465</v>
      </c>
      <c r="P34" s="143">
        <v>418.5</v>
      </c>
      <c r="Q34" s="143">
        <v>210.28</v>
      </c>
      <c r="R34" s="143"/>
      <c r="S34" s="143"/>
      <c r="T34" s="143"/>
      <c r="U34" s="143"/>
      <c r="V34" s="143"/>
      <c r="W34" s="143"/>
      <c r="X34" s="143"/>
      <c r="Y34" s="143"/>
      <c r="Z34" s="143"/>
      <c r="AA34" s="250">
        <f>IF($I34="B1","",SUM(O34:Z34))</f>
        <v>1093.78</v>
      </c>
      <c r="AB34" s="144">
        <f>IF(AA34=0,"",IFERROR(AA34/AA$19,""))</f>
        <v>1.7897793841396923E-2</v>
      </c>
      <c r="AC34" s="140"/>
      <c r="AD34" s="143">
        <v>6047.2</v>
      </c>
      <c r="AE34" s="144">
        <f>IF(AD34=0,"",IFERROR(AD34/AD$19,""))</f>
        <v>2.2566995768688293E-2</v>
      </c>
      <c r="AF34" s="145">
        <f>IF(AND($AA34="",AD34=""),"",$AA34-AD34)</f>
        <v>-4953.42</v>
      </c>
      <c r="AG34" s="143">
        <v>5586.87</v>
      </c>
      <c r="AH34" s="144">
        <f>IF(AG34=0,"",IFERROR(AG34/AG$19,""))</f>
        <v>2.4103214029354746E-2</v>
      </c>
      <c r="AI34" s="145">
        <f>IF(AND($AA34="",AG34=""),"",$AA34-AG34)</f>
        <v>-4493.09</v>
      </c>
      <c r="AJ34" s="440">
        <f>IFERROR(AA34/AA$20,0)</f>
        <v>5.4552618453865338E-2</v>
      </c>
      <c r="AK34" s="441">
        <f>IFERROR(AD34/AD$20,0)</f>
        <v>0.16</v>
      </c>
      <c r="AL34" s="442">
        <f>IFERROR(AG34/AG$20,0)</f>
        <v>0.16990663584940088</v>
      </c>
      <c r="AM34" s="443" t="str">
        <f>+IFERROR(ROUND(($AB34-AE34)*100,2)&amp;" pts.",0)</f>
        <v>-0.47 pts.</v>
      </c>
      <c r="AN34" s="444" t="str">
        <f>+IFERROR(ROUND(($AB34-AH34)*100,2)&amp;" pts.",0)</f>
        <v>-0.62 pts.</v>
      </c>
      <c r="AO34" s="11"/>
    </row>
    <row r="35" spans="1:41" x14ac:dyDescent="0.35">
      <c r="A35" s="97" t="s">
        <v>92</v>
      </c>
      <c r="B35" s="98" t="s">
        <v>93</v>
      </c>
      <c r="C35" s="98" t="s">
        <v>94</v>
      </c>
      <c r="D35" s="98" t="s">
        <v>95</v>
      </c>
      <c r="E35" s="98" t="s">
        <v>96</v>
      </c>
      <c r="F35" s="99" t="s">
        <v>97</v>
      </c>
      <c r="G35" s="11"/>
      <c r="H35" s="88" t="s">
        <v>382</v>
      </c>
      <c r="I35" s="122" t="str">
        <f>IF(_epmOfflineCondition_,"T5",_xll.EVPRO($B$1,$H35,"STYLE"))</f>
        <v>T5</v>
      </c>
      <c r="J35" s="122" t="str">
        <f>IF(_epmOfflineCondition_,"Y",_xll.EVPRO($B$1,$H35,"CALC"))</f>
        <v>Y</v>
      </c>
      <c r="K35" s="179" t="str">
        <f>IF(AND(I35&gt;="T5"),"&gt;","")</f>
        <v>&gt;</v>
      </c>
      <c r="L35" s="90" t="str">
        <f>IF(_epmOfflineCondition_,"",_xll.EVPRO($B$1,H35,"JDEID"))</f>
        <v/>
      </c>
      <c r="M35" s="90" t="str">
        <f>IF(_epmOfflineCondition_,"",IF(AND(I35="N",J35="N"),_xll.EVPRO($B$1,H35,"PSFTID"),""))</f>
        <v/>
      </c>
      <c r="N35" s="90" t="str">
        <f>IF(_epmOfflineCondition_,"Valet Parking Revenue",IF(_xll.EVDES(H35,$B$1)="#NODATA","",_xll.EVDES(H35,$B$1)))</f>
        <v>Valet Parking Revenue</v>
      </c>
      <c r="O35" s="143">
        <v>25214.95</v>
      </c>
      <c r="P35" s="143">
        <v>22128.97</v>
      </c>
      <c r="Q35" s="143">
        <v>12200.26</v>
      </c>
      <c r="R35" s="143"/>
      <c r="S35" s="143">
        <v>-72.900000000000006</v>
      </c>
      <c r="T35" s="143"/>
      <c r="U35" s="143"/>
      <c r="V35" s="143"/>
      <c r="W35" s="143">
        <v>547.5</v>
      </c>
      <c r="X35" s="143"/>
      <c r="Y35" s="143"/>
      <c r="Z35" s="143"/>
      <c r="AA35" s="250">
        <f>IF($I35="B1","",SUM(O35:Z35))</f>
        <v>60018.78</v>
      </c>
      <c r="AB35" s="144">
        <f>IF(AA35=0,"",IFERROR(AA35/AA$19,""))</f>
        <v>0.98210220615860311</v>
      </c>
      <c r="AC35" s="140"/>
      <c r="AD35" s="143">
        <v>261919.35</v>
      </c>
      <c r="AE35" s="144">
        <f>IF(AD35=0,"",IFERROR(AD35/AD$19,""))</f>
        <v>0.97743300423131174</v>
      </c>
      <c r="AF35" s="145">
        <f>IF(AND($AA35="",AD35=""),"",$AA35-AD35)</f>
        <v>-201900.57</v>
      </c>
      <c r="AG35" s="143">
        <v>226202.55</v>
      </c>
      <c r="AH35" s="144">
        <f>IF(AG35=0,"",IFERROR(AG35/AG$19,""))</f>
        <v>0.97589678597064511</v>
      </c>
      <c r="AI35" s="145">
        <f>IF(AND($AA35="",AG35=""),"",$AA35-AG35)</f>
        <v>-166183.76999999999</v>
      </c>
      <c r="AJ35" s="440">
        <f>IFERROR(AA35/AA$20,0)</f>
        <v>2.99345536159601</v>
      </c>
      <c r="AK35" s="441">
        <f>IFERROR(AD35/AD$20,0)</f>
        <v>6.93</v>
      </c>
      <c r="AL35" s="442">
        <f>IFERROR(AG35/AG$20,0)</f>
        <v>6.8792211544309954</v>
      </c>
      <c r="AM35" s="443" t="str">
        <f>+IFERROR(ROUND(($AB35-AE35)*100,2)&amp;" pts.",0)</f>
        <v>0.47 pts.</v>
      </c>
      <c r="AN35" s="444" t="str">
        <f>+IFERROR(ROUND(($AB35-AH35)*100,2)&amp;" pts.",0)</f>
        <v>0.62 pts.</v>
      </c>
      <c r="AO35" s="11"/>
    </row>
    <row r="36" spans="1:41" x14ac:dyDescent="0.35">
      <c r="A36" s="11"/>
      <c r="B36" s="11"/>
      <c r="C36" s="11"/>
      <c r="D36" s="11"/>
      <c r="E36" s="11"/>
      <c r="F36" s="11"/>
      <c r="G36" s="11"/>
      <c r="H36" s="88" t="s">
        <v>383</v>
      </c>
      <c r="I36" s="122" t="str">
        <f>IF(_epmOfflineCondition_,"N",_xll.EVPRO($B$1,$H36,"STYLE"))</f>
        <v>N</v>
      </c>
      <c r="J36" s="122" t="str">
        <f>IF(_epmOfflineCondition_,"N",_xll.EVPRO($B$1,$H36,"CALC"))</f>
        <v>N</v>
      </c>
      <c r="K36" s="179" t="str">
        <f>IF(AND(I36&gt;="T5"),"&gt;","")</f>
        <v/>
      </c>
      <c r="L36" s="90" t="str">
        <f>IF(_epmOfflineCondition_,"430300",_xll.EVPRO($B$1,H36,"JDEID"))</f>
        <v>430300</v>
      </c>
      <c r="M36" s="90" t="str">
        <f>IF(_epmOfflineCondition_,"206098",IF(AND(I36="N",J36="N"),_xll.EVPRO($B$1,H36,"PSFTID"),""))</f>
        <v>206098</v>
      </c>
      <c r="N36" s="90" t="str">
        <f>IF(_epmOfflineCondition_,"Other Revenue",IF(_xll.EVDES(H36,$B$1)="#NODATA","",_xll.EVDES(H36,$B$1)))</f>
        <v>Other Revenue</v>
      </c>
      <c r="O36" s="143"/>
      <c r="P36" s="143"/>
      <c r="Q36" s="143"/>
      <c r="R36" s="143"/>
      <c r="S36" s="143"/>
      <c r="T36" s="143"/>
      <c r="U36" s="143"/>
      <c r="V36" s="143"/>
      <c r="W36" s="143"/>
      <c r="X36" s="143"/>
      <c r="Y36" s="143"/>
      <c r="Z36" s="143"/>
      <c r="AA36" s="250">
        <f>IF($I36="B1","",SUM(O36:Z36))</f>
        <v>0</v>
      </c>
      <c r="AB36" s="144" t="str">
        <f>IF(AA36=0,"",IFERROR(AA36/AA$19,""))</f>
        <v/>
      </c>
      <c r="AC36" s="140"/>
      <c r="AD36" s="143"/>
      <c r="AE36" s="144" t="str">
        <f>IF(AD36=0,"",IFERROR(AD36/AD$19,""))</f>
        <v/>
      </c>
      <c r="AF36" s="145">
        <f>IF(AND($AA36="",AD36=""),"",$AA36-AD36)</f>
        <v>0</v>
      </c>
      <c r="AG36" s="143"/>
      <c r="AH36" s="144" t="str">
        <f>IF(AG36=0,"",IFERROR(AG36/AG$19,""))</f>
        <v/>
      </c>
      <c r="AI36" s="145">
        <f>IF(AND($AA36="",AG36=""),"",$AA36-AG36)</f>
        <v>0</v>
      </c>
      <c r="AJ36" s="440">
        <f>IFERROR(AA36/AA$20,0)</f>
        <v>0</v>
      </c>
      <c r="AK36" s="441">
        <f>IFERROR(AD36/AD$20,0)</f>
        <v>0</v>
      </c>
      <c r="AL36" s="442">
        <f>IFERROR(AG36/AG$20,0)</f>
        <v>0</v>
      </c>
      <c r="AM36" s="443">
        <f>+IFERROR(ROUND(($AB36-AE36)*100,2)&amp;" pts.",0)</f>
        <v>0</v>
      </c>
      <c r="AN36" s="444">
        <f>+IFERROR(ROUND(($AB36-AH36)*100,2)&amp;" pts.",0)</f>
        <v>0</v>
      </c>
      <c r="AO36" s="11"/>
    </row>
    <row r="37" spans="1:41" x14ac:dyDescent="0.35">
      <c r="A37" s="11" t="s">
        <v>105</v>
      </c>
      <c r="B37" s="11"/>
      <c r="C37" s="104" t="s">
        <v>101</v>
      </c>
      <c r="D37" s="11" t="s">
        <v>106</v>
      </c>
      <c r="E37" s="11"/>
      <c r="F37" s="11" t="s">
        <v>98</v>
      </c>
      <c r="G37" s="11"/>
      <c r="H37" s="88" t="s">
        <v>384</v>
      </c>
      <c r="I37" s="122" t="str">
        <f>IF(_epmOfflineCondition_,"N",_xll.EVPRO($B$1,$H37,"STYLE"))</f>
        <v>N</v>
      </c>
      <c r="J37" s="122" t="str">
        <f>IF(_epmOfflineCondition_,"N",_xll.EVPRO($B$1,$H37,"CALC"))</f>
        <v>N</v>
      </c>
      <c r="K37" s="179" t="str">
        <f>IF(AND(I37&gt;="T5"),"&gt;","")</f>
        <v/>
      </c>
      <c r="L37" s="90" t="str">
        <f>IF(_epmOfflineCondition_,"430990",_xll.EVPRO($B$1,H37,"JDEID"))</f>
        <v>430990</v>
      </c>
      <c r="M37" s="90" t="str">
        <f>IF(_epmOfflineCondition_,"206022",IF(AND(I37="N",J37="N"),_xll.EVPRO($B$1,H37,"PSFTID"),""))</f>
        <v>206022</v>
      </c>
      <c r="N37" s="90" t="str">
        <f>IF(_epmOfflineCondition_,"Parking: Allowances",IF(_xll.EVDES(H37,$B$1)="#NODATA","",_xll.EVDES(H37,$B$1)))</f>
        <v>Parking: Allowances</v>
      </c>
      <c r="O37" s="217"/>
      <c r="P37" s="217"/>
      <c r="Q37" s="217"/>
      <c r="R37" s="217"/>
      <c r="S37" s="217"/>
      <c r="T37" s="217"/>
      <c r="U37" s="217"/>
      <c r="V37" s="217"/>
      <c r="W37" s="217"/>
      <c r="X37" s="217"/>
      <c r="Y37" s="217"/>
      <c r="Z37" s="217"/>
      <c r="AA37" s="251">
        <f>IF($I37="B1","",SUM(O37:Z37))</f>
        <v>0</v>
      </c>
      <c r="AB37" s="219" t="str">
        <f>IF(AA37=0,"",IFERROR(AA37/AA$19,""))</f>
        <v/>
      </c>
      <c r="AC37" s="140"/>
      <c r="AD37" s="217"/>
      <c r="AE37" s="219" t="str">
        <f>IF(AD37=0,"",IFERROR(AD37/AD$19,""))</f>
        <v/>
      </c>
      <c r="AF37" s="220">
        <f>IF(AND($AA37="",AD37=""),"",$AA37-AD37)</f>
        <v>0</v>
      </c>
      <c r="AG37" s="217"/>
      <c r="AH37" s="219" t="str">
        <f>IF(AG37=0,"",IFERROR(AG37/AG$19,""))</f>
        <v/>
      </c>
      <c r="AI37" s="220">
        <f>IF(AND($AA37="",AG37=""),"",$AA37-AG37)</f>
        <v>0</v>
      </c>
      <c r="AJ37" s="449">
        <f>IFERROR(AA37/AA$20,0)</f>
        <v>0</v>
      </c>
      <c r="AK37" s="450">
        <f>IFERROR(AD37/AD$20,0)</f>
        <v>0</v>
      </c>
      <c r="AL37" s="451">
        <f>IFERROR(AG37/AG$20,0)</f>
        <v>0</v>
      </c>
      <c r="AM37" s="452">
        <f>+IFERROR(ROUND(($AB37-AE37)*100,2)&amp;" pts.",0)</f>
        <v>0</v>
      </c>
      <c r="AN37" s="453">
        <f>+IFERROR(ROUND(($AB37-AH37)*100,2)&amp;" pts.",0)</f>
        <v>0</v>
      </c>
      <c r="AO37" s="11"/>
    </row>
    <row r="38" spans="1:41" x14ac:dyDescent="0.35">
      <c r="A38" s="11" t="s">
        <v>104</v>
      </c>
      <c r="B38" s="11"/>
      <c r="C38" s="104" t="s">
        <v>101</v>
      </c>
      <c r="D38" s="11" t="s">
        <v>106</v>
      </c>
      <c r="E38" s="11"/>
      <c r="F38" s="11" t="s">
        <v>98</v>
      </c>
      <c r="G38" s="11"/>
      <c r="H38" s="88" t="s">
        <v>280</v>
      </c>
      <c r="I38" s="188" t="str">
        <f>IF(_epmOfflineCondition_,"T3",_xll.EVPRO($B$1,$H38,"STYLE"))</f>
        <v>T3</v>
      </c>
      <c r="J38" s="188" t="str">
        <f>IF(_epmOfflineCondition_,"Y",_xll.EVPRO($B$1,$H38,"CALC"))</f>
        <v>Y</v>
      </c>
      <c r="K38" s="189" t="str">
        <f>IF(AND(I38&gt;="T5"),"&gt;","")</f>
        <v/>
      </c>
      <c r="L38" s="190" t="str">
        <f>IF(_epmOfflineCondition_,"400000",_xll.EVPRO($B$1,H38,"JDEID"))</f>
        <v>400000</v>
      </c>
      <c r="M38" s="190" t="str">
        <f>IF(_epmOfflineCondition_,"",IF(AND(I38="N",J38="N"),_xll.EVPRO($B$1,H38,"PSFTID"),""))</f>
        <v/>
      </c>
      <c r="N38" s="190" t="str">
        <f>IF(_epmOfflineCondition_,"Total Revenue",IF(_xll.EVDES(H38,$B$1)="#NODATA","",_xll.EVDES(H38,$B$1)))</f>
        <v>Total Revenue</v>
      </c>
      <c r="O38" s="225">
        <v>25679.95</v>
      </c>
      <c r="P38" s="225">
        <v>22547.47</v>
      </c>
      <c r="Q38" s="225">
        <v>12410.54</v>
      </c>
      <c r="R38" s="225"/>
      <c r="S38" s="225">
        <v>-72.900000000000006</v>
      </c>
      <c r="T38" s="225"/>
      <c r="U38" s="225"/>
      <c r="V38" s="225"/>
      <c r="W38" s="225">
        <v>547.5</v>
      </c>
      <c r="X38" s="225"/>
      <c r="Y38" s="225"/>
      <c r="Z38" s="225"/>
      <c r="AA38" s="225">
        <f>IF($I38="B1","",SUM(O38:Z38))</f>
        <v>61112.56</v>
      </c>
      <c r="AB38" s="226">
        <f>IF(AA38=0,"",IFERROR(AA38/AA$19,""))</f>
        <v>1</v>
      </c>
      <c r="AC38" s="227"/>
      <c r="AD38" s="225">
        <v>267966.55</v>
      </c>
      <c r="AE38" s="226">
        <f>IF(AD38=0,"",IFERROR(AD38/AD$19,""))</f>
        <v>1</v>
      </c>
      <c r="AF38" s="228">
        <f>IF(AND($AA38="",AD38=""),"",$AA38-AD38)</f>
        <v>-206853.99</v>
      </c>
      <c r="AG38" s="225">
        <v>231789.42</v>
      </c>
      <c r="AH38" s="226">
        <f>IF(AG38=0,"",IFERROR(AG38/AG$19,""))</f>
        <v>1</v>
      </c>
      <c r="AI38" s="228">
        <f>IF(AND($AA38="",AG38=""),"",$AA38-AG38)</f>
        <v>-170676.86000000002</v>
      </c>
      <c r="AJ38" s="229">
        <f>IFERROR(AA38/AA$20,0)</f>
        <v>3.0480079800498752</v>
      </c>
      <c r="AK38" s="230">
        <f>IFERROR(AD38/AD$20,0)</f>
        <v>7.09</v>
      </c>
      <c r="AL38" s="232">
        <f>IFERROR(AG38/AG$20,0)</f>
        <v>7.049127790280397</v>
      </c>
      <c r="AM38" s="427" t="str">
        <f>+IFERROR(ROUND(($AB38-AE38)*100,2)&amp;" pts.",0)</f>
        <v>0 pts.</v>
      </c>
      <c r="AN38" s="456" t="str">
        <f>+IFERROR(ROUND(($AB38-AH38)*100,2)&amp;" pts.",0)</f>
        <v>0 pts.</v>
      </c>
      <c r="AO38" s="11"/>
    </row>
    <row r="39" spans="1:41" x14ac:dyDescent="0.35">
      <c r="A39" s="11" t="s">
        <v>108</v>
      </c>
      <c r="B39" s="11"/>
      <c r="C39" s="106" t="s">
        <v>101</v>
      </c>
      <c r="D39" s="11" t="s">
        <v>106</v>
      </c>
      <c r="E39" s="11"/>
      <c r="F39" s="11" t="s">
        <v>98</v>
      </c>
      <c r="G39" s="11"/>
      <c r="H39" s="11"/>
      <c r="I39" s="59"/>
      <c r="J39" s="59"/>
      <c r="K39" s="11"/>
      <c r="L39" s="11"/>
      <c r="M39" s="11"/>
      <c r="N39" s="11"/>
      <c r="O39" s="203"/>
      <c r="P39" s="204"/>
      <c r="Q39" s="204"/>
      <c r="R39" s="204"/>
      <c r="S39" s="204"/>
      <c r="T39" s="204"/>
      <c r="U39" s="204"/>
      <c r="V39" s="204"/>
      <c r="W39" s="204"/>
      <c r="X39" s="204"/>
      <c r="Y39" s="204"/>
      <c r="Z39" s="204"/>
      <c r="AA39" s="204"/>
      <c r="AB39" s="118"/>
      <c r="AC39" s="11"/>
      <c r="AD39" s="203"/>
      <c r="AE39" s="204"/>
      <c r="AF39" s="118"/>
      <c r="AG39" s="203"/>
      <c r="AH39" s="204"/>
      <c r="AI39" s="118"/>
      <c r="AJ39" s="11"/>
      <c r="AK39" s="11"/>
      <c r="AL39" s="11"/>
      <c r="AM39" s="11"/>
      <c r="AN39" s="11"/>
      <c r="AO39" s="11"/>
    </row>
    <row r="40" spans="1:41" x14ac:dyDescent="0.35">
      <c r="A40" s="11" t="s">
        <v>108</v>
      </c>
      <c r="B40" s="11"/>
      <c r="C40" s="196" t="s">
        <v>101</v>
      </c>
      <c r="D40" s="11" t="s">
        <v>107</v>
      </c>
      <c r="E40" s="11"/>
      <c r="F40" s="11" t="s">
        <v>99</v>
      </c>
      <c r="G40" s="11"/>
      <c r="H40" s="11" t="s">
        <v>281</v>
      </c>
      <c r="I40" s="59" t="str">
        <f>IF(_epmOfflineCondition_,"B1",_xll.EVPRO($B$1,$H40,"STYLE"))</f>
        <v>B1</v>
      </c>
      <c r="J40" s="59" t="str">
        <f>IF(_epmOfflineCondition_,"Y",_xll.EVPRO($B$1,$H40,"CALC"))</f>
        <v>Y</v>
      </c>
      <c r="K40" s="11"/>
      <c r="L40" s="11"/>
      <c r="M40" s="11"/>
      <c r="N40" s="105" t="str">
        <f>IF(_epmOfflineCondition_,"Cost of Sales",IF(_xll.EVDES(H40,$B$1)="#NODATA","",_xll.EVDES(H40,$B$1)))</f>
        <v>Cost of Sales</v>
      </c>
      <c r="O40" s="203"/>
      <c r="P40" s="204"/>
      <c r="Q40" s="204"/>
      <c r="R40" s="204"/>
      <c r="S40" s="204"/>
      <c r="T40" s="204"/>
      <c r="U40" s="204"/>
      <c r="V40" s="204"/>
      <c r="W40" s="204"/>
      <c r="X40" s="204"/>
      <c r="Y40" s="204"/>
      <c r="Z40" s="204"/>
      <c r="AA40" s="204"/>
      <c r="AB40" s="118"/>
      <c r="AC40" s="11"/>
      <c r="AD40" s="203"/>
      <c r="AE40" s="204"/>
      <c r="AF40" s="118"/>
      <c r="AG40" s="203"/>
      <c r="AH40" s="204"/>
      <c r="AI40" s="118"/>
      <c r="AJ40" s="11"/>
      <c r="AK40" s="11"/>
      <c r="AL40" s="11"/>
      <c r="AM40" s="11"/>
      <c r="AN40" s="11"/>
      <c r="AO40" s="11"/>
    </row>
    <row r="41" spans="1:41" x14ac:dyDescent="0.35">
      <c r="A41" s="11"/>
      <c r="B41" s="11"/>
      <c r="C41" s="11"/>
      <c r="D41" s="11"/>
      <c r="E41" s="11"/>
      <c r="F41" s="11"/>
      <c r="G41" s="11"/>
      <c r="H41" s="88" t="s">
        <v>385</v>
      </c>
      <c r="I41" s="122" t="str">
        <f>IF(_epmOfflineCondition_,"N",_xll.EVPRO($B$1,$H41,"STYLE"))</f>
        <v>N</v>
      </c>
      <c r="J41" s="122" t="str">
        <f>IF(_epmOfflineCondition_,"N",_xll.EVPRO($B$1,$H41,"CALC"))</f>
        <v>N</v>
      </c>
      <c r="K41" s="179" t="str">
        <f>IF(AND(I41&gt;="T5"),"&gt;","")</f>
        <v/>
      </c>
      <c r="L41" s="90" t="str">
        <f>IF(_epmOfflineCondition_,"530100",_xll.EVPRO($B$1,H41,"JDEID"))</f>
        <v>530100</v>
      </c>
      <c r="M41" s="90" t="str">
        <f>IF(_epmOfflineCondition_,"306010",IF(AND(I41="N",J41="N"),_xll.EVPRO($B$1,H41,"PSFTID"),""))</f>
        <v>306010</v>
      </c>
      <c r="N41" s="90" t="str">
        <f>IF(_epmOfflineCondition_,"Parking Cost of Sales",IF(_xll.EVDES(H41,$B$1)="#NODATA","",_xll.EVDES(H41,$B$1)))</f>
        <v>Parking Cost of Sales</v>
      </c>
      <c r="O41" s="217"/>
      <c r="P41" s="217"/>
      <c r="Q41" s="217"/>
      <c r="R41" s="217"/>
      <c r="S41" s="217"/>
      <c r="T41" s="217"/>
      <c r="U41" s="217"/>
      <c r="V41" s="217"/>
      <c r="W41" s="217"/>
      <c r="X41" s="217"/>
      <c r="Y41" s="217"/>
      <c r="Z41" s="217"/>
      <c r="AA41" s="217">
        <f>IF($I41="B1","",SUM(O41:Z41))</f>
        <v>0</v>
      </c>
      <c r="AB41" s="219" t="str">
        <f>IF(_epmOfflineCondition_,"",IF(AA41=0,"",IFERROR(AA41/_xll.EVGTS($B$1,1,_xll.EVPRO($B$1,$H41,"COSBASIS"),$B$3,$B$5,$B$6,$B$7,$B$9,AA$16,AA$17,AA$11),"")))</f>
        <v/>
      </c>
      <c r="AC41" s="140"/>
      <c r="AD41" s="217"/>
      <c r="AE41" s="219" t="str">
        <f>IF(_epmOfflineCondition_,"",IF(AD41=0,"",IFERROR(AD41/_xll.EVGTS($B$1,1,_xll.EVPRO($B$1,$H41,"COSBASIS"),$B$3,$B$5,$B$6,$B$7,$B$9,AD$16,AD$17,AD$18),"")))</f>
        <v/>
      </c>
      <c r="AF41" s="220">
        <f>IF(AND($AA41="",AD41=""),"",$AA41-AD41)</f>
        <v>0</v>
      </c>
      <c r="AG41" s="217"/>
      <c r="AH41" s="219" t="str">
        <f>IF(_epmOfflineCondition_,"",IF(AG41=0,"",IFERROR(AG41/_xll.EVGTS($B$1,1,_xll.EVPRO($B$1,$H41,"COSBASIS"),$B$3,$B$5,$B$6,$B$7,$B$9,AG$16,AG$17,AG$18),"")))</f>
        <v/>
      </c>
      <c r="AI41" s="220">
        <f>IF(AND($AA41="",AG41=""),"",$AA41-AG41)</f>
        <v>0</v>
      </c>
      <c r="AJ41" s="449">
        <f>IFERROR(AA41/AA$20,0)</f>
        <v>0</v>
      </c>
      <c r="AK41" s="450">
        <f>IFERROR(AD41/AD$20,0)</f>
        <v>0</v>
      </c>
      <c r="AL41" s="451">
        <f>IFERROR(AG41/AG$20,0)</f>
        <v>0</v>
      </c>
      <c r="AM41" s="452">
        <f>+IFERROR(ROUND(($AB41-AE41)*100,2)&amp;" pts.",0)</f>
        <v>0</v>
      </c>
      <c r="AN41" s="453">
        <f>+IFERROR(ROUND(($AB41-AH41)*100,2)&amp;" pts.",0)</f>
        <v>0</v>
      </c>
      <c r="AO41" s="11"/>
    </row>
    <row r="42" spans="1:41" x14ac:dyDescent="0.35">
      <c r="A42" s="11"/>
      <c r="B42" s="11"/>
      <c r="C42" s="11"/>
      <c r="D42" s="11"/>
      <c r="E42" s="11"/>
      <c r="F42" s="11"/>
      <c r="G42" s="11"/>
      <c r="H42" s="88" t="s">
        <v>289</v>
      </c>
      <c r="I42" s="188" t="str">
        <f>IF(_epmOfflineCondition_,"T3",_xll.EVPRO($B$1,$H42,"STYLE"))</f>
        <v>T3</v>
      </c>
      <c r="J42" s="188" t="str">
        <f>IF(_epmOfflineCondition_,"Y",_xll.EVPRO($B$1,$H42,"CALC"))</f>
        <v>Y</v>
      </c>
      <c r="K42" s="189" t="str">
        <f>IF(AND(I42&gt;="T5"),"&gt;","")</f>
        <v/>
      </c>
      <c r="L42" s="190" t="str">
        <f>IF(_epmOfflineCondition_,"500001",_xll.EVPRO($B$1,H42,"JDEID"))</f>
        <v>500001</v>
      </c>
      <c r="M42" s="190" t="str">
        <f>IF(_epmOfflineCondition_,"",IF(AND(I42="N",J42="N"),_xll.EVPRO($B$1,H42,"PSFTID"),""))</f>
        <v/>
      </c>
      <c r="N42" s="190" t="str">
        <f>IF(_epmOfflineCondition_,"Total Cost of Sales",IF(_xll.EVDES(H42,$B$1)="#NODATA","",_xll.EVDES(H42,$B$1)))</f>
        <v>Total Cost of Sales</v>
      </c>
      <c r="O42" s="225"/>
      <c r="P42" s="225"/>
      <c r="Q42" s="225"/>
      <c r="R42" s="225"/>
      <c r="S42" s="225"/>
      <c r="T42" s="225"/>
      <c r="U42" s="225"/>
      <c r="V42" s="225"/>
      <c r="W42" s="225"/>
      <c r="X42" s="225"/>
      <c r="Y42" s="225"/>
      <c r="Z42" s="225"/>
      <c r="AA42" s="225">
        <f>IF($I42="B1","",SUM(O42:Z42))</f>
        <v>0</v>
      </c>
      <c r="AB42" s="226" t="str">
        <f>IF(_epmOfflineCondition_,"",IF(AA42=0,"",IFERROR(AA42/_xll.EVGTS($B$1,1,_xll.EVPRO($B$1,$H42,"COSBASIS"),$B$3,$B$5,$B$6,$B$7,$B$9,AA$16,AA$17,AA$11),"")))</f>
        <v/>
      </c>
      <c r="AC42" s="227"/>
      <c r="AD42" s="225"/>
      <c r="AE42" s="226" t="str">
        <f>IF(_epmOfflineCondition_,"",IF(AD42=0,"",IFERROR(AD42/_xll.EVGTS($B$1,1,_xll.EVPRO($B$1,$H42,"COSBASIS"),$B$3,$B$5,$B$6,$B$7,$B$9,AD$16,AD$17,AD$18),"")))</f>
        <v/>
      </c>
      <c r="AF42" s="228">
        <f>IF(AND($AA42="",AD42=""),"",$AA42-AD42)</f>
        <v>0</v>
      </c>
      <c r="AG42" s="225"/>
      <c r="AH42" s="226" t="str">
        <f>IF(_epmOfflineCondition_,"",IF(AG42=0,"",IFERROR(AG42/_xll.EVGTS($B$1,1,_xll.EVPRO($B$1,$H42,"COSBASIS"),$B$3,$B$5,$B$6,$B$7,$B$9,AG$16,AG$17,AG$18),"")))</f>
        <v/>
      </c>
      <c r="AI42" s="228">
        <f>IF(AND($AA42="",AG42=""),"",$AA42-AG42)</f>
        <v>0</v>
      </c>
      <c r="AJ42" s="229">
        <f>IFERROR(AA42/AA$20,0)</f>
        <v>0</v>
      </c>
      <c r="AK42" s="230">
        <f>IFERROR(AD42/AD$20,0)</f>
        <v>0</v>
      </c>
      <c r="AL42" s="232">
        <f>IFERROR(AG42/AG$20,0)</f>
        <v>0</v>
      </c>
      <c r="AM42" s="427">
        <f>+IFERROR(ROUND(($AB42-AE42)*100,2)&amp;" pts.",0)</f>
        <v>0</v>
      </c>
      <c r="AN42" s="456">
        <f>+IFERROR(ROUND(($AB42-AH42)*100,2)&amp;" pts.",0)</f>
        <v>0</v>
      </c>
      <c r="AO42" s="11"/>
    </row>
    <row r="43" spans="1:41" x14ac:dyDescent="0.35">
      <c r="A43" s="61" t="str">
        <f>IF(_epmOfflineCondition_,"Evdre:Ok",_xll.EVDRE($B$1,A46:B53,A56:B62))</f>
        <v>Evdre:Ok</v>
      </c>
      <c r="B43" s="11"/>
      <c r="C43" s="11"/>
      <c r="D43" s="11"/>
      <c r="E43" s="11"/>
      <c r="F43" s="11"/>
      <c r="G43" s="11"/>
      <c r="H43" s="185" t="s">
        <v>175</v>
      </c>
      <c r="I43" s="89" t="str">
        <f>IF(_epmOfflineCondition_,"B1",_xll.EVPRO($B$1,$H43,"STYLE"))</f>
        <v>B1</v>
      </c>
      <c r="J43" s="89" t="str">
        <f>IF(_epmOfflineCondition_,"Y",_xll.EVPRO($B$1,$H43,"CALC"))</f>
        <v>Y</v>
      </c>
      <c r="K43" s="265" t="str">
        <f>IF(AND(I43&gt;="T5"),"&gt;","")</f>
        <v/>
      </c>
      <c r="L43" s="265"/>
      <c r="M43" s="265"/>
      <c r="N43" s="106" t="str">
        <f>IF(_epmOfflineCondition_,"BLANKROW",IF(_xll.EVDES(H43,$B$1)="#NODATA","",_xll.EVDES(H43,$B$1)))</f>
        <v>BLANKROW</v>
      </c>
      <c r="O43" s="205"/>
      <c r="P43" s="205"/>
      <c r="Q43" s="205"/>
      <c r="R43" s="205"/>
      <c r="S43" s="205"/>
      <c r="T43" s="205"/>
      <c r="U43" s="205"/>
      <c r="V43" s="205"/>
      <c r="W43" s="205"/>
      <c r="X43" s="205"/>
      <c r="Y43" s="205"/>
      <c r="Z43" s="205"/>
      <c r="AA43" s="205"/>
      <c r="AB43" s="206"/>
      <c r="AC43" s="11"/>
      <c r="AD43" s="205"/>
      <c r="AE43" s="206" t="str">
        <f>IF(_epmOfflineCondition_,"",IF(AD43=0,"",IFERROR(AD43/_xll.EVGTS($B$1,1,INDEX($C$143:$C$166,MATCH($H43,$A$143:$A$166,0)),$B$3,$B$5,$B$6,$B$7,$B$9,AD$16,AD$17,AD$18),"")))</f>
        <v/>
      </c>
      <c r="AF43" s="207" t="str">
        <f>IF(AND($AA43="",AD43=""),"",$AA43-AD43)</f>
        <v/>
      </c>
      <c r="AG43" s="205"/>
      <c r="AH43" s="206" t="str">
        <f>IF(_epmOfflineCondition_,"",IF(AG43=0,"",IFERROR(AG43/_xll.EVGTS($B$1,1,INDEX($C$143:$C$166,MATCH($H43,$A$143:$A$166,0)),$B$3,$B$5,$B$6,$B$7,$B$9,AG$16,AG$17,AG$18),"")))</f>
        <v/>
      </c>
      <c r="AI43" s="207" t="str">
        <f>IF(AND($AA43="",AG43=""),"",$AA43-AG43)</f>
        <v/>
      </c>
      <c r="AJ43" s="523">
        <f>IFERROR(AA43/AA$20,0)</f>
        <v>0</v>
      </c>
      <c r="AK43" s="524">
        <f>IFERROR(AD43/AD$20,0)</f>
        <v>0</v>
      </c>
      <c r="AL43" s="525">
        <f>IFERROR(AG43/AG$20,0)</f>
        <v>0</v>
      </c>
      <c r="AM43" s="526">
        <f>+IFERROR(ROUND(($AB43-AE43)*100,2)&amp;" pts.",0)</f>
        <v>0</v>
      </c>
      <c r="AN43" s="527">
        <f>+IFERROR(ROUND(($AB43-AH43)*100,2)&amp;" pts.",0)</f>
        <v>0</v>
      </c>
      <c r="AO43" s="11"/>
    </row>
    <row r="44" spans="1:41" x14ac:dyDescent="0.35">
      <c r="A44" s="11"/>
      <c r="B44" s="11"/>
      <c r="C44" s="11"/>
      <c r="D44" s="11"/>
      <c r="E44" s="11"/>
      <c r="F44" s="11"/>
      <c r="G44" s="11"/>
      <c r="H44" s="185" t="s">
        <v>292</v>
      </c>
      <c r="I44" s="89" t="str">
        <f>IF(_epmOfflineCondition_,"T3",_xll.EVPRO($B$1,$H44,"STYLE"))</f>
        <v>T3</v>
      </c>
      <c r="J44" s="89" t="str">
        <f>IF(_epmOfflineCondition_,"Y",_xll.EVPRO($B$1,$H44,"CALC"))</f>
        <v>Y</v>
      </c>
      <c r="K44" s="265" t="str">
        <f>IF(AND(I44&gt;="T5"),"&gt;","")</f>
        <v/>
      </c>
      <c r="L44" s="265"/>
      <c r="M44" s="265"/>
      <c r="N44" s="106" t="str">
        <f>IF(_epmOfflineCondition_,"Gross Profit",IF(_xll.EVDES(H44,$B$1)="#NODATA","",_xll.EVDES(H44,$B$1)))</f>
        <v>Gross Profit</v>
      </c>
      <c r="O44" s="123">
        <f t="shared" ref="O44:Z44" si="0">SUMIF($H$34:$H$42,"400000",O34:O42)-SUMIF($H$34:$H$42,"500001",O34:O42)</f>
        <v>25679.95</v>
      </c>
      <c r="P44" s="123">
        <f t="shared" si="0"/>
        <v>22547.47</v>
      </c>
      <c r="Q44" s="123">
        <f t="shared" si="0"/>
        <v>12410.54</v>
      </c>
      <c r="R44" s="123">
        <f t="shared" si="0"/>
        <v>0</v>
      </c>
      <c r="S44" s="123">
        <f t="shared" si="0"/>
        <v>-72.900000000000006</v>
      </c>
      <c r="T44" s="123">
        <f t="shared" si="0"/>
        <v>0</v>
      </c>
      <c r="U44" s="123">
        <f t="shared" si="0"/>
        <v>0</v>
      </c>
      <c r="V44" s="123">
        <f t="shared" si="0"/>
        <v>0</v>
      </c>
      <c r="W44" s="123">
        <f t="shared" si="0"/>
        <v>547.5</v>
      </c>
      <c r="X44" s="123">
        <f t="shared" si="0"/>
        <v>0</v>
      </c>
      <c r="Y44" s="123">
        <f t="shared" si="0"/>
        <v>0</v>
      </c>
      <c r="Z44" s="123">
        <f t="shared" si="0"/>
        <v>0</v>
      </c>
      <c r="AA44" s="191">
        <f>IF($I44="B1","",SUM(O44:Z44))</f>
        <v>61112.56</v>
      </c>
      <c r="AB44" s="192">
        <f>IF(AA44=0,"",IFERROR(AA44/AA$19,""))</f>
        <v>1</v>
      </c>
      <c r="AC44" s="11"/>
      <c r="AD44" s="123">
        <f>SUMIF($H$34:$H$42,"400000",AD34:AD42)-SUMIF($H$34:$H$42,"500001",AD34:AD42)</f>
        <v>267966.55</v>
      </c>
      <c r="AE44" s="192">
        <f>IF(AD44=0,"",IFERROR(AD44/AD$19,""))</f>
        <v>1</v>
      </c>
      <c r="AF44" s="125">
        <f>IF(AND($AA44="",AD44=""),"",$AA44-AD44)</f>
        <v>-206853.99</v>
      </c>
      <c r="AG44" s="123">
        <f>SUMIF($H$34:$H$42,"400000",AG34:AG42)-SUMIF($H$34:$H$42,"500001",AG34:AG42)</f>
        <v>231789.42</v>
      </c>
      <c r="AH44" s="192">
        <f>IF(AG44=0,"",IFERROR(AG44/AG$19,""))</f>
        <v>1</v>
      </c>
      <c r="AI44" s="125">
        <f>IF(AND($AA44="",AG44=""),"",$AA44-AG44)</f>
        <v>-170676.86000000002</v>
      </c>
      <c r="AJ44" s="388">
        <f>IFERROR(AA44/AA$20,0)</f>
        <v>3.0480079800498752</v>
      </c>
      <c r="AK44" s="389">
        <f>IFERROR(AD44/AD$20,0)</f>
        <v>7.09</v>
      </c>
      <c r="AL44" s="390">
        <f>IFERROR(AG44/AG$20,0)</f>
        <v>7.049127790280397</v>
      </c>
      <c r="AM44" s="391" t="str">
        <f>+IFERROR(ROUND(($AB44-AE44)*100,2)&amp;" pts.",0)</f>
        <v>0 pts.</v>
      </c>
      <c r="AN44" s="544" t="str">
        <f>+IFERROR(ROUND(($AB44-AH44)*100,2)&amp;" pts.",0)</f>
        <v>0 pts.</v>
      </c>
      <c r="AO44" s="11"/>
    </row>
    <row r="45" spans="1:41" x14ac:dyDescent="0.35">
      <c r="A45" s="62" t="s">
        <v>0</v>
      </c>
      <c r="B45" s="63" t="s">
        <v>1</v>
      </c>
      <c r="C45" s="11"/>
      <c r="D45" s="11"/>
      <c r="E45" s="11"/>
      <c r="F45" s="11"/>
      <c r="G45" s="11"/>
      <c r="H45" s="11"/>
      <c r="I45" s="59"/>
      <c r="J45" s="59"/>
      <c r="K45" s="11"/>
      <c r="L45" s="11"/>
      <c r="M45" s="11"/>
      <c r="N45" s="11"/>
      <c r="O45" s="393"/>
      <c r="P45" s="394"/>
      <c r="Q45" s="394"/>
      <c r="R45" s="394"/>
      <c r="S45" s="394"/>
      <c r="T45" s="394"/>
      <c r="U45" s="394"/>
      <c r="V45" s="394"/>
      <c r="W45" s="394"/>
      <c r="X45" s="394"/>
      <c r="Y45" s="394"/>
      <c r="Z45" s="394"/>
      <c r="AA45" s="394"/>
      <c r="AB45" s="118"/>
      <c r="AC45" s="11"/>
      <c r="AD45" s="203"/>
      <c r="AE45" s="204"/>
      <c r="AF45" s="118"/>
      <c r="AG45" s="204"/>
      <c r="AH45" s="204"/>
      <c r="AI45" s="118"/>
      <c r="AJ45" s="11"/>
      <c r="AK45" s="11"/>
      <c r="AL45" s="11"/>
      <c r="AM45" s="11"/>
      <c r="AN45" s="11"/>
      <c r="AO45" s="11"/>
    </row>
    <row r="46" spans="1:41" x14ac:dyDescent="0.35">
      <c r="A46" s="65" t="s">
        <v>2</v>
      </c>
      <c r="B46" s="66" t="str">
        <f>IF(_epmOfflineCondition_,"'Parking'!$B$2:$B$10",_xll.EVRNG($B$2:$B$10))</f>
        <v>'Parking'!$B$2:$B$10</v>
      </c>
      <c r="C46" s="11"/>
      <c r="D46" s="11"/>
      <c r="E46" s="11"/>
      <c r="F46" s="11"/>
      <c r="G46" s="11"/>
      <c r="H46" s="11" t="s">
        <v>73</v>
      </c>
      <c r="I46" s="59" t="str">
        <f>IF(_epmOfflineCondition_,"B1",_xll.EVPRO($B$1,$H46,"STYLE"))</f>
        <v>B1</v>
      </c>
      <c r="J46" s="59" t="str">
        <f>IF(_epmOfflineCondition_,"Y",_xll.EVPRO($B$1,$H46,"CALC"))</f>
        <v>Y</v>
      </c>
      <c r="K46" s="11"/>
      <c r="L46" s="11"/>
      <c r="M46" s="11"/>
      <c r="N46" s="105" t="str">
        <f>IF(_epmOfflineCondition_,"Labor &amp; Related Expenses",IF(_xll.EVDES(H46,$B$1)="#NODATA","",_xll.EVDES(H46,$B$1)))</f>
        <v>Labor &amp; Related Expenses</v>
      </c>
      <c r="O46" s="203"/>
      <c r="P46" s="204"/>
      <c r="Q46" s="204"/>
      <c r="R46" s="204"/>
      <c r="S46" s="204"/>
      <c r="T46" s="204"/>
      <c r="U46" s="204"/>
      <c r="V46" s="204"/>
      <c r="W46" s="204"/>
      <c r="X46" s="204"/>
      <c r="Y46" s="204"/>
      <c r="Z46" s="204"/>
      <c r="AA46" s="204"/>
      <c r="AB46" s="410"/>
      <c r="AC46" s="11"/>
      <c r="AD46" s="411"/>
      <c r="AE46" s="412"/>
      <c r="AF46" s="118"/>
      <c r="AG46" s="204"/>
      <c r="AH46" s="412"/>
      <c r="AI46" s="118"/>
      <c r="AJ46" s="11"/>
      <c r="AK46" s="11"/>
      <c r="AL46" s="11"/>
      <c r="AM46" s="11"/>
      <c r="AN46" s="11"/>
      <c r="AO46" s="11"/>
    </row>
    <row r="47" spans="1:41" x14ac:dyDescent="0.35">
      <c r="A47" s="65" t="s">
        <v>3</v>
      </c>
      <c r="B47" s="66" t="str">
        <f>IF(_epmOfflineCondition_,"'Parking'!$O$16:$AN$18",_xll.EVRNG($O$16:$AN$18))</f>
        <v>'Parking'!$O$16:$AN$18</v>
      </c>
      <c r="C47" s="11"/>
      <c r="D47" s="11"/>
      <c r="E47" s="11"/>
      <c r="F47" s="11"/>
      <c r="G47" s="11"/>
      <c r="H47" s="11" t="s">
        <v>74</v>
      </c>
      <c r="I47" s="59" t="str">
        <f>IF(_epmOfflineCondition_,"B1",_xll.EVPRO($B$1,$H47,"STYLE"))</f>
        <v>B1</v>
      </c>
      <c r="J47" s="59" t="str">
        <f>IF(_epmOfflineCondition_,"Y",_xll.EVPRO($B$1,$H47,"CALC"))</f>
        <v>Y</v>
      </c>
      <c r="K47" s="11"/>
      <c r="L47" s="11"/>
      <c r="M47" s="11"/>
      <c r="N47" s="53" t="str">
        <f>IF(_epmOfflineCondition_,"Salaries &amp; Wages",IF(_xll.EVDES(H47,$B$1)="#NODATA","",_xll.EVDES(H47,$B$1)))</f>
        <v>Salaries &amp; Wages</v>
      </c>
      <c r="O47" s="119"/>
      <c r="P47" s="120"/>
      <c r="Q47" s="120"/>
      <c r="R47" s="120"/>
      <c r="S47" s="120"/>
      <c r="T47" s="120"/>
      <c r="U47" s="120"/>
      <c r="V47" s="120"/>
      <c r="W47" s="120"/>
      <c r="X47" s="120"/>
      <c r="Y47" s="120"/>
      <c r="Z47" s="120"/>
      <c r="AA47" s="120"/>
      <c r="AB47" s="121"/>
      <c r="AC47" s="11"/>
      <c r="AD47" s="119"/>
      <c r="AE47" s="120"/>
      <c r="AF47" s="121"/>
      <c r="AG47" s="120"/>
      <c r="AH47" s="120"/>
      <c r="AI47" s="121"/>
      <c r="AJ47" s="11"/>
      <c r="AK47" s="11"/>
      <c r="AL47" s="11"/>
      <c r="AM47" s="11"/>
      <c r="AN47" s="11"/>
      <c r="AO47" s="11"/>
    </row>
    <row r="48" spans="1:41" hidden="1" x14ac:dyDescent="0.35">
      <c r="A48" s="65" t="s">
        <v>4</v>
      </c>
      <c r="B48" s="66" t="str">
        <f>IF(_epmOfflineCondition_,"'Parking'!$H$41:$H$42",_xll.EVRNG(H41:H42))</f>
        <v>'Parking'!$H$41:$H$42</v>
      </c>
      <c r="C48" s="11"/>
      <c r="D48" s="11"/>
      <c r="E48" s="11"/>
      <c r="F48" s="11"/>
      <c r="G48" s="11"/>
      <c r="H48" s="88" t="s">
        <v>667</v>
      </c>
      <c r="I48" s="122" t="str">
        <f>IF(_epmOfflineCondition_,"",_xll.EVPRO($B$1,$H48,"STYLE"))</f>
        <v/>
      </c>
      <c r="J48" s="122" t="str">
        <f>IF(_epmOfflineCondition_,"",_xll.EVPRO($B$1,$H48,"CALC"))</f>
        <v/>
      </c>
      <c r="K48" s="179" t="str">
        <f t="shared" ref="K48:K57" si="1">IF(AND(I48&gt;="T3"),"&gt;","")</f>
        <v/>
      </c>
      <c r="L48" s="90" t="str">
        <f>IF(_epmOfflineCondition_,"",_xll.EVPRO($B$1,H48,"JDEID"))</f>
        <v/>
      </c>
      <c r="M48" s="90" t="str">
        <f>IF(_epmOfflineCondition_,"",IF(AND(I48="N",J48="N"),_xll.EVPRO($B$1,H48,"PSFTID"),""))</f>
        <v/>
      </c>
      <c r="N48" s="90" t="str">
        <f>IF(_epmOfflineCondition_,"",IF(_xll.EVDES(H48,$B$1)="#NODATA","",_xll.EVDES(H48,$B$1)))</f>
        <v/>
      </c>
      <c r="O48" s="216"/>
      <c r="P48" s="216"/>
      <c r="Q48" s="216"/>
      <c r="R48" s="216"/>
      <c r="S48" s="216"/>
      <c r="T48" s="216"/>
      <c r="U48" s="216"/>
      <c r="V48" s="216"/>
      <c r="W48" s="216"/>
      <c r="X48" s="216"/>
      <c r="Y48" s="216"/>
      <c r="Z48" s="216"/>
      <c r="AA48" s="251">
        <f t="shared" ref="AA48:AA57" si="2">IF($I48="B1","",SUM(O48:Z48))</f>
        <v>0</v>
      </c>
      <c r="AB48" s="218" t="str">
        <f t="shared" ref="AB48:AB57" si="3">IF(AA48=0,"",IFERROR(AA48/AA$19,""))</f>
        <v/>
      </c>
      <c r="AC48" s="140"/>
      <c r="AD48" s="216"/>
      <c r="AE48" s="218" t="str">
        <f t="shared" ref="AE48:AE57" si="4">IF(AD48=0,"",IFERROR(AD48/AD$19,""))</f>
        <v/>
      </c>
      <c r="AF48" s="233">
        <f t="shared" ref="AF48:AF57" si="5">IF(AND($AA48="",AD48=""),"",$AA48-AD48)</f>
        <v>0</v>
      </c>
      <c r="AG48" s="216"/>
      <c r="AH48" s="218" t="str">
        <f t="shared" ref="AH48:AH57" si="6">IF(AG48=0,"",IFERROR(AG48/AG$19,""))</f>
        <v/>
      </c>
      <c r="AI48" s="233">
        <f t="shared" ref="AI48:AI57" si="7">IF(AND($AA48="",AG48=""),"",$AA48-AG48)</f>
        <v>0</v>
      </c>
      <c r="AJ48" s="440">
        <f t="shared" ref="AJ48:AJ57" si="8">IFERROR(AA48/AA$20,0)</f>
        <v>0</v>
      </c>
      <c r="AK48" s="441">
        <f t="shared" ref="AK48:AK57" si="9">IFERROR(AD48/AD$20,0)</f>
        <v>0</v>
      </c>
      <c r="AL48" s="442">
        <f t="shared" ref="AL48:AL57" si="10">IFERROR(AG48/AG$20,0)</f>
        <v>0</v>
      </c>
      <c r="AM48" s="443">
        <f t="shared" ref="AM48:AM57" si="11">+IFERROR(ROUND(($AB48-AE48)*100,2)&amp;" pts.",0)</f>
        <v>0</v>
      </c>
      <c r="AN48" s="444">
        <f t="shared" ref="AN48:AN57" si="12">+IFERROR(ROUND(($AB48-AH48)*100,2)&amp;" pts.",0)</f>
        <v>0</v>
      </c>
      <c r="AO48" s="11"/>
    </row>
    <row r="49" spans="1:41" hidden="1" x14ac:dyDescent="0.35">
      <c r="A49" s="65" t="s">
        <v>5</v>
      </c>
      <c r="B49" s="66"/>
      <c r="C49" s="11"/>
      <c r="D49" s="11"/>
      <c r="E49" s="11"/>
      <c r="F49" s="384"/>
      <c r="G49" s="11"/>
      <c r="H49" s="88"/>
      <c r="I49" s="122" t="str">
        <f>IF(_epmOfflineCondition_,"",_xll.EVPRO($B$1,$H49,"STYLE"))</f>
        <v/>
      </c>
      <c r="J49" s="122" t="str">
        <f>IF(_epmOfflineCondition_,"",_xll.EVPRO($B$1,$H49,"CALC"))</f>
        <v/>
      </c>
      <c r="K49" s="179" t="str">
        <f t="shared" si="1"/>
        <v/>
      </c>
      <c r="L49" s="90" t="str">
        <f>IF(_epmOfflineCondition_,"",_xll.EVPRO($B$1,H49,"JDEID"))</f>
        <v/>
      </c>
      <c r="M49" s="90" t="str">
        <f>IF(_epmOfflineCondition_,"",IF(AND(I49="N",J49="N"),_xll.EVPRO($B$1,H49,"PSFTID"),""))</f>
        <v/>
      </c>
      <c r="N49" s="90" t="str">
        <f>IF(_epmOfflineCondition_,"",IF(_xll.EVDES(H49,$B$1)="#NODATA","",_xll.EVDES(H49,$B$1)))</f>
        <v/>
      </c>
      <c r="O49" s="216"/>
      <c r="P49" s="216"/>
      <c r="Q49" s="216"/>
      <c r="R49" s="216"/>
      <c r="S49" s="216"/>
      <c r="T49" s="216"/>
      <c r="U49" s="216"/>
      <c r="V49" s="216"/>
      <c r="W49" s="216"/>
      <c r="X49" s="216"/>
      <c r="Y49" s="216"/>
      <c r="Z49" s="216"/>
      <c r="AA49" s="251">
        <f t="shared" si="2"/>
        <v>0</v>
      </c>
      <c r="AB49" s="218" t="str">
        <f t="shared" si="3"/>
        <v/>
      </c>
      <c r="AC49" s="140"/>
      <c r="AD49" s="216"/>
      <c r="AE49" s="218" t="str">
        <f t="shared" si="4"/>
        <v/>
      </c>
      <c r="AF49" s="233">
        <f t="shared" si="5"/>
        <v>0</v>
      </c>
      <c r="AG49" s="216"/>
      <c r="AH49" s="218" t="str">
        <f t="shared" si="6"/>
        <v/>
      </c>
      <c r="AI49" s="233">
        <f t="shared" si="7"/>
        <v>0</v>
      </c>
      <c r="AJ49" s="440">
        <f t="shared" si="8"/>
        <v>0</v>
      </c>
      <c r="AK49" s="441">
        <f t="shared" si="9"/>
        <v>0</v>
      </c>
      <c r="AL49" s="442">
        <f t="shared" si="10"/>
        <v>0</v>
      </c>
      <c r="AM49" s="443">
        <f t="shared" si="11"/>
        <v>0</v>
      </c>
      <c r="AN49" s="444">
        <f t="shared" si="12"/>
        <v>0</v>
      </c>
      <c r="AO49" s="11"/>
    </row>
    <row r="50" spans="1:41" x14ac:dyDescent="0.35">
      <c r="A50" s="65" t="s">
        <v>6</v>
      </c>
      <c r="B50" s="66"/>
      <c r="C50" s="11"/>
      <c r="D50" s="11"/>
      <c r="E50" s="11"/>
      <c r="F50" s="384"/>
      <c r="G50" s="11"/>
      <c r="H50" s="88" t="s">
        <v>75</v>
      </c>
      <c r="I50" s="89" t="str">
        <f>IF(_epmOfflineCondition_,"B1",_xll.EVPRO($B$1,$H50,"STYLE"))</f>
        <v>B1</v>
      </c>
      <c r="J50" s="89" t="str">
        <f>IF(_epmOfflineCondition_,"Y",_xll.EVPRO($B$1,$H50,"CALC"))</f>
        <v>Y</v>
      </c>
      <c r="K50" s="265" t="str">
        <f t="shared" si="1"/>
        <v/>
      </c>
      <c r="L50" s="106" t="str">
        <f>IF(_epmOfflineCondition_,"",_xll.EVPRO($B$1,H50,"JDEID"))</f>
        <v/>
      </c>
      <c r="M50" s="90" t="str">
        <f>IF(_epmOfflineCondition_,"",IF(AND(I50="N",J50="N"),_xll.EVPRO($B$1,H50,"PSFTID"),""))</f>
        <v/>
      </c>
      <c r="N50" s="106" t="str">
        <f>IF(_epmOfflineCondition_,"Non-Management",IF(_xll.EVDES(H50,$B$1)="#NODATA","",_xll.EVDES(H50,$B$1)))</f>
        <v>Non-Management</v>
      </c>
      <c r="O50" s="197"/>
      <c r="P50" s="197"/>
      <c r="Q50" s="197"/>
      <c r="R50" s="197"/>
      <c r="S50" s="197"/>
      <c r="T50" s="197"/>
      <c r="U50" s="197"/>
      <c r="V50" s="197"/>
      <c r="W50" s="197"/>
      <c r="X50" s="197"/>
      <c r="Y50" s="197"/>
      <c r="Z50" s="197"/>
      <c r="AA50" s="180" t="str">
        <f t="shared" si="2"/>
        <v/>
      </c>
      <c r="AB50" s="198" t="str">
        <f t="shared" si="3"/>
        <v/>
      </c>
      <c r="AC50" s="11"/>
      <c r="AD50" s="197"/>
      <c r="AE50" s="198" t="str">
        <f t="shared" si="4"/>
        <v/>
      </c>
      <c r="AF50" s="199" t="str">
        <f t="shared" si="5"/>
        <v/>
      </c>
      <c r="AG50" s="197"/>
      <c r="AH50" s="198" t="str">
        <f t="shared" si="6"/>
        <v/>
      </c>
      <c r="AI50" s="199" t="str">
        <f t="shared" si="7"/>
        <v/>
      </c>
      <c r="AJ50" s="397">
        <f t="shared" si="8"/>
        <v>0</v>
      </c>
      <c r="AK50" s="398">
        <f t="shared" si="9"/>
        <v>0</v>
      </c>
      <c r="AL50" s="399">
        <f t="shared" si="10"/>
        <v>0</v>
      </c>
      <c r="AM50" s="400">
        <f t="shared" si="11"/>
        <v>0</v>
      </c>
      <c r="AN50" s="401">
        <f t="shared" si="12"/>
        <v>0</v>
      </c>
      <c r="AO50" s="11"/>
    </row>
    <row r="51" spans="1:41" x14ac:dyDescent="0.35">
      <c r="A51" s="65" t="s">
        <v>7</v>
      </c>
      <c r="B51" s="66" t="str">
        <f>IF(_epmOfflineCondition_,"'Parking'!$A$65:$F$68",_xll.EVRNG(A65:F68))</f>
        <v>'Parking'!$A$65:$F$68</v>
      </c>
      <c r="C51" s="11"/>
      <c r="D51" s="11"/>
      <c r="E51" s="11"/>
      <c r="F51" s="384"/>
      <c r="G51" s="11"/>
      <c r="H51" s="88" t="s">
        <v>894</v>
      </c>
      <c r="I51" s="122" t="str">
        <f>IF(_epmOfflineCondition_,"T3",_xll.EVPRO($B$1,$H51,"STYLE"))</f>
        <v>T3</v>
      </c>
      <c r="J51" s="122" t="str">
        <f>IF(_epmOfflineCondition_,"Y",_xll.EVPRO($B$1,$H51,"CALC"))</f>
        <v>Y</v>
      </c>
      <c r="K51" s="179" t="str">
        <f t="shared" si="1"/>
        <v>&gt;</v>
      </c>
      <c r="L51" s="90" t="str">
        <f>IF(_epmOfflineCondition_,"",_xll.EVPRO($B$1,H51,"JDEID"))</f>
        <v/>
      </c>
      <c r="M51" s="90" t="str">
        <f>IF(_epmOfflineCondition_,"",IF(AND(I51="N",J51="N"),_xll.EVPRO($B$1,H51,"PSFTID"),""))</f>
        <v/>
      </c>
      <c r="N51" s="90" t="str">
        <f>IF(_epmOfflineCondition_,"Non-Mgmt. (Parking)",IF(_xll.EVDES(H51,$B$1)="#NODATA","",_xll.EVDES(H51,$B$1)))</f>
        <v>Non-Mgmt. (Parking)</v>
      </c>
      <c r="O51" s="216">
        <v>17241.59</v>
      </c>
      <c r="P51" s="216">
        <v>11032.08</v>
      </c>
      <c r="Q51" s="216">
        <v>8068.69</v>
      </c>
      <c r="R51" s="216">
        <v>1490.96</v>
      </c>
      <c r="S51" s="216"/>
      <c r="T51" s="216"/>
      <c r="U51" s="216"/>
      <c r="V51" s="216"/>
      <c r="W51" s="216"/>
      <c r="X51" s="216"/>
      <c r="Y51" s="216"/>
      <c r="Z51" s="216"/>
      <c r="AA51" s="251">
        <f t="shared" si="2"/>
        <v>37833.32</v>
      </c>
      <c r="AB51" s="218">
        <f t="shared" si="3"/>
        <v>0.6190760131796148</v>
      </c>
      <c r="AC51" s="140"/>
      <c r="AD51" s="216">
        <v>153415.467032935</v>
      </c>
      <c r="AE51" s="218">
        <f t="shared" si="4"/>
        <v>0.57251723035182944</v>
      </c>
      <c r="AF51" s="233">
        <f t="shared" si="5"/>
        <v>-115582.147032935</v>
      </c>
      <c r="AG51" s="216">
        <v>157675.53</v>
      </c>
      <c r="AH51" s="218">
        <f t="shared" si="6"/>
        <v>0.68025335237475459</v>
      </c>
      <c r="AI51" s="233">
        <f t="shared" si="7"/>
        <v>-119842.20999999999</v>
      </c>
      <c r="AJ51" s="449">
        <f t="shared" si="8"/>
        <v>1.8869486284289276</v>
      </c>
      <c r="AK51" s="450">
        <f t="shared" si="9"/>
        <v>4.0591471631944707</v>
      </c>
      <c r="AL51" s="451">
        <f t="shared" si="10"/>
        <v>4.7951928106562862</v>
      </c>
      <c r="AM51" s="452" t="str">
        <f t="shared" si="11"/>
        <v>4.66 pts.</v>
      </c>
      <c r="AN51" s="453" t="str">
        <f t="shared" si="12"/>
        <v>-6.12 pts.</v>
      </c>
      <c r="AO51" s="11"/>
    </row>
    <row r="52" spans="1:41" x14ac:dyDescent="0.35">
      <c r="A52" s="65" t="s">
        <v>47</v>
      </c>
      <c r="B52" s="66" t="str">
        <f>IF(_epmOfflineCondition_,"'Parking'!$A$116:$B$137",_xll.EVRNG($A$116:$B$137))</f>
        <v>'Parking'!$A$116:$B$137</v>
      </c>
      <c r="C52" s="11"/>
      <c r="D52" s="11"/>
      <c r="E52" s="11"/>
      <c r="F52" s="11"/>
      <c r="G52" s="11"/>
      <c r="H52" s="88" t="s">
        <v>852</v>
      </c>
      <c r="I52" s="188" t="str">
        <f>IF(_epmOfflineCondition_,"T2",_xll.EVPRO($B$1,$H52,"STYLE"))</f>
        <v>T2</v>
      </c>
      <c r="J52" s="188" t="str">
        <f>IF(_epmOfflineCondition_,"Y",_xll.EVPRO($B$1,$H52,"CALC"))</f>
        <v>Y</v>
      </c>
      <c r="K52" s="189" t="str">
        <f t="shared" si="1"/>
        <v/>
      </c>
      <c r="L52" s="190" t="str">
        <f>IF(_epmOfflineCondition_,"",_xll.EVPRO($B$1,H52,"JDEID"))</f>
        <v/>
      </c>
      <c r="M52" s="190" t="str">
        <f>IF(_epmOfflineCondition_,"",IF(AND(I52="N",J52="N"),_xll.EVPRO($B$1,H52,"PSFTID"),""))</f>
        <v/>
      </c>
      <c r="N52" s="190" t="str">
        <f>IF(_epmOfflineCondition_,"Total Salaries and Wages",IF(_xll.EVDES(H52,$B$1)="#NODATA","",_xll.EVDES(H52,$B$1)))</f>
        <v>Total Salaries and Wages</v>
      </c>
      <c r="O52" s="238">
        <v>17241.59</v>
      </c>
      <c r="P52" s="238">
        <v>11032.08</v>
      </c>
      <c r="Q52" s="238">
        <v>8068.69</v>
      </c>
      <c r="R52" s="238">
        <v>1490.96</v>
      </c>
      <c r="S52" s="238"/>
      <c r="T52" s="238"/>
      <c r="U52" s="238"/>
      <c r="V52" s="238"/>
      <c r="W52" s="238"/>
      <c r="X52" s="238"/>
      <c r="Y52" s="238"/>
      <c r="Z52" s="238"/>
      <c r="AA52" s="238">
        <f t="shared" si="2"/>
        <v>37833.32</v>
      </c>
      <c r="AB52" s="239">
        <f t="shared" si="3"/>
        <v>0.6190760131796148</v>
      </c>
      <c r="AC52" s="240"/>
      <c r="AD52" s="238">
        <v>153415.467032935</v>
      </c>
      <c r="AE52" s="239">
        <f t="shared" si="4"/>
        <v>0.57251723035182944</v>
      </c>
      <c r="AF52" s="241">
        <f t="shared" si="5"/>
        <v>-115582.147032935</v>
      </c>
      <c r="AG52" s="238">
        <v>157675.53</v>
      </c>
      <c r="AH52" s="239">
        <f t="shared" si="6"/>
        <v>0.68025335237475459</v>
      </c>
      <c r="AI52" s="241">
        <f t="shared" si="7"/>
        <v>-119842.20999999999</v>
      </c>
      <c r="AJ52" s="242">
        <f t="shared" si="8"/>
        <v>1.8869486284289276</v>
      </c>
      <c r="AK52" s="243">
        <f t="shared" si="9"/>
        <v>4.0591471631944707</v>
      </c>
      <c r="AL52" s="245">
        <f t="shared" si="10"/>
        <v>4.7951928106562862</v>
      </c>
      <c r="AM52" s="431" t="str">
        <f t="shared" si="11"/>
        <v>4.66 pts.</v>
      </c>
      <c r="AN52" s="465" t="str">
        <f t="shared" si="12"/>
        <v>-6.12 pts.</v>
      </c>
      <c r="AO52" s="11"/>
    </row>
    <row r="53" spans="1:41" x14ac:dyDescent="0.35">
      <c r="A53" s="65" t="s">
        <v>8</v>
      </c>
      <c r="B53" s="66"/>
      <c r="C53" s="11"/>
      <c r="D53" s="11"/>
      <c r="E53" s="11"/>
      <c r="F53" s="11"/>
      <c r="G53" s="11"/>
      <c r="H53" s="88" t="s">
        <v>854</v>
      </c>
      <c r="I53" s="188" t="str">
        <f>IF(_epmOfflineCondition_,"T2",_xll.EVPRO($B$1,$H53,"STYLE"))</f>
        <v>T2</v>
      </c>
      <c r="J53" s="188" t="str">
        <f>IF(_epmOfflineCondition_,"Y",_xll.EVPRO($B$1,$H53,"CALC"))</f>
        <v>Y</v>
      </c>
      <c r="K53" s="189" t="str">
        <f t="shared" si="1"/>
        <v/>
      </c>
      <c r="L53" s="190" t="str">
        <f>IF(_epmOfflineCondition_,"",_xll.EVPRO($B$1,H53,"JDEID"))</f>
        <v/>
      </c>
      <c r="M53" s="190" t="str">
        <f>IF(_epmOfflineCondition_,"",IF(AND(I53="N",J53="N"),_xll.EVPRO($B$1,H53,"PSFTID"),""))</f>
        <v/>
      </c>
      <c r="N53" s="190" t="str">
        <f>IF(_epmOfflineCondition_,"Total Labor Expense",IF(_xll.EVDES(H53,$B$1)="#NODATA","",_xll.EVDES(H53,$B$1)))</f>
        <v>Total Labor Expense</v>
      </c>
      <c r="O53" s="605">
        <v>17241.59</v>
      </c>
      <c r="P53" s="605">
        <v>11032.08</v>
      </c>
      <c r="Q53" s="605">
        <v>8068.69</v>
      </c>
      <c r="R53" s="605">
        <v>1490.96</v>
      </c>
      <c r="S53" s="605"/>
      <c r="T53" s="605"/>
      <c r="U53" s="605"/>
      <c r="V53" s="605"/>
      <c r="W53" s="605"/>
      <c r="X53" s="605"/>
      <c r="Y53" s="605"/>
      <c r="Z53" s="605"/>
      <c r="AA53" s="594">
        <f t="shared" si="2"/>
        <v>37833.32</v>
      </c>
      <c r="AB53" s="606">
        <f t="shared" si="3"/>
        <v>0.6190760131796148</v>
      </c>
      <c r="AC53" s="596"/>
      <c r="AD53" s="605">
        <v>153415.467032935</v>
      </c>
      <c r="AE53" s="606">
        <f t="shared" si="4"/>
        <v>0.57251723035182944</v>
      </c>
      <c r="AF53" s="607">
        <f t="shared" si="5"/>
        <v>-115582.147032935</v>
      </c>
      <c r="AG53" s="605">
        <v>157675.53</v>
      </c>
      <c r="AH53" s="606">
        <f t="shared" si="6"/>
        <v>0.68025335237475459</v>
      </c>
      <c r="AI53" s="607">
        <f t="shared" si="7"/>
        <v>-119842.20999999999</v>
      </c>
      <c r="AJ53" s="598">
        <f t="shared" si="8"/>
        <v>1.8869486284289276</v>
      </c>
      <c r="AK53" s="599">
        <f t="shared" si="9"/>
        <v>4.0591471631944707</v>
      </c>
      <c r="AL53" s="600">
        <f t="shared" si="10"/>
        <v>4.7951928106562862</v>
      </c>
      <c r="AM53" s="601" t="str">
        <f t="shared" si="11"/>
        <v>4.66 pts.</v>
      </c>
      <c r="AN53" s="602" t="str">
        <f t="shared" si="12"/>
        <v>-6.12 pts.</v>
      </c>
      <c r="AO53" s="11"/>
    </row>
    <row r="54" spans="1:41" x14ac:dyDescent="0.35">
      <c r="A54" s="11"/>
      <c r="B54" s="11"/>
      <c r="C54" s="11"/>
      <c r="D54" s="11"/>
      <c r="E54" s="11"/>
      <c r="F54" s="11"/>
      <c r="G54" s="11"/>
      <c r="H54" s="88" t="s">
        <v>855</v>
      </c>
      <c r="I54" s="122" t="str">
        <f>IF(_epmOfflineCondition_,"T3",_xll.EVPRO($B$1,$H54,"STYLE"))</f>
        <v>T3</v>
      </c>
      <c r="J54" s="122" t="str">
        <f>IF(_epmOfflineCondition_,"Y",_xll.EVPRO($B$1,$H54,"CALC"))</f>
        <v>Y</v>
      </c>
      <c r="K54" s="179" t="str">
        <f t="shared" si="1"/>
        <v>&gt;</v>
      </c>
      <c r="L54" s="90" t="str">
        <f>IF(_epmOfflineCondition_,"",_xll.EVPRO($B$1,H54,"JDEID"))</f>
        <v/>
      </c>
      <c r="M54" s="90" t="str">
        <f>IF(_epmOfflineCondition_,"",IF(AND(I54="N",J54="N"),_xll.EVPRO($B$1,H54,"PSFTID"),""))</f>
        <v/>
      </c>
      <c r="N54" s="90" t="str">
        <f>IF(_epmOfflineCondition_,"Payroll Taxes",IF(_xll.EVDES(H54,$B$1)="#NODATA","",_xll.EVDES(H54,$B$1)))</f>
        <v>Payroll Taxes</v>
      </c>
      <c r="O54" s="216">
        <v>-3655.02</v>
      </c>
      <c r="P54" s="216">
        <v>1459.48</v>
      </c>
      <c r="Q54" s="216">
        <v>1057.18</v>
      </c>
      <c r="R54" s="216">
        <v>248.42</v>
      </c>
      <c r="S54" s="216"/>
      <c r="T54" s="216"/>
      <c r="U54" s="216"/>
      <c r="V54" s="216"/>
      <c r="W54" s="216"/>
      <c r="X54" s="216"/>
      <c r="Y54" s="216"/>
      <c r="Z54" s="216"/>
      <c r="AA54" s="216">
        <f t="shared" si="2"/>
        <v>-889.93999999999994</v>
      </c>
      <c r="AB54" s="218">
        <f t="shared" si="3"/>
        <v>-1.4562309286339829E-2</v>
      </c>
      <c r="AC54" s="140"/>
      <c r="AD54" s="216">
        <v>19200</v>
      </c>
      <c r="AE54" s="218">
        <f t="shared" si="4"/>
        <v>7.1650734018854217E-2</v>
      </c>
      <c r="AF54" s="233">
        <f t="shared" si="5"/>
        <v>-20089.939999999999</v>
      </c>
      <c r="AG54" s="216">
        <v>47656.43</v>
      </c>
      <c r="AH54" s="218">
        <f t="shared" si="6"/>
        <v>0.20560226605683726</v>
      </c>
      <c r="AI54" s="233">
        <f t="shared" si="7"/>
        <v>-48546.37</v>
      </c>
      <c r="AJ54" s="537">
        <f t="shared" si="8"/>
        <v>-4.4386034912718204E-2</v>
      </c>
      <c r="AK54" s="538">
        <f t="shared" si="9"/>
        <v>0.50800370419367646</v>
      </c>
      <c r="AL54" s="539">
        <f t="shared" si="10"/>
        <v>1.4493166474058756</v>
      </c>
      <c r="AM54" s="540" t="str">
        <f t="shared" si="11"/>
        <v>-8.62 pts.</v>
      </c>
      <c r="AN54" s="541" t="str">
        <f t="shared" si="12"/>
        <v>-22.02 pts.</v>
      </c>
      <c r="AO54" s="11"/>
    </row>
    <row r="55" spans="1:41" x14ac:dyDescent="0.35">
      <c r="A55" s="62" t="s">
        <v>9</v>
      </c>
      <c r="B55" s="63" t="s">
        <v>10</v>
      </c>
      <c r="C55" s="11"/>
      <c r="D55" s="11"/>
      <c r="E55" s="11"/>
      <c r="F55" s="11"/>
      <c r="G55" s="11"/>
      <c r="H55" s="88" t="s">
        <v>857</v>
      </c>
      <c r="I55" s="122" t="str">
        <f>IF(_epmOfflineCondition_,"T3",_xll.EVPRO($B$1,$H55,"STYLE"))</f>
        <v>T3</v>
      </c>
      <c r="J55" s="122" t="str">
        <f>IF(_epmOfflineCondition_,"Y",_xll.EVPRO($B$1,$H55,"CALC"))</f>
        <v>Y</v>
      </c>
      <c r="K55" s="179" t="str">
        <f t="shared" si="1"/>
        <v>&gt;</v>
      </c>
      <c r="L55" s="90" t="str">
        <f>IF(_epmOfflineCondition_,"",_xll.EVPRO($B$1,H55,"JDEID"))</f>
        <v/>
      </c>
      <c r="M55" s="90" t="str">
        <f>IF(_epmOfflineCondition_,"",IF(AND(I55="N",J55="N"),_xll.EVPRO($B$1,H55,"PSFTID"),""))</f>
        <v/>
      </c>
      <c r="N55" s="90" t="str">
        <f>IF(_epmOfflineCondition_,"Employee Benefits",IF(_xll.EVDES(H55,$B$1)="#NODATA","",_xll.EVDES(H55,$B$1)))</f>
        <v>Employee Benefits</v>
      </c>
      <c r="O55" s="216">
        <v>5570.07</v>
      </c>
      <c r="P55" s="216">
        <v>2181.4699999999998</v>
      </c>
      <c r="Q55" s="216">
        <v>1653.53</v>
      </c>
      <c r="R55" s="216">
        <v>360.39</v>
      </c>
      <c r="S55" s="216"/>
      <c r="T55" s="216"/>
      <c r="U55" s="216"/>
      <c r="V55" s="216"/>
      <c r="W55" s="216"/>
      <c r="X55" s="216"/>
      <c r="Y55" s="216"/>
      <c r="Z55" s="216"/>
      <c r="AA55" s="251">
        <f t="shared" si="2"/>
        <v>9765.4599999999991</v>
      </c>
      <c r="AB55" s="218">
        <f t="shared" si="3"/>
        <v>0.15979464777780542</v>
      </c>
      <c r="AC55" s="140"/>
      <c r="AD55" s="216">
        <v>31200</v>
      </c>
      <c r="AE55" s="218">
        <f t="shared" si="4"/>
        <v>0.11643244278063811</v>
      </c>
      <c r="AF55" s="233">
        <f t="shared" si="5"/>
        <v>-21434.54</v>
      </c>
      <c r="AG55" s="216">
        <v>15077.74</v>
      </c>
      <c r="AH55" s="218">
        <f t="shared" si="6"/>
        <v>6.5049302077722096E-2</v>
      </c>
      <c r="AI55" s="233">
        <f t="shared" si="7"/>
        <v>-5312.2800000000007</v>
      </c>
      <c r="AJ55" s="449">
        <f t="shared" si="8"/>
        <v>0.48705536159600993</v>
      </c>
      <c r="AK55" s="450">
        <f t="shared" si="9"/>
        <v>0.82550601931472412</v>
      </c>
      <c r="AL55" s="451">
        <f t="shared" si="10"/>
        <v>0.45854084301441517</v>
      </c>
      <c r="AM55" s="452" t="str">
        <f t="shared" si="11"/>
        <v>4.34 pts.</v>
      </c>
      <c r="AN55" s="453" t="str">
        <f t="shared" si="12"/>
        <v>9.47 pts.</v>
      </c>
      <c r="AO55" s="11"/>
    </row>
    <row r="56" spans="1:41" x14ac:dyDescent="0.35">
      <c r="A56" s="65" t="s">
        <v>11</v>
      </c>
      <c r="B56" s="66" t="s">
        <v>21</v>
      </c>
      <c r="C56" s="11"/>
      <c r="D56" s="11"/>
      <c r="E56" s="11"/>
      <c r="F56" s="11"/>
      <c r="G56" s="76"/>
      <c r="H56" s="88" t="s">
        <v>858</v>
      </c>
      <c r="I56" s="188" t="str">
        <f>IF(_epmOfflineCondition_,"T2",_xll.EVPRO($B$1,$H56,"STYLE"))</f>
        <v>T2</v>
      </c>
      <c r="J56" s="188" t="str">
        <f>IF(_epmOfflineCondition_,"Y",_xll.EVPRO($B$1,$H56,"CALC"))</f>
        <v>Y</v>
      </c>
      <c r="K56" s="189" t="str">
        <f t="shared" si="1"/>
        <v/>
      </c>
      <c r="L56" s="190" t="str">
        <f>IF(_epmOfflineCondition_,"",_xll.EVPRO($B$1,H56,"JDEID"))</f>
        <v/>
      </c>
      <c r="M56" s="190" t="str">
        <f>IF(_epmOfflineCondition_,"",IF(AND(I56="N",J56="N"),_xll.EVPRO($B$1,H56,"PSFTID"),""))</f>
        <v/>
      </c>
      <c r="N56" s="190" t="str">
        <f>IF(_epmOfflineCondition_,"Total Payroll Related",IF(_xll.EVDES(H56,$B$1)="#NODATA","",_xll.EVDES(H56,$B$1)))</f>
        <v>Total Payroll Related</v>
      </c>
      <c r="O56" s="238">
        <v>1915.05</v>
      </c>
      <c r="P56" s="238">
        <v>3640.95</v>
      </c>
      <c r="Q56" s="238">
        <v>2710.71</v>
      </c>
      <c r="R56" s="238">
        <v>608.80999999999995</v>
      </c>
      <c r="S56" s="238"/>
      <c r="T56" s="238"/>
      <c r="U56" s="238"/>
      <c r="V56" s="238"/>
      <c r="W56" s="238"/>
      <c r="X56" s="238"/>
      <c r="Y56" s="238"/>
      <c r="Z56" s="238"/>
      <c r="AA56" s="238">
        <f t="shared" si="2"/>
        <v>8875.5199999999986</v>
      </c>
      <c r="AB56" s="239">
        <f t="shared" si="3"/>
        <v>0.14523233849146558</v>
      </c>
      <c r="AC56" s="240"/>
      <c r="AD56" s="238">
        <v>50400</v>
      </c>
      <c r="AE56" s="239">
        <f t="shared" si="4"/>
        <v>0.18808317679949232</v>
      </c>
      <c r="AF56" s="241">
        <f t="shared" si="5"/>
        <v>-41524.480000000003</v>
      </c>
      <c r="AG56" s="238">
        <v>62734.17</v>
      </c>
      <c r="AH56" s="239">
        <f t="shared" si="6"/>
        <v>0.27065156813455937</v>
      </c>
      <c r="AI56" s="241">
        <f t="shared" si="7"/>
        <v>-53858.65</v>
      </c>
      <c r="AJ56" s="242">
        <f t="shared" si="8"/>
        <v>0.44266932668329168</v>
      </c>
      <c r="AK56" s="243">
        <f t="shared" si="9"/>
        <v>1.3335097235084006</v>
      </c>
      <c r="AL56" s="245">
        <f t="shared" si="10"/>
        <v>1.9078574904202907</v>
      </c>
      <c r="AM56" s="431" t="str">
        <f t="shared" si="11"/>
        <v>-4.29 pts.</v>
      </c>
      <c r="AN56" s="465" t="str">
        <f t="shared" si="12"/>
        <v>-12.54 pts.</v>
      </c>
      <c r="AO56" s="11"/>
    </row>
    <row r="57" spans="1:41" x14ac:dyDescent="0.35">
      <c r="A57" s="65" t="s">
        <v>12</v>
      </c>
      <c r="B57" s="66" t="s">
        <v>22</v>
      </c>
      <c r="C57" s="11"/>
      <c r="D57" s="11"/>
      <c r="E57" s="11"/>
      <c r="F57" s="11"/>
      <c r="G57" s="11"/>
      <c r="H57" s="88" t="s">
        <v>76</v>
      </c>
      <c r="I57" s="188" t="str">
        <f>IF(_epmOfflineCondition_,"T1",_xll.EVPRO($B$1,$H57,"STYLE"))</f>
        <v>T1</v>
      </c>
      <c r="J57" s="188" t="str">
        <f>IF(_epmOfflineCondition_,"Y",_xll.EVPRO($B$1,$H57,"CALC"))</f>
        <v>Y</v>
      </c>
      <c r="K57" s="189" t="str">
        <f t="shared" si="1"/>
        <v/>
      </c>
      <c r="L57" s="190" t="str">
        <f>IF(_epmOfflineCondition_,"600000",_xll.EVPRO($B$1,H57,"JDEID"))</f>
        <v>600000</v>
      </c>
      <c r="M57" s="190" t="str">
        <f>IF(_epmOfflineCondition_,"",IF(AND(I57="N",J57="N"),_xll.EVPRO($B$1,H57,"PSFTID"),""))</f>
        <v/>
      </c>
      <c r="N57" s="190" t="str">
        <f>IF(_epmOfflineCondition_,"Total Labor &amp; Related Exp",IF(_xll.EVDES(H57,$B$1)="#NODATA","",_xll.EVDES(H57,$B$1)))</f>
        <v>Total Labor &amp; Related Exp</v>
      </c>
      <c r="O57" s="238">
        <v>19156.64</v>
      </c>
      <c r="P57" s="238">
        <v>14673.03</v>
      </c>
      <c r="Q57" s="238">
        <v>10779.4</v>
      </c>
      <c r="R57" s="238">
        <v>2099.77</v>
      </c>
      <c r="S57" s="238"/>
      <c r="T57" s="238"/>
      <c r="U57" s="238"/>
      <c r="V57" s="238"/>
      <c r="W57" s="238"/>
      <c r="X57" s="238"/>
      <c r="Y57" s="238"/>
      <c r="Z57" s="238"/>
      <c r="AA57" s="238">
        <f t="shared" si="2"/>
        <v>46708.84</v>
      </c>
      <c r="AB57" s="239">
        <f t="shared" si="3"/>
        <v>0.76430835167108035</v>
      </c>
      <c r="AC57" s="240"/>
      <c r="AD57" s="238">
        <v>203815.467032935</v>
      </c>
      <c r="AE57" s="239">
        <f t="shared" si="4"/>
        <v>0.76060040715132171</v>
      </c>
      <c r="AF57" s="241">
        <f t="shared" si="5"/>
        <v>-157106.62703293501</v>
      </c>
      <c r="AG57" s="238">
        <v>220409.7</v>
      </c>
      <c r="AH57" s="239">
        <f t="shared" si="6"/>
        <v>0.95090492050931397</v>
      </c>
      <c r="AI57" s="241">
        <f t="shared" si="7"/>
        <v>-173700.86000000002</v>
      </c>
      <c r="AJ57" s="242">
        <f t="shared" si="8"/>
        <v>2.3296179551122194</v>
      </c>
      <c r="AK57" s="243">
        <f t="shared" si="9"/>
        <v>5.3926568867028708</v>
      </c>
      <c r="AL57" s="245">
        <f t="shared" si="10"/>
        <v>6.7030503010765772</v>
      </c>
      <c r="AM57" s="431" t="str">
        <f t="shared" si="11"/>
        <v>0.37 pts.</v>
      </c>
      <c r="AN57" s="465" t="str">
        <f t="shared" si="12"/>
        <v>-18.66 pts.</v>
      </c>
      <c r="AO57" s="11"/>
    </row>
    <row r="58" spans="1:41" x14ac:dyDescent="0.35">
      <c r="A58" s="65" t="s">
        <v>13</v>
      </c>
      <c r="B58" s="66" t="str">
        <f>"DEP(500001) AND "&amp;$E$6&amp;"=Y,500001"</f>
        <v>DEP(500001) AND D1133=Y,500001</v>
      </c>
      <c r="C58" s="11"/>
      <c r="D58" s="11"/>
      <c r="E58" s="11"/>
      <c r="F58" s="11"/>
      <c r="G58" s="11"/>
      <c r="H58" s="11"/>
      <c r="I58" s="59"/>
      <c r="J58" s="59"/>
      <c r="K58" s="11"/>
      <c r="L58" s="11"/>
      <c r="M58" s="11"/>
      <c r="N58" s="11"/>
      <c r="O58" s="129"/>
      <c r="P58" s="130"/>
      <c r="Q58" s="130"/>
      <c r="R58" s="130"/>
      <c r="S58" s="130"/>
      <c r="T58" s="130"/>
      <c r="U58" s="130"/>
      <c r="V58" s="130"/>
      <c r="W58" s="130"/>
      <c r="X58" s="130"/>
      <c r="Y58" s="130"/>
      <c r="Z58" s="130"/>
      <c r="AA58" s="130"/>
      <c r="AB58" s="131"/>
      <c r="AC58" s="11"/>
      <c r="AD58" s="129"/>
      <c r="AE58" s="130"/>
      <c r="AF58" s="131"/>
      <c r="AG58" s="129"/>
      <c r="AH58" s="130"/>
      <c r="AI58" s="131"/>
      <c r="AJ58" s="11"/>
      <c r="AK58" s="11"/>
      <c r="AL58" s="11"/>
      <c r="AM58" s="11"/>
      <c r="AN58" s="11"/>
      <c r="AO58" s="11"/>
    </row>
    <row r="59" spans="1:41" x14ac:dyDescent="0.35">
      <c r="A59" s="65" t="s">
        <v>14</v>
      </c>
      <c r="B59" s="66"/>
      <c r="C59" s="11"/>
      <c r="D59" s="11"/>
      <c r="E59" s="11"/>
      <c r="F59" s="11"/>
      <c r="G59" s="11"/>
      <c r="H59" s="11" t="s">
        <v>82</v>
      </c>
      <c r="I59" s="59" t="str">
        <f>IF(_epmOfflineCondition_,"B1",_xll.EVPRO($B$1,$H59,"STYLE"))</f>
        <v>B1</v>
      </c>
      <c r="J59" s="59" t="str">
        <f>IF(_epmOfflineCondition_,"Y",_xll.EVPRO($B$1,$H59,"CALC"))</f>
        <v>Y</v>
      </c>
      <c r="K59" s="11"/>
      <c r="L59" s="11"/>
      <c r="M59" s="11"/>
      <c r="N59" s="105" t="str">
        <f>IF(_epmOfflineCondition_,"Other Expenses",IF(_xll.EVDES(H59,$B$1)="#NODATA","",_xll.EVDES(H59,$B$1)))</f>
        <v>Other Expenses</v>
      </c>
      <c r="O59" s="119"/>
      <c r="P59" s="120"/>
      <c r="Q59" s="120"/>
      <c r="R59" s="120"/>
      <c r="S59" s="120"/>
      <c r="T59" s="120"/>
      <c r="U59" s="120"/>
      <c r="V59" s="120"/>
      <c r="W59" s="120"/>
      <c r="X59" s="120"/>
      <c r="Y59" s="120"/>
      <c r="Z59" s="120"/>
      <c r="AA59" s="120"/>
      <c r="AB59" s="121"/>
      <c r="AC59" s="11"/>
      <c r="AD59" s="119"/>
      <c r="AE59" s="120"/>
      <c r="AF59" s="121"/>
      <c r="AG59" s="119"/>
      <c r="AH59" s="120"/>
      <c r="AI59" s="121"/>
      <c r="AJ59" s="11"/>
      <c r="AK59" s="11"/>
      <c r="AL59" s="11"/>
      <c r="AM59" s="11"/>
      <c r="AN59" s="11"/>
      <c r="AO59" s="11"/>
    </row>
    <row r="60" spans="1:41" x14ac:dyDescent="0.35">
      <c r="A60" s="65" t="s">
        <v>15</v>
      </c>
      <c r="B60" s="66"/>
      <c r="C60" s="11"/>
      <c r="D60" s="11"/>
      <c r="E60" s="11"/>
      <c r="F60" s="11"/>
      <c r="G60" s="11"/>
      <c r="H60" s="88" t="s">
        <v>830</v>
      </c>
      <c r="I60" s="122" t="str">
        <f>IF(_epmOfflineCondition_,"T4",_xll.EVPRO($B$1,$H60,"STYLE"))</f>
        <v>T4</v>
      </c>
      <c r="J60" s="122" t="str">
        <f>IF(_epmOfflineCondition_,"Y",_xll.EVPRO($B$1,$H60,"CALC"))</f>
        <v>Y</v>
      </c>
      <c r="K60" s="179" t="str">
        <f>IF(AND(I60&lt;&gt;"B1",J60="Y"),"&gt;","")</f>
        <v>&gt;</v>
      </c>
      <c r="L60" s="90" t="str">
        <f>IF(_epmOfflineCondition_,"701500",_xll.EVPRO($B$1,H60,"JDEID"))</f>
        <v>701500</v>
      </c>
      <c r="M60" s="90" t="str">
        <f>IF(_epmOfflineCondition_,"",IF(AND(I60="N",J60="N"),_xll.EVPRO($B$1,H60,"PSFTID"),""))</f>
        <v/>
      </c>
      <c r="N60" s="90" t="str">
        <f>IF(_epmOfflineCondition_,"Operating Supplies",IF(_xll.EVDES(H60,$B$1)="#NODATA","",_xll.EVDES(H60,$B$1)))</f>
        <v>Operating Supplies</v>
      </c>
      <c r="O60" s="217">
        <v>4366.41</v>
      </c>
      <c r="P60" s="217">
        <v>2070.8000000000002</v>
      </c>
      <c r="Q60" s="217">
        <v>484.11</v>
      </c>
      <c r="R60" s="217">
        <v>193.77</v>
      </c>
      <c r="S60" s="217"/>
      <c r="T60" s="217"/>
      <c r="U60" s="217"/>
      <c r="V60" s="217"/>
      <c r="W60" s="217"/>
      <c r="X60" s="217"/>
      <c r="Y60" s="217"/>
      <c r="Z60" s="217"/>
      <c r="AA60" s="251">
        <f t="shared" ref="AA60:AA65" si="13">IF($I60="B1","",SUM(O60:Z60))</f>
        <v>7115.09</v>
      </c>
      <c r="AB60" s="219">
        <f t="shared" ref="AB60:AB65" si="14">IF(AA60=0,"",IFERROR(AA60/AA$19,""))</f>
        <v>0.11642598510028054</v>
      </c>
      <c r="AC60" s="140"/>
      <c r="AD60" s="217">
        <v>11071</v>
      </c>
      <c r="AE60" s="219">
        <f t="shared" ref="AE60:AE65" si="15">IF(AD60=0,"",IFERROR(AD60/AD$19,""))</f>
        <v>4.1314858141809116E-2</v>
      </c>
      <c r="AF60" s="220">
        <f t="shared" ref="AF60:AF65" si="16">IF(AND($AA60="",AD60=""),"",$AA60-AD60)</f>
        <v>-3955.91</v>
      </c>
      <c r="AG60" s="217">
        <v>9644.1299999999992</v>
      </c>
      <c r="AH60" s="219">
        <f t="shared" ref="AH60:AH65" si="17">IF(AG60=0,"",IFERROR(AG60/AG$19,""))</f>
        <v>4.1607291652914956E-2</v>
      </c>
      <c r="AI60" s="220">
        <f t="shared" ref="AI60:AI65" si="18">IF(AND($AA60="",AG60=""),"",$AA60-AG60)</f>
        <v>-2529.0399999999991</v>
      </c>
      <c r="AJ60" s="440">
        <f t="shared" ref="AJ60:AJ65" si="19">IFERROR(AA60/AA$20,0)</f>
        <v>0.35486733167082296</v>
      </c>
      <c r="AK60" s="441">
        <f t="shared" ref="AK60:AK65" si="20">IFERROR(AD60/AD$20,0)</f>
        <v>0.29292234422542662</v>
      </c>
      <c r="AL60" s="442">
        <f t="shared" ref="AL60:AL65" si="21">IFERROR(AG60/AG$20,0)</f>
        <v>0.29329511586886442</v>
      </c>
      <c r="AM60" s="443" t="str">
        <f t="shared" ref="AM60:AM65" si="22">+IFERROR(ROUND(($AB60-AE60)*100,2)&amp;" pts.",0)</f>
        <v>7.51 pts.</v>
      </c>
      <c r="AN60" s="444" t="str">
        <f t="shared" ref="AN60:AN65" si="23">+IFERROR(ROUND(($AB60-AH60)*100,2)&amp;" pts.",0)</f>
        <v>7.48 pts.</v>
      </c>
      <c r="AO60" s="11"/>
    </row>
    <row r="61" spans="1:41" x14ac:dyDescent="0.35">
      <c r="A61" s="65" t="s">
        <v>16</v>
      </c>
      <c r="B61" s="66"/>
      <c r="C61" s="11"/>
      <c r="D61" s="11"/>
      <c r="E61" s="11"/>
      <c r="F61" s="11"/>
      <c r="G61" s="11"/>
      <c r="H61" s="88" t="s">
        <v>837</v>
      </c>
      <c r="I61" s="122" t="str">
        <f>IF(_epmOfflineCondition_,"N",_xll.EVPRO($B$1,$H61,"STYLE"))</f>
        <v>N</v>
      </c>
      <c r="J61" s="122" t="str">
        <f>IF(_epmOfflineCondition_,"N",_xll.EVPRO($B$1,$H61,"CALC"))</f>
        <v>N</v>
      </c>
      <c r="K61" s="179" t="str">
        <f>IF(AND(I61&lt;&gt;"B1",J61="Y"),"&gt;","")</f>
        <v/>
      </c>
      <c r="L61" s="90" t="str">
        <f>IF(_epmOfflineCondition_,"703200",_xll.EVPRO($B$1,H61,"JDEID"))</f>
        <v>703200</v>
      </c>
      <c r="M61" s="90" t="str">
        <f>IF(_epmOfflineCondition_,"590035",IF(AND(I61="N",J61="N"),_xll.EVPRO($B$1,H61,"PSFTID"),""))</f>
        <v>590035</v>
      </c>
      <c r="N61" s="90" t="str">
        <f>IF(_epmOfflineCondition_,"Uniform Costs",IF(_xll.EVDES(H61,$B$1)="#NODATA","",_xll.EVDES(H61,$B$1)))</f>
        <v>Uniform Costs</v>
      </c>
      <c r="O61" s="217">
        <v>204.49</v>
      </c>
      <c r="P61" s="217"/>
      <c r="Q61" s="217">
        <v>215.64</v>
      </c>
      <c r="R61" s="217"/>
      <c r="S61" s="217"/>
      <c r="T61" s="217"/>
      <c r="U61" s="217"/>
      <c r="V61" s="217"/>
      <c r="W61" s="217"/>
      <c r="X61" s="217"/>
      <c r="Y61" s="217"/>
      <c r="Z61" s="217"/>
      <c r="AA61" s="251">
        <f t="shared" si="13"/>
        <v>420.13</v>
      </c>
      <c r="AB61" s="219">
        <f t="shared" si="14"/>
        <v>6.8746915527675492E-3</v>
      </c>
      <c r="AC61" s="140"/>
      <c r="AD61" s="217">
        <v>3126</v>
      </c>
      <c r="AE61" s="219">
        <f t="shared" si="15"/>
        <v>1.1665635132444703E-2</v>
      </c>
      <c r="AF61" s="220">
        <f t="shared" si="16"/>
        <v>-2705.87</v>
      </c>
      <c r="AG61" s="217">
        <v>2831.76</v>
      </c>
      <c r="AH61" s="219">
        <f t="shared" si="17"/>
        <v>1.2216951058421908E-2</v>
      </c>
      <c r="AI61" s="220">
        <f t="shared" si="18"/>
        <v>-2411.63</v>
      </c>
      <c r="AJ61" s="440">
        <f t="shared" si="19"/>
        <v>2.0954114713216957E-2</v>
      </c>
      <c r="AK61" s="441">
        <f t="shared" si="20"/>
        <v>8.2709353089032947E-2</v>
      </c>
      <c r="AL61" s="442">
        <f t="shared" si="21"/>
        <v>8.6118849218417379E-2</v>
      </c>
      <c r="AM61" s="443" t="str">
        <f t="shared" si="22"/>
        <v>-0.48 pts.</v>
      </c>
      <c r="AN61" s="444" t="str">
        <f t="shared" si="23"/>
        <v>-0.53 pts.</v>
      </c>
      <c r="AO61" s="11"/>
    </row>
    <row r="62" spans="1:41" x14ac:dyDescent="0.35">
      <c r="A62" s="65" t="s">
        <v>17</v>
      </c>
      <c r="B62" s="66"/>
      <c r="C62" s="11"/>
      <c r="D62" s="11"/>
      <c r="E62" s="11"/>
      <c r="F62" s="11"/>
      <c r="G62" s="11"/>
      <c r="H62" s="88" t="s">
        <v>845</v>
      </c>
      <c r="I62" s="122" t="str">
        <f>IF(_epmOfflineCondition_,"N",_xll.EVPRO($B$1,$H62,"STYLE"))</f>
        <v>N</v>
      </c>
      <c r="J62" s="122" t="str">
        <f>IF(_epmOfflineCondition_,"N",_xll.EVPRO($B$1,$H62,"CALC"))</f>
        <v>N</v>
      </c>
      <c r="K62" s="179" t="str">
        <f>IF(AND(I62&lt;&gt;"B1",J62="Y"),"&gt;","")</f>
        <v/>
      </c>
      <c r="L62" s="90" t="str">
        <f>IF(_epmOfflineCondition_,"705500",_xll.EVPRO($B$1,H62,"JDEID"))</f>
        <v>705500</v>
      </c>
      <c r="M62" s="90" t="str">
        <f>IF(_epmOfflineCondition_,"690105",IF(AND(I62="N",J62="N"),_xll.EVPRO($B$1,H62,"PSFTID"),""))</f>
        <v>690105</v>
      </c>
      <c r="N62" s="90" t="str">
        <f>IF(_epmOfflineCondition_,"Licenses &amp; Permits",IF(_xll.EVDES(H62,$B$1)="#NODATA","",_xll.EVDES(H62,$B$1)))</f>
        <v>Licenses &amp; Permits</v>
      </c>
      <c r="O62" s="217">
        <v>2465.16</v>
      </c>
      <c r="P62" s="217">
        <v>1818</v>
      </c>
      <c r="Q62" s="217">
        <v>1935</v>
      </c>
      <c r="R62" s="217">
        <v>-2485</v>
      </c>
      <c r="S62" s="217"/>
      <c r="T62" s="217"/>
      <c r="U62" s="217"/>
      <c r="V62" s="217"/>
      <c r="W62" s="217"/>
      <c r="X62" s="217"/>
      <c r="Y62" s="217"/>
      <c r="Z62" s="217"/>
      <c r="AA62" s="251">
        <f t="shared" si="13"/>
        <v>3733.16</v>
      </c>
      <c r="AB62" s="219">
        <f t="shared" si="14"/>
        <v>6.1086624418941048E-2</v>
      </c>
      <c r="AC62" s="140"/>
      <c r="AD62" s="217">
        <v>30586</v>
      </c>
      <c r="AE62" s="219">
        <f t="shared" si="15"/>
        <v>0.11414111201566017</v>
      </c>
      <c r="AF62" s="220">
        <f t="shared" si="16"/>
        <v>-26852.84</v>
      </c>
      <c r="AG62" s="217">
        <v>27758.82</v>
      </c>
      <c r="AH62" s="219">
        <f t="shared" si="17"/>
        <v>0.11975878795503263</v>
      </c>
      <c r="AI62" s="220">
        <f t="shared" si="18"/>
        <v>-24025.66</v>
      </c>
      <c r="AJ62" s="440">
        <f t="shared" si="19"/>
        <v>0.18619251870324188</v>
      </c>
      <c r="AK62" s="441">
        <f t="shared" si="20"/>
        <v>0.80926048419103058</v>
      </c>
      <c r="AL62" s="442">
        <f t="shared" si="21"/>
        <v>0.84419500030411776</v>
      </c>
      <c r="AM62" s="443" t="str">
        <f t="shared" si="22"/>
        <v>-5.31 pts.</v>
      </c>
      <c r="AN62" s="444" t="str">
        <f t="shared" si="23"/>
        <v>-5.87 pts.</v>
      </c>
      <c r="AO62" s="11"/>
    </row>
    <row r="63" spans="1:41" x14ac:dyDescent="0.35">
      <c r="A63" s="11"/>
      <c r="B63" s="11"/>
      <c r="C63" s="11"/>
      <c r="D63" s="11"/>
      <c r="E63" s="11"/>
      <c r="F63" s="11"/>
      <c r="G63" s="11"/>
      <c r="H63" s="88" t="s">
        <v>848</v>
      </c>
      <c r="I63" s="122" t="str">
        <f>IF(_epmOfflineCondition_,"T4",_xll.EVPRO($B$1,$H63,"STYLE"))</f>
        <v>T4</v>
      </c>
      <c r="J63" s="122" t="str">
        <f>IF(_epmOfflineCondition_,"Y",_xll.EVPRO($B$1,$H63,"CALC"))</f>
        <v>Y</v>
      </c>
      <c r="K63" s="179" t="str">
        <f>IF(AND(I63&lt;&gt;"B1",J63="Y"),"&gt;","")</f>
        <v>&gt;</v>
      </c>
      <c r="L63" s="90" t="str">
        <f>IF(_epmOfflineCondition_,"706100",_xll.EVPRO($B$1,H63,"JDEID"))</f>
        <v>706100</v>
      </c>
      <c r="M63" s="90" t="str">
        <f>IF(_epmOfflineCondition_,"",IF(AND(I63="N",J63="N"),_xll.EVPRO($B$1,H63,"PSFTID"),""))</f>
        <v/>
      </c>
      <c r="N63" s="90" t="str">
        <f>IF(_epmOfflineCondition_,"Miscellaneous",IF(_xll.EVDES(H63,$B$1)="#NODATA","",_xll.EVDES(H63,$B$1)))</f>
        <v>Miscellaneous</v>
      </c>
      <c r="O63" s="217"/>
      <c r="P63" s="217"/>
      <c r="Q63" s="217"/>
      <c r="R63" s="217"/>
      <c r="S63" s="217"/>
      <c r="T63" s="217"/>
      <c r="U63" s="217"/>
      <c r="V63" s="217"/>
      <c r="W63" s="217"/>
      <c r="X63" s="217"/>
      <c r="Y63" s="217"/>
      <c r="Z63" s="217"/>
      <c r="AA63" s="251">
        <f t="shared" si="13"/>
        <v>0</v>
      </c>
      <c r="AB63" s="219" t="str">
        <f t="shared" si="14"/>
        <v/>
      </c>
      <c r="AC63" s="140"/>
      <c r="AD63" s="217">
        <v>5400</v>
      </c>
      <c r="AE63" s="219">
        <f t="shared" si="15"/>
        <v>2.015176894280275E-2</v>
      </c>
      <c r="AF63" s="220">
        <f t="shared" si="16"/>
        <v>-5400</v>
      </c>
      <c r="AG63" s="217">
        <v>1185.71</v>
      </c>
      <c r="AH63" s="219">
        <f t="shared" si="17"/>
        <v>5.1154621293758792E-3</v>
      </c>
      <c r="AI63" s="220">
        <f t="shared" si="18"/>
        <v>-1185.71</v>
      </c>
      <c r="AJ63" s="440">
        <f t="shared" si="19"/>
        <v>0</v>
      </c>
      <c r="AK63" s="441">
        <f t="shared" si="20"/>
        <v>0.1428760418044715</v>
      </c>
      <c r="AL63" s="442">
        <f t="shared" si="21"/>
        <v>3.6059546256310443E-2</v>
      </c>
      <c r="AM63" s="443">
        <f t="shared" si="22"/>
        <v>0</v>
      </c>
      <c r="AN63" s="444">
        <f t="shared" si="23"/>
        <v>0</v>
      </c>
      <c r="AO63" s="11"/>
    </row>
    <row r="64" spans="1:41" x14ac:dyDescent="0.35">
      <c r="A64" s="97" t="s">
        <v>92</v>
      </c>
      <c r="B64" s="98" t="s">
        <v>93</v>
      </c>
      <c r="C64" s="98" t="s">
        <v>94</v>
      </c>
      <c r="D64" s="98" t="s">
        <v>95</v>
      </c>
      <c r="E64" s="98" t="s">
        <v>96</v>
      </c>
      <c r="F64" s="99" t="s">
        <v>97</v>
      </c>
      <c r="G64" s="11"/>
      <c r="H64" s="88" t="s">
        <v>893</v>
      </c>
      <c r="I64" s="122" t="str">
        <f>IF(_epmOfflineCondition_,"T4",_xll.EVPRO($B$1,$H64,"STYLE"))</f>
        <v>T4</v>
      </c>
      <c r="J64" s="122" t="str">
        <f>IF(_epmOfflineCondition_,"Y",_xll.EVPRO($B$1,$H64,"CALC"))</f>
        <v>Y</v>
      </c>
      <c r="K64" s="179" t="str">
        <f>IF(AND(I64&lt;&gt;"B1",J64="Y"),"&gt;","")</f>
        <v>&gt;</v>
      </c>
      <c r="L64" s="90" t="str">
        <f>IF(_epmOfflineCondition_,"706300",_xll.EVPRO($B$1,H64,"JDEID"))</f>
        <v>706300</v>
      </c>
      <c r="M64" s="90" t="str">
        <f>IF(_epmOfflineCondition_,"",IF(AND(I64="N",J64="N"),_xll.EVPRO($B$1,H64,"PSFTID"),""))</f>
        <v/>
      </c>
      <c r="N64" s="90" t="str">
        <f>IF(_epmOfflineCondition_,"Management Fees",IF(_xll.EVDES(H64,$B$1)="#NODATA","",_xll.EVDES(H64,$B$1)))</f>
        <v>Management Fees</v>
      </c>
      <c r="O64" s="217">
        <v>266.66000000000003</v>
      </c>
      <c r="P64" s="217">
        <v>500</v>
      </c>
      <c r="Q64" s="217">
        <v>354</v>
      </c>
      <c r="R64" s="217">
        <v>146</v>
      </c>
      <c r="S64" s="217"/>
      <c r="T64" s="217"/>
      <c r="U64" s="217"/>
      <c r="V64" s="217"/>
      <c r="W64" s="217"/>
      <c r="X64" s="217"/>
      <c r="Y64" s="217"/>
      <c r="Z64" s="217"/>
      <c r="AA64" s="251">
        <f t="shared" si="13"/>
        <v>1266.6600000000001</v>
      </c>
      <c r="AB64" s="219">
        <f t="shared" si="14"/>
        <v>2.0726672225807593E-2</v>
      </c>
      <c r="AC64" s="140"/>
      <c r="AD64" s="217">
        <v>6000</v>
      </c>
      <c r="AE64" s="219">
        <f t="shared" si="15"/>
        <v>2.2390854380891945E-2</v>
      </c>
      <c r="AF64" s="220">
        <f t="shared" si="16"/>
        <v>-4733.34</v>
      </c>
      <c r="AG64" s="217">
        <v>11400.05</v>
      </c>
      <c r="AH64" s="219">
        <f t="shared" si="17"/>
        <v>4.9182788411999127E-2</v>
      </c>
      <c r="AI64" s="220">
        <f t="shared" si="18"/>
        <v>-10133.39</v>
      </c>
      <c r="AJ64" s="440">
        <f t="shared" si="19"/>
        <v>6.3175062344139651E-2</v>
      </c>
      <c r="AK64" s="441">
        <f t="shared" si="20"/>
        <v>0.15875115756052388</v>
      </c>
      <c r="AL64" s="442">
        <f t="shared" si="21"/>
        <v>0.34669576059850371</v>
      </c>
      <c r="AM64" s="443" t="str">
        <f t="shared" si="22"/>
        <v>-0.17 pts.</v>
      </c>
      <c r="AN64" s="444" t="str">
        <f t="shared" si="23"/>
        <v>-2.85 pts.</v>
      </c>
      <c r="AO64" s="11"/>
    </row>
    <row r="65" spans="1:41" x14ac:dyDescent="0.35">
      <c r="A65" s="11"/>
      <c r="B65" s="11"/>
      <c r="C65" s="11"/>
      <c r="D65" s="11"/>
      <c r="E65" s="11"/>
      <c r="F65" s="11"/>
      <c r="G65" s="11"/>
      <c r="H65" s="88" t="s">
        <v>79</v>
      </c>
      <c r="I65" s="136" t="str">
        <f>IF(_epmOfflineCondition_,"T3",_xll.EVPRO($B$1,$H65,"STYLE"))</f>
        <v>T3</v>
      </c>
      <c r="J65" s="136" t="str">
        <f>IF(_epmOfflineCondition_,"Y",_xll.EVPRO($B$1,$H65,"CALC"))</f>
        <v>Y</v>
      </c>
      <c r="K65" s="104"/>
      <c r="L65" s="104"/>
      <c r="M65" s="104"/>
      <c r="N65" s="106" t="str">
        <f>IF(_epmOfflineCondition_,"Total Operations Expense",IF(_xll.EVDES(H65,$B$1)="#NODATA","",_xll.EVDES(H65,$B$1)))</f>
        <v>Total Operations Expense</v>
      </c>
      <c r="O65" s="154">
        <v>7302.72</v>
      </c>
      <c r="P65" s="154">
        <v>4388.8</v>
      </c>
      <c r="Q65" s="154">
        <v>2988.75</v>
      </c>
      <c r="R65" s="154">
        <v>-2145.23</v>
      </c>
      <c r="S65" s="154"/>
      <c r="T65" s="154"/>
      <c r="U65" s="154"/>
      <c r="V65" s="154"/>
      <c r="W65" s="154"/>
      <c r="X65" s="154"/>
      <c r="Y65" s="154"/>
      <c r="Z65" s="154"/>
      <c r="AA65" s="154">
        <f t="shared" si="13"/>
        <v>12535.04</v>
      </c>
      <c r="AB65" s="155">
        <f t="shared" si="14"/>
        <v>0.20511397329779674</v>
      </c>
      <c r="AC65" s="140"/>
      <c r="AD65" s="154">
        <v>56183</v>
      </c>
      <c r="AE65" s="155">
        <f t="shared" si="15"/>
        <v>0.20966422861360867</v>
      </c>
      <c r="AF65" s="156">
        <f t="shared" si="16"/>
        <v>-43647.96</v>
      </c>
      <c r="AG65" s="154">
        <v>52820.47</v>
      </c>
      <c r="AH65" s="155">
        <f t="shared" si="17"/>
        <v>0.22788128120774451</v>
      </c>
      <c r="AI65" s="156">
        <f t="shared" si="18"/>
        <v>-40285.43</v>
      </c>
      <c r="AJ65" s="466">
        <f t="shared" si="19"/>
        <v>0.62518902743142146</v>
      </c>
      <c r="AK65" s="467">
        <f t="shared" si="20"/>
        <v>1.4865193808704855</v>
      </c>
      <c r="AL65" s="468">
        <f t="shared" si="21"/>
        <v>1.6063642722462137</v>
      </c>
      <c r="AM65" s="469" t="str">
        <f t="shared" si="22"/>
        <v>-0.46 pts.</v>
      </c>
      <c r="AN65" s="555" t="str">
        <f t="shared" si="23"/>
        <v>-2.28 pts.</v>
      </c>
      <c r="AO65" s="11"/>
    </row>
    <row r="66" spans="1:41" x14ac:dyDescent="0.35">
      <c r="A66" s="11" t="s">
        <v>105</v>
      </c>
      <c r="B66" s="11"/>
      <c r="C66" s="104" t="s">
        <v>101</v>
      </c>
      <c r="D66" s="11" t="s">
        <v>106</v>
      </c>
      <c r="E66" s="11"/>
      <c r="F66" s="11" t="s">
        <v>98</v>
      </c>
      <c r="G66" s="11"/>
      <c r="H66" s="11"/>
      <c r="I66" s="59"/>
      <c r="J66" s="59"/>
      <c r="K66" s="11"/>
      <c r="L66" s="11"/>
      <c r="M66" s="11"/>
      <c r="N66" s="11"/>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1"/>
    </row>
    <row r="67" spans="1:41" x14ac:dyDescent="0.35">
      <c r="A67" s="11" t="s">
        <v>108</v>
      </c>
      <c r="B67" s="11"/>
      <c r="C67" s="106" t="s">
        <v>101</v>
      </c>
      <c r="D67" s="11" t="s">
        <v>106</v>
      </c>
      <c r="E67" s="11"/>
      <c r="F67" s="11" t="s">
        <v>98</v>
      </c>
      <c r="G67" s="11"/>
      <c r="H67" s="88" t="s">
        <v>80</v>
      </c>
      <c r="I67" s="136" t="str">
        <f>IF(_epmOfflineCondition_,"T3",_xll.EVPRO($B$1,$H67,"STYLE"))</f>
        <v>T3</v>
      </c>
      <c r="J67" s="136" t="str">
        <f>IF(_epmOfflineCondition_,"Y",_xll.EVPRO($B$1,$H67,"CALC"))</f>
        <v>Y</v>
      </c>
      <c r="K67" s="106"/>
      <c r="L67" s="106"/>
      <c r="M67" s="106"/>
      <c r="N67" s="106" t="str">
        <f>IF(_epmOfflineCondition_,"Total Expenses",IF(_xll.EVDES(H67,$B$1)="#NODATA","",_xll.EVDES(H67,$B$1)))</f>
        <v>Total Expenses</v>
      </c>
      <c r="O67" s="238">
        <v>26459.360000000001</v>
      </c>
      <c r="P67" s="238">
        <v>19061.830000000002</v>
      </c>
      <c r="Q67" s="238">
        <v>13768.15</v>
      </c>
      <c r="R67" s="238">
        <v>-45.46</v>
      </c>
      <c r="S67" s="238"/>
      <c r="T67" s="238"/>
      <c r="U67" s="238"/>
      <c r="V67" s="238"/>
      <c r="W67" s="238"/>
      <c r="X67" s="238"/>
      <c r="Y67" s="238"/>
      <c r="Z67" s="238"/>
      <c r="AA67" s="238">
        <f>IF($I67="B1","",SUM(O67:Z67))</f>
        <v>59243.880000000005</v>
      </c>
      <c r="AB67" s="239">
        <f>IF(AA67=0,"",IFERROR(AA67/AA$19,""))</f>
        <v>0.96942232496887726</v>
      </c>
      <c r="AC67" s="140"/>
      <c r="AD67" s="238">
        <v>259998.467032935</v>
      </c>
      <c r="AE67" s="239">
        <f>IF(AD67=0,"",IFERROR(AD67/AD$19,""))</f>
        <v>0.97026463576493038</v>
      </c>
      <c r="AF67" s="254">
        <f>IF(AND($AA67="",AD67=""),"",$AA67-AD67)</f>
        <v>-200754.587032935</v>
      </c>
      <c r="AG67" s="255">
        <v>273230.17</v>
      </c>
      <c r="AH67" s="256">
        <f>IF(AG67=0,"",IFERROR(AG67/AG$19,""))</f>
        <v>1.1787862017170585</v>
      </c>
      <c r="AI67" s="254">
        <f>IF(AND($AA67="",AG67=""),"",$AA67-AG67)</f>
        <v>-213986.28999999998</v>
      </c>
      <c r="AJ67" s="472">
        <f>IFERROR(AA67/AA$20,0)</f>
        <v>2.9548069825436412</v>
      </c>
      <c r="AK67" s="473">
        <f>IFERROR(AD67/AD$20,0)</f>
        <v>6.8791762675733565</v>
      </c>
      <c r="AL67" s="474">
        <f>IFERROR(AG67/AG$20,0)</f>
        <v>8.3094145733227904</v>
      </c>
      <c r="AM67" s="475" t="str">
        <f>+IFERROR(ROUND(($AB67-AE67)*100,2)&amp;" pts.",0)</f>
        <v>-0.08 pts.</v>
      </c>
      <c r="AN67" s="556" t="str">
        <f>+IFERROR(ROUND(($AB67-AH67)*100,2)&amp;" pts.",0)</f>
        <v>-20.94 pts.</v>
      </c>
      <c r="AO67" s="11"/>
    </row>
    <row r="68" spans="1:41" ht="15" thickBot="1" x14ac:dyDescent="0.4">
      <c r="A68" s="11" t="s">
        <v>108</v>
      </c>
      <c r="B68" s="11"/>
      <c r="C68" s="196" t="s">
        <v>101</v>
      </c>
      <c r="D68" s="11" t="s">
        <v>107</v>
      </c>
      <c r="E68" s="11"/>
      <c r="F68" s="11" t="s">
        <v>99</v>
      </c>
      <c r="G68" s="11"/>
      <c r="H68" s="88" t="s">
        <v>81</v>
      </c>
      <c r="I68" s="136" t="str">
        <f>IF(_epmOfflineCondition_,"T3",_xll.EVPRO($B$1,$H68,"STYLE"))</f>
        <v>T3</v>
      </c>
      <c r="J68" s="136" t="str">
        <f>IF(_epmOfflineCondition_,"Y",_xll.EVPRO($B$1,$H68,"CALC"))</f>
        <v>Y</v>
      </c>
      <c r="K68" s="106"/>
      <c r="L68" s="106"/>
      <c r="M68" s="106"/>
      <c r="N68" s="106" t="str">
        <f>IF(_epmOfflineCondition_,"Department Profit (Loss)",IF(_xll.EVDES(H68,$B$1)="#NODATA","",_xll.EVDES(H68,$B$1)))</f>
        <v>Department Profit (Loss)</v>
      </c>
      <c r="O68" s="169">
        <v>-779.40999999999804</v>
      </c>
      <c r="P68" s="169">
        <v>3485.64</v>
      </c>
      <c r="Q68" s="169">
        <v>-1357.61</v>
      </c>
      <c r="R68" s="169">
        <v>45.46</v>
      </c>
      <c r="S68" s="169">
        <v>-72.900000000000006</v>
      </c>
      <c r="T68" s="169"/>
      <c r="U68" s="169"/>
      <c r="V68" s="169"/>
      <c r="W68" s="169">
        <v>547.5</v>
      </c>
      <c r="X68" s="169"/>
      <c r="Y68" s="169"/>
      <c r="Z68" s="169"/>
      <c r="AA68" s="169">
        <f>IF($I68="B1","",SUM(O68:Z68))</f>
        <v>1868.6800000000019</v>
      </c>
      <c r="AB68" s="170">
        <f>IF(AA68=0,"",IFERROR(AA68/AA$19,""))</f>
        <v>3.0577675031122929E-2</v>
      </c>
      <c r="AC68" s="140"/>
      <c r="AD68" s="169">
        <v>7968.08296706489</v>
      </c>
      <c r="AE68" s="170">
        <f>IF(AD68=0,"",IFERROR(AD68/AD$19,""))</f>
        <v>2.9735364235069228E-2</v>
      </c>
      <c r="AF68" s="171">
        <f>IF(AND($AA68="",AD68=""),"",$AA68-AD68)</f>
        <v>-6099.4029670648879</v>
      </c>
      <c r="AG68" s="169">
        <v>-41440.75</v>
      </c>
      <c r="AH68" s="170">
        <f>IF(AG68=0,"",IFERROR(AG68/AG$19,""))</f>
        <v>-0.17878620171705853</v>
      </c>
      <c r="AI68" s="171">
        <f>IF(AND($AA68="",AG68=""),"",$AA68-AG68)</f>
        <v>43309.43</v>
      </c>
      <c r="AJ68" s="477">
        <f>IFERROR(AA68/AA$20,0)</f>
        <v>9.3200997506234506E-2</v>
      </c>
      <c r="AK68" s="478">
        <f>IFERROR(AD68/AD$20,0)</f>
        <v>0.21082373242664082</v>
      </c>
      <c r="AL68" s="479">
        <f>IFERROR(AG68/AG$20,0)</f>
        <v>-1.2602867830423941</v>
      </c>
      <c r="AM68" s="480" t="str">
        <f>+IFERROR(ROUND(($AB68-AE68)*100,2)&amp;" pts.",0)</f>
        <v>0.08 pts.</v>
      </c>
      <c r="AN68" s="557" t="str">
        <f>+IFERROR(ROUND(($AB68-AH68)*100,2)&amp;" pts.",0)</f>
        <v>20.94 pts.</v>
      </c>
      <c r="AO68" s="11"/>
    </row>
    <row r="69" spans="1:41" ht="15" thickTop="1" x14ac:dyDescent="0.35">
      <c r="A69" s="11"/>
      <c r="B69" s="11"/>
      <c r="C69" s="11"/>
      <c r="D69" s="11"/>
      <c r="E69" s="11"/>
      <c r="F69" s="11"/>
      <c r="G69" s="11"/>
      <c r="H69" s="11"/>
      <c r="I69" s="59"/>
      <c r="J69" s="59"/>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208"/>
      <c r="D70" s="11"/>
      <c r="E70" s="11"/>
      <c r="F70" s="11"/>
      <c r="G70" s="11"/>
      <c r="H70" s="11"/>
      <c r="I70" s="59"/>
      <c r="J70" s="59"/>
      <c r="K70" s="11"/>
      <c r="L70" s="11"/>
      <c r="M70" s="11"/>
      <c r="N70" s="104" t="str">
        <f>N67&amp;" - Check"</f>
        <v>Total Expenses - Check</v>
      </c>
      <c r="O70" s="209">
        <f t="shared" ref="O70:AA70" si="24">SUMIF($H$34:$H$68,"600000",O$34:O$68)+SUMIF($H$34:$H$68,"700000",O$34:O$68)-SUMIF($H$34:$H$68,"TOTDEPTEXP",O$34:O$68)</f>
        <v>0</v>
      </c>
      <c r="P70" s="209">
        <f t="shared" si="24"/>
        <v>0</v>
      </c>
      <c r="Q70" s="209">
        <f t="shared" si="24"/>
        <v>0</v>
      </c>
      <c r="R70" s="209">
        <f t="shared" si="24"/>
        <v>0</v>
      </c>
      <c r="S70" s="209">
        <f t="shared" si="24"/>
        <v>0</v>
      </c>
      <c r="T70" s="209">
        <f t="shared" si="24"/>
        <v>0</v>
      </c>
      <c r="U70" s="209">
        <f t="shared" si="24"/>
        <v>0</v>
      </c>
      <c r="V70" s="209">
        <f t="shared" si="24"/>
        <v>0</v>
      </c>
      <c r="W70" s="209">
        <f t="shared" si="24"/>
        <v>0</v>
      </c>
      <c r="X70" s="209">
        <f t="shared" si="24"/>
        <v>0</v>
      </c>
      <c r="Y70" s="209">
        <f t="shared" si="24"/>
        <v>0</v>
      </c>
      <c r="Z70" s="209">
        <f t="shared" si="24"/>
        <v>0</v>
      </c>
      <c r="AA70" s="209">
        <f t="shared" si="24"/>
        <v>0</v>
      </c>
      <c r="AB70" s="100"/>
      <c r="AC70" s="11"/>
      <c r="AD70" s="209">
        <f>SUMIF($H$34:$H$68,"600000",AD$34:AD$68)+SUMIF($H$34:$H$68,"700000",AD$34:AD$68)-SUMIF($H$34:$H$68,"TOTDEPTEXP",AD$34:AD$68)</f>
        <v>0</v>
      </c>
      <c r="AE70" s="100"/>
      <c r="AF70" s="91"/>
      <c r="AG70" s="209">
        <f>SUMIF($H$34:$H$68,"600000",AG$34:AG$68)+SUMIF($H$34:$H$68,"700000",AG$34:AG$68)-SUMIF($H$34:$H$68,"TOTDEPTEXP",AG$34:AG$68)</f>
        <v>0</v>
      </c>
      <c r="AH70" s="100"/>
      <c r="AI70" s="91"/>
      <c r="AJ70" s="11"/>
      <c r="AK70" s="11"/>
      <c r="AL70" s="11"/>
      <c r="AM70" s="11"/>
      <c r="AN70" s="11"/>
      <c r="AO70" s="11"/>
    </row>
    <row r="71" spans="1:41" x14ac:dyDescent="0.35">
      <c r="A71" s="61" t="str">
        <f>IF(_epmOfflineCondition_,"Evdre:Ok",_xll.EVDRE($B$1,A74:B81,A84:B90))</f>
        <v>Evdre:Ok</v>
      </c>
      <c r="B71" s="11"/>
      <c r="C71" s="11"/>
      <c r="D71" s="11"/>
      <c r="E71" s="11"/>
      <c r="F71" s="11"/>
      <c r="G71" s="11"/>
      <c r="H71" s="11"/>
      <c r="I71" s="59"/>
      <c r="J71" s="59"/>
      <c r="K71" s="11"/>
      <c r="L71" s="11"/>
      <c r="M71" s="11"/>
      <c r="N71" s="104" t="str">
        <f>N68&amp;" - Check"</f>
        <v>Department Profit (Loss) - Check</v>
      </c>
      <c r="O71" s="209">
        <f t="shared" ref="O71:AA71" si="25">SUMIF($H$34:$H$68,"KPI_GP",O$34:O$68)-SUMIF($H$34:$H$68,"TOTDEPTEXP",O$34:O$68)-SUMIF($H$34:$H$68,"TOTDEPTPL",O$34:O$68)</f>
        <v>-1.8189894035458565E-12</v>
      </c>
      <c r="P71" s="209">
        <f t="shared" si="25"/>
        <v>0</v>
      </c>
      <c r="Q71" s="209">
        <f t="shared" si="25"/>
        <v>0</v>
      </c>
      <c r="R71" s="209">
        <f t="shared" si="25"/>
        <v>0</v>
      </c>
      <c r="S71" s="209">
        <f t="shared" si="25"/>
        <v>0</v>
      </c>
      <c r="T71" s="209">
        <f t="shared" si="25"/>
        <v>0</v>
      </c>
      <c r="U71" s="209">
        <f t="shared" si="25"/>
        <v>0</v>
      </c>
      <c r="V71" s="209">
        <f t="shared" si="25"/>
        <v>0</v>
      </c>
      <c r="W71" s="209">
        <f t="shared" si="25"/>
        <v>0</v>
      </c>
      <c r="X71" s="209">
        <f t="shared" si="25"/>
        <v>0</v>
      </c>
      <c r="Y71" s="209">
        <f t="shared" si="25"/>
        <v>0</v>
      </c>
      <c r="Z71" s="209">
        <f t="shared" si="25"/>
        <v>0</v>
      </c>
      <c r="AA71" s="209">
        <f t="shared" si="25"/>
        <v>-8.8675733422860503E-12</v>
      </c>
      <c r="AB71" s="100"/>
      <c r="AC71" s="11"/>
      <c r="AD71" s="209">
        <f>SUMIF($H$34:$H$68,"KPI_GP",AD$34:AD$68)-SUMIF($H$34:$H$68,"TOTDEPTEXP",AD$34:AD$68)-SUMIF($H$34:$H$68,"TOTDEPTPL",AD$34:AD$68)</f>
        <v>9.3677954282611609E-11</v>
      </c>
      <c r="AE71" s="100"/>
      <c r="AF71" s="91"/>
      <c r="AG71" s="209">
        <f>SUMIF($H$34:$H$68,"KPI_GP",AG$34:AG$68)-SUMIF($H$34:$H$68,"TOTDEPTEXP",AG$34:AG$68)-SUMIF($H$34:$H$68,"TOTDEPTPL",AG$34:AG$68)</f>
        <v>0</v>
      </c>
      <c r="AH71" s="100"/>
      <c r="AI71" s="91"/>
      <c r="AJ71" s="11"/>
      <c r="AK71" s="11"/>
      <c r="AL71" s="11"/>
      <c r="AM71" s="11"/>
      <c r="AN71" s="11"/>
      <c r="AO71" s="11"/>
    </row>
    <row r="72" spans="1:41" x14ac:dyDescent="0.35">
      <c r="A72" s="11"/>
      <c r="B72" s="11"/>
      <c r="C72" s="11"/>
      <c r="D72" s="11"/>
      <c r="E72" s="11"/>
      <c r="F72" s="11"/>
      <c r="G72" s="11"/>
      <c r="H72" s="11"/>
      <c r="I72" s="59"/>
      <c r="J72" s="59"/>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62" t="s">
        <v>0</v>
      </c>
      <c r="B73" s="63" t="s">
        <v>1</v>
      </c>
      <c r="C73" s="11"/>
      <c r="D73" s="11"/>
      <c r="E73" s="11"/>
      <c r="F73" s="11"/>
      <c r="G73" s="11"/>
      <c r="H73" s="11"/>
      <c r="I73" s="59"/>
      <c r="J73" s="59"/>
      <c r="K73" s="11"/>
      <c r="L73" s="11"/>
      <c r="M73" s="11"/>
      <c r="N73" s="11"/>
      <c r="O73" s="137"/>
      <c r="P73" s="137"/>
      <c r="Q73" s="137"/>
      <c r="R73" s="137"/>
      <c r="S73" s="137"/>
      <c r="T73" s="137"/>
      <c r="U73" s="137"/>
      <c r="V73" s="137"/>
      <c r="W73" s="137"/>
      <c r="X73" s="137"/>
      <c r="Y73" s="137"/>
      <c r="Z73" s="137"/>
      <c r="AA73" s="137"/>
      <c r="AB73" s="11"/>
      <c r="AC73" s="11"/>
      <c r="AD73" s="137"/>
      <c r="AE73" s="11"/>
      <c r="AF73" s="11"/>
      <c r="AG73" s="137"/>
      <c r="AH73" s="11"/>
      <c r="AI73" s="11"/>
      <c r="AJ73" s="11"/>
      <c r="AK73" s="11"/>
      <c r="AL73" s="11"/>
      <c r="AM73" s="11"/>
      <c r="AN73" s="11"/>
      <c r="AO73" s="11"/>
    </row>
    <row r="74" spans="1:41" x14ac:dyDescent="0.35">
      <c r="A74" s="65" t="s">
        <v>2</v>
      </c>
      <c r="B74" s="66" t="str">
        <f>IF(_epmOfflineCondition_,"'Parking'!$B$2:$B$10",_xll.EVRNG($B$2:$B$10))</f>
        <v>'Parking'!$B$2:$B$10</v>
      </c>
      <c r="C74" s="11"/>
      <c r="D74" s="11"/>
      <c r="E74" s="11"/>
      <c r="F74" s="11"/>
      <c r="G74" s="11"/>
      <c r="H74" s="11"/>
      <c r="I74" s="59"/>
      <c r="J74" s="59"/>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65" t="s">
        <v>3</v>
      </c>
      <c r="B75" s="66" t="str">
        <f>IF(_epmOfflineCondition_,"'Parking'!$O$16:$AN$18",_xll.EVRNG($O$16:$AN$18))</f>
        <v>'Parking'!$O$16:$AN$18</v>
      </c>
      <c r="C75" s="11"/>
      <c r="D75" s="11"/>
      <c r="E75" s="11"/>
      <c r="F75" s="11"/>
      <c r="G75" s="11"/>
      <c r="H75" s="11"/>
      <c r="I75" s="59"/>
      <c r="J75" s="59"/>
      <c r="K75" s="11"/>
      <c r="L75" s="11"/>
      <c r="M75" s="11"/>
      <c r="N75" s="11"/>
      <c r="O75" s="137"/>
      <c r="P75" s="137"/>
      <c r="Q75" s="137"/>
      <c r="R75" s="137"/>
      <c r="S75" s="137"/>
      <c r="T75" s="137"/>
      <c r="U75" s="137"/>
      <c r="V75" s="137"/>
      <c r="W75" s="137"/>
      <c r="X75" s="137"/>
      <c r="Y75" s="137"/>
      <c r="Z75" s="137"/>
      <c r="AA75" s="137"/>
      <c r="AB75" s="11"/>
      <c r="AC75" s="11"/>
      <c r="AD75" s="137"/>
      <c r="AE75" s="11"/>
      <c r="AF75" s="11"/>
      <c r="AG75" s="137"/>
      <c r="AH75" s="11"/>
      <c r="AI75" s="11"/>
      <c r="AJ75" s="11"/>
      <c r="AK75" s="11"/>
      <c r="AL75" s="11"/>
      <c r="AM75" s="11"/>
      <c r="AN75" s="11"/>
      <c r="AO75" s="11"/>
    </row>
    <row r="76" spans="1:41" x14ac:dyDescent="0.35">
      <c r="A76" s="65" t="s">
        <v>4</v>
      </c>
      <c r="B76" s="66" t="str">
        <f>IF(_epmOfflineCondition_,"'Parking'!$H$48:$H$49,'Parking'!$H$51:$H$57,'Parking'!$H$60:$H$64",_xll.EVRNG(H48:H49,H51:H57,H60:H64))</f>
        <v>'Parking'!$H$48:$H$49,'Parking'!$H$51:$H$57,'Parking'!$H$60:$H$64</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5</v>
      </c>
      <c r="B77" s="66"/>
      <c r="C77" s="11"/>
      <c r="D77" s="11"/>
      <c r="E77" s="11"/>
      <c r="F77" s="11"/>
      <c r="G77" s="11"/>
      <c r="H77" s="11"/>
      <c r="I77" s="59"/>
      <c r="J77" s="59"/>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6</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7</v>
      </c>
      <c r="B79" s="66" t="str">
        <f>IF(_epmOfflineCondition_,"'Parking'!$A$93:$F$99",_xll.EVRNG(A93:F99))</f>
        <v>'Parking'!$A$93:$F$99</v>
      </c>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47</v>
      </c>
      <c r="B80" s="66" t="str">
        <f>IF(_epmOfflineCondition_,"'Parking'!$A$116:$B$137",_xll.EVRNG($A$116:$B$137))</f>
        <v>'Parking'!$A$116:$B$137</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8</v>
      </c>
      <c r="B81" s="66"/>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208"/>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1" t="str">
        <f>IF(_epmOfflineCondition_,"Evdre:Ok",_xll.EVDRE($B$1,A105:B112))</f>
        <v>Evdre:Ok</v>
      </c>
      <c r="B102" s="11" t="s">
        <v>736</v>
      </c>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0</v>
      </c>
      <c r="B104" s="63" t="s">
        <v>1</v>
      </c>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v>
      </c>
      <c r="B105" s="66" t="str">
        <f>IF(_epmOfflineCondition_,"'Parking'!$B$2:$B$10",_xll.EVRNG($B$2:$B$10))</f>
        <v>'Parking'!$B$2:$B$10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3</v>
      </c>
      <c r="B106" s="66" t="str">
        <f>IF(_epmOfflineCondition_,"'Parking'!$O$16:$AN$18",_xll.EVRNG($O$16:$AN$18))</f>
        <v>'Parking'!$O$16:$AN$18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v>
      </c>
      <c r="B107" s="66" t="str">
        <f>IF(_epmOfflineCondition_,"'Parking'!$H$65:$H$68",_xll.EVRNG(H65:H68))</f>
        <v>'Parking'!$H$65:$H$68</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6</v>
      </c>
      <c r="B109" s="66"/>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47</v>
      </c>
      <c r="B111" s="66" t="str">
        <f>IF(_epmOfflineCondition_,"'Parking'!$A$116:$B$137",_xll.EVRNG($A$116:$B$137))</f>
        <v>'Parking'!$A$116:$B$137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267"/>
      <c r="J141" s="11"/>
      <c r="K141" s="267"/>
      <c r="L141" s="267"/>
      <c r="M141" s="267"/>
      <c r="N141" s="11"/>
      <c r="O141" s="267"/>
      <c r="P141" s="267"/>
      <c r="Q141" s="267"/>
      <c r="R141" s="267"/>
      <c r="S141" s="267"/>
      <c r="T141" s="267"/>
      <c r="U141" s="267"/>
      <c r="V141" s="267"/>
      <c r="W141" s="267"/>
      <c r="X141" s="267"/>
      <c r="Y141" s="267"/>
      <c r="Z141" s="267"/>
      <c r="AA141" s="267"/>
      <c r="AB141" s="11"/>
      <c r="AC141" s="11"/>
      <c r="AD141" s="267"/>
      <c r="AE141" s="11"/>
      <c r="AF141" s="267"/>
      <c r="AG141" s="11"/>
      <c r="AH141" s="267"/>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267"/>
      <c r="J145" s="11"/>
      <c r="K145" s="267"/>
      <c r="L145" s="267"/>
      <c r="M145" s="267"/>
      <c r="N145" s="11"/>
      <c r="O145" s="267"/>
      <c r="P145" s="267"/>
      <c r="Q145" s="267"/>
      <c r="R145" s="267"/>
      <c r="S145" s="267"/>
      <c r="T145" s="267"/>
      <c r="U145" s="267"/>
      <c r="V145" s="267"/>
      <c r="W145" s="267"/>
      <c r="X145" s="267"/>
      <c r="Y145" s="267"/>
      <c r="Z145" s="267"/>
      <c r="AA145" s="267"/>
      <c r="AB145" s="11"/>
      <c r="AC145" s="11"/>
      <c r="AD145" s="267"/>
      <c r="AE145" s="11"/>
      <c r="AF145" s="267"/>
      <c r="AG145" s="11"/>
      <c r="AH145" s="267"/>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267"/>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267"/>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sheetData>
  <sheetProtection algorithmName="SHA-512" hashValue="FrvN9nh0QDY/WeLgQ+k1S3v/nqeVxxLcCsQmopTj5vKVgaXEew7cp8jyHd5gDBHJYCN+NfhrB6+RaSZiYz5Blw==" saltValue="lJ/KSAMRP29kDM+nkL0Nvg==" spinCount="100000" sheet="1" scenarios="1"/>
  <mergeCells count="2">
    <mergeCell ref="AD31:AE31"/>
    <mergeCell ref="AG31:AH31"/>
  </mergeCells>
  <dataValidations disablePrompts="1" count="2">
    <dataValidation type="list" allowBlank="1" sqref="B57 B85 B28" xr:uid="{00000000-0002-0000-2100-000000000000}">
      <formula1>"ACCOUNT,BUSINESSUNIT,CATEGORY,DATASRC,DEPARTMENT,INTCO,MEASURES,RPTCURRENCY,TIME"</formula1>
    </dataValidation>
    <dataValidation type="list" allowBlank="1" sqref="B58 B29 B86" xr:uid="{00000000-0002-0000-2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6872"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6872" r:id="rId7" name="FPMExcelClientSheetOptionstb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386</v>
      </c>
      <c r="C6" s="11" t="str">
        <f>IF(_epmOfflineCondition_,"Retail Shop",_xll.EVDES(B6,$B$1))</f>
        <v>Retail Shop</v>
      </c>
      <c r="D6" s="11"/>
      <c r="E6" s="58" t="str">
        <f>IF(_epmOfflineCondition_,"D1136",_xll.EVPRO($B$1,$B$6,$F$6))</f>
        <v>D1136</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IF(_epmOfflineCondition_,"'Retail'!$B$2:$B$10",_xll.EVRNG($B$2:$B$10))</f>
        <v>'Retail'!$B$2:$B$10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IF(_epmOfflineCondition_,"'Retail'!$O$16:$AN$18",_xll.EVRNG($O$16:$AN$18))</f>
        <v>'Retail'!$O$16:$AN$18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IF(_epmOfflineCondition_,"'Retail'!$H$34:$H$44",_xll.EVRNG(H34:H44))</f>
        <v>'Retail'!$H$34:$H$44</v>
      </c>
      <c r="C19" s="11"/>
      <c r="D19" s="11"/>
      <c r="E19" s="11"/>
      <c r="F19" s="11"/>
      <c r="G19" s="67" t="str">
        <f>$B$6</f>
        <v>D1136</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IF(_epmOfflineCondition_,"'Retail'!$A$36:$F$39",_xll.EVRNG(A36:F39))</f>
        <v>'Retail'!$A$36:$F$39</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IF(_epmOfflineCondition_,"'Retail'!$A$115:$B$136",_xll.EVRNG($A$115:$B$136))</f>
        <v>'Retail'!$A$115:$B$136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IF(_epmOfflineCondition_,"Retail Shop Department",IF(_xll.EVDES(B6,$B$1)="#NODATA","",_xll.EVDES(B6,$B$1)&amp;" Department"))</f>
        <v>Retail Shop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"DEP(440000) AND "&amp;$E$6&amp;"=Y,400000"</f>
        <v>DEP(440000) AND D1136=Y,400000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387</v>
      </c>
      <c r="I34" s="122" t="str">
        <f>IF(_epmOfflineCondition_,"N",_xll.EVPRO($B$1,$H34,"STYLE"))</f>
        <v>N</v>
      </c>
      <c r="J34" s="122" t="str">
        <f>IF(_epmOfflineCondition_,"N",_xll.EVPRO($B$1,$H34,"CALC"))</f>
        <v>N</v>
      </c>
      <c r="K34" s="179" t="str">
        <f t="shared" ref="K34:K44" si="0">IF(AND(I34&gt;="T5"),"&gt;","")</f>
        <v/>
      </c>
      <c r="L34" s="90" t="str">
        <f>IF(_epmOfflineCondition_,"440100",_xll.EVPRO($B$1,H34,"JDEID"))</f>
        <v>440100</v>
      </c>
      <c r="M34" s="90" t="str">
        <f>IF(_epmOfflineCondition_,"206036",IF(AND(I34="N",J34="N"),_xll.EVPRO($B$1,H34,"PSFTID"),""))</f>
        <v>206036</v>
      </c>
      <c r="N34" s="90" t="str">
        <f>IF(_epmOfflineCondition_,"Accessories",IF(_xll.EVDES(H34,$B$1)="#NODATA","",_xll.EVDES(H34,$B$1)))</f>
        <v>Accessories</v>
      </c>
      <c r="O34" s="143"/>
      <c r="P34" s="143"/>
      <c r="Q34" s="143"/>
      <c r="R34" s="143"/>
      <c r="S34" s="143"/>
      <c r="T34" s="143"/>
      <c r="U34" s="143"/>
      <c r="V34" s="143"/>
      <c r="W34" s="143"/>
      <c r="X34" s="143"/>
      <c r="Y34" s="143"/>
      <c r="Z34" s="143"/>
      <c r="AA34" s="250">
        <f t="shared" ref="AA34:AA44" si="1">IF($I34="B1","",SUM(O34:Z34))</f>
        <v>0</v>
      </c>
      <c r="AB34" s="144" t="str">
        <f t="shared" ref="AB34:AB44" si="2">IF(AA34=0,"",IFERROR(AA34/AA$19,""))</f>
        <v/>
      </c>
      <c r="AC34" s="140"/>
      <c r="AD34" s="143"/>
      <c r="AE34" s="144" t="str">
        <f t="shared" ref="AE34:AE44" si="3">IF(AD34=0,"",IFERROR(AD34/AD$19,""))</f>
        <v/>
      </c>
      <c r="AF34" s="145">
        <f t="shared" ref="AF34:AF44" si="4">IF(AND($AA34="",AD34=""),"",$AA34-AD34)</f>
        <v>0</v>
      </c>
      <c r="AG34" s="143"/>
      <c r="AH34" s="144" t="str">
        <f t="shared" ref="AH34:AH44" si="5">IF(AG34=0,"",IFERROR(AG34/AG$19,""))</f>
        <v/>
      </c>
      <c r="AI34" s="145">
        <f t="shared" ref="AI34:AI44" si="6">IF(AND($AA34="",AG34=""),"",$AA34-AG34)</f>
        <v>0</v>
      </c>
      <c r="AJ34" s="440">
        <f t="shared" ref="AJ34:AJ44" si="7">IFERROR(AA34/AA$20,0)</f>
        <v>0</v>
      </c>
      <c r="AK34" s="441">
        <f t="shared" ref="AK34:AK44" si="8">IFERROR(AD34/AD$20,0)</f>
        <v>0</v>
      </c>
      <c r="AL34" s="442">
        <f t="shared" ref="AL34:AL44" si="9">IFERROR(AG34/AG$20,0)</f>
        <v>0</v>
      </c>
      <c r="AM34" s="443">
        <f t="shared" ref="AM34:AM44" si="10">+IFERROR(ROUND(($AB34-AE34)*100,2)&amp;" pts.",0)</f>
        <v>0</v>
      </c>
      <c r="AN34" s="444">
        <f t="shared" ref="AN34:AN44" si="11">+IFERROR(ROUND(($AB34-AH34)*100,2)&amp;" pts.",0)</f>
        <v>0</v>
      </c>
      <c r="AO34" s="11"/>
    </row>
    <row r="35" spans="1:41" x14ac:dyDescent="0.35">
      <c r="A35" s="97" t="s">
        <v>92</v>
      </c>
      <c r="B35" s="98" t="s">
        <v>93</v>
      </c>
      <c r="C35" s="98" t="s">
        <v>94</v>
      </c>
      <c r="D35" s="98" t="s">
        <v>95</v>
      </c>
      <c r="E35" s="98" t="s">
        <v>96</v>
      </c>
      <c r="F35" s="99" t="s">
        <v>97</v>
      </c>
      <c r="G35" s="11"/>
      <c r="H35" s="88" t="s">
        <v>388</v>
      </c>
      <c r="I35" s="122" t="str">
        <f>IF(_epmOfflineCondition_,"N",_xll.EVPRO($B$1,$H35,"STYLE"))</f>
        <v>N</v>
      </c>
      <c r="J35" s="122" t="str">
        <f>IF(_epmOfflineCondition_,"N",_xll.EVPRO($B$1,$H35,"CALC"))</f>
        <v>N</v>
      </c>
      <c r="K35" s="179" t="str">
        <f t="shared" si="0"/>
        <v/>
      </c>
      <c r="L35" s="90" t="str">
        <f>IF(_epmOfflineCondition_,"440200",_xll.EVPRO($B$1,H35,"JDEID"))</f>
        <v>440200</v>
      </c>
      <c r="M35" s="90" t="str">
        <f>IF(_epmOfflineCondition_,"206037",IF(AND(I35="N",J35="N"),_xll.EVPRO($B$1,H35,"PSFTID"),""))</f>
        <v>206037</v>
      </c>
      <c r="N35" s="90" t="str">
        <f>IF(_epmOfflineCondition_,"Apparel",IF(_xll.EVDES(H35,$B$1)="#NODATA","",_xll.EVDES(H35,$B$1)))</f>
        <v>Apparel</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389</v>
      </c>
      <c r="I36" s="122" t="str">
        <f>IF(_epmOfflineCondition_,"N",_xll.EVPRO($B$1,$H36,"STYLE"))</f>
        <v>N</v>
      </c>
      <c r="J36" s="122" t="str">
        <f>IF(_epmOfflineCondition_,"N",_xll.EVPRO($B$1,$H36,"CALC"))</f>
        <v>N</v>
      </c>
      <c r="K36" s="179" t="str">
        <f t="shared" si="0"/>
        <v/>
      </c>
      <c r="L36" s="90" t="str">
        <f>IF(_epmOfflineCondition_,"440300",_xll.EVPRO($B$1,H36,"JDEID"))</f>
        <v>440300</v>
      </c>
      <c r="M36" s="90" t="str">
        <f>IF(_epmOfflineCondition_,"206038",IF(AND(I36="N",J36="N"),_xll.EVPRO($B$1,H36,"PSFTID"),""))</f>
        <v>206038</v>
      </c>
      <c r="N36" s="90" t="str">
        <f>IF(_epmOfflineCondition_,"Sundries",IF(_xll.EVDES(H36,$B$1)="#NODATA","",_xll.EVDES(H36,$B$1)))</f>
        <v>Sundries</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105</v>
      </c>
      <c r="B37" s="11"/>
      <c r="C37" s="104" t="s">
        <v>101</v>
      </c>
      <c r="D37" s="11" t="s">
        <v>106</v>
      </c>
      <c r="E37" s="11"/>
      <c r="F37" s="11" t="s">
        <v>98</v>
      </c>
      <c r="G37" s="11"/>
      <c r="H37" s="88" t="s">
        <v>390</v>
      </c>
      <c r="I37" s="122" t="str">
        <f>IF(_epmOfflineCondition_,"N",_xll.EVPRO($B$1,$H37,"STYLE"))</f>
        <v>N</v>
      </c>
      <c r="J37" s="122" t="str">
        <f>IF(_epmOfflineCondition_,"N",_xll.EVPRO($B$1,$H37,"CALC"))</f>
        <v>N</v>
      </c>
      <c r="K37" s="179" t="str">
        <f t="shared" si="0"/>
        <v/>
      </c>
      <c r="L37" s="90" t="str">
        <f>IF(_epmOfflineCondition_,"440400",_xll.EVPRO($B$1,H37,"JDEID"))</f>
        <v>440400</v>
      </c>
      <c r="M37" s="90" t="str">
        <f>IF(_epmOfflineCondition_,"206039",IF(AND(I37="N",J37="N"),_xll.EVPRO($B$1,H37,"PSFTID"),""))</f>
        <v>206039</v>
      </c>
      <c r="N37" s="90" t="str">
        <f>IF(_epmOfflineCondition_,"Souvenir &amp; Gifts",IF(_xll.EVDES(H37,$B$1)="#NODATA","",_xll.EVDES(H37,$B$1)))</f>
        <v>Souvenir &amp; Gifts</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11" t="s">
        <v>108</v>
      </c>
      <c r="B38" s="11"/>
      <c r="C38" s="106" t="s">
        <v>101</v>
      </c>
      <c r="D38" s="11" t="s">
        <v>106</v>
      </c>
      <c r="E38" s="11"/>
      <c r="F38" s="11" t="s">
        <v>98</v>
      </c>
      <c r="G38" s="11"/>
      <c r="H38" s="88" t="s">
        <v>391</v>
      </c>
      <c r="I38" s="122" t="str">
        <f>IF(_epmOfflineCondition_,"N",_xll.EVPRO($B$1,$H38,"STYLE"))</f>
        <v>N</v>
      </c>
      <c r="J38" s="122" t="str">
        <f>IF(_epmOfflineCondition_,"N",_xll.EVPRO($B$1,$H38,"CALC"))</f>
        <v>N</v>
      </c>
      <c r="K38" s="179" t="str">
        <f t="shared" si="0"/>
        <v/>
      </c>
      <c r="L38" s="90" t="str">
        <f>IF(_epmOfflineCondition_,"440500",_xll.EVPRO($B$1,H38,"JDEID"))</f>
        <v>440500</v>
      </c>
      <c r="M38" s="90" t="str">
        <f>IF(_epmOfflineCondition_,"206041",IF(AND(I38="N",J38="N"),_xll.EVPRO($B$1,H38,"PSFTID"),""))</f>
        <v>206041</v>
      </c>
      <c r="N38" s="90" t="str">
        <f>IF(_epmOfflineCondition_,"Stationary &amp; Books",IF(_xll.EVDES(H38,$B$1)="#NODATA","",_xll.EVDES(H38,$B$1)))</f>
        <v>Stationary &amp; Books</v>
      </c>
      <c r="O38" s="143"/>
      <c r="P38" s="143"/>
      <c r="Q38" s="143"/>
      <c r="R38" s="143"/>
      <c r="S38" s="143"/>
      <c r="T38" s="143"/>
      <c r="U38" s="143"/>
      <c r="V38" s="143"/>
      <c r="W38" s="143"/>
      <c r="X38" s="143"/>
      <c r="Y38" s="143"/>
      <c r="Z38" s="143"/>
      <c r="AA38" s="250">
        <f t="shared" si="1"/>
        <v>0</v>
      </c>
      <c r="AB38" s="144" t="str">
        <f t="shared" si="2"/>
        <v/>
      </c>
      <c r="AC38" s="140"/>
      <c r="AD38" s="143"/>
      <c r="AE38" s="144" t="str">
        <f t="shared" si="3"/>
        <v/>
      </c>
      <c r="AF38" s="145">
        <f t="shared" si="4"/>
        <v>0</v>
      </c>
      <c r="AG38" s="143"/>
      <c r="AH38" s="144" t="str">
        <f t="shared" si="5"/>
        <v/>
      </c>
      <c r="AI38" s="145">
        <f t="shared" si="6"/>
        <v>0</v>
      </c>
      <c r="AJ38" s="440">
        <f t="shared" si="7"/>
        <v>0</v>
      </c>
      <c r="AK38" s="441">
        <f t="shared" si="8"/>
        <v>0</v>
      </c>
      <c r="AL38" s="442">
        <f t="shared" si="9"/>
        <v>0</v>
      </c>
      <c r="AM38" s="443">
        <f t="shared" si="10"/>
        <v>0</v>
      </c>
      <c r="AN38" s="444">
        <f t="shared" si="11"/>
        <v>0</v>
      </c>
      <c r="AO38" s="11"/>
    </row>
    <row r="39" spans="1:41" x14ac:dyDescent="0.35">
      <c r="A39" s="11" t="s">
        <v>108</v>
      </c>
      <c r="B39" s="11"/>
      <c r="C39" s="196" t="s">
        <v>101</v>
      </c>
      <c r="D39" s="11" t="s">
        <v>107</v>
      </c>
      <c r="E39" s="11"/>
      <c r="F39" s="11" t="s">
        <v>99</v>
      </c>
      <c r="G39" s="11"/>
      <c r="H39" s="88" t="s">
        <v>392</v>
      </c>
      <c r="I39" s="122" t="str">
        <f>IF(_epmOfflineCondition_,"N",_xll.EVPRO($B$1,$H39,"STYLE"))</f>
        <v>N</v>
      </c>
      <c r="J39" s="122" t="str">
        <f>IF(_epmOfflineCondition_,"N",_xll.EVPRO($B$1,$H39,"CALC"))</f>
        <v>N</v>
      </c>
      <c r="K39" s="179" t="str">
        <f t="shared" si="0"/>
        <v/>
      </c>
      <c r="L39" s="90" t="str">
        <f>IF(_epmOfflineCondition_,"440600",_xll.EVPRO($B$1,H39,"JDEID"))</f>
        <v>440600</v>
      </c>
      <c r="M39" s="90" t="str">
        <f>IF(_epmOfflineCondition_,"206042",IF(AND(I39="N",J39="N"),_xll.EVPRO($B$1,H39,"PSFTID"),""))</f>
        <v>206042</v>
      </c>
      <c r="N39" s="90" t="str">
        <f>IF(_epmOfflineCondition_,"Newspaper &amp; Magazines",IF(_xll.EVDES(H39,$B$1)="#NODATA","",_xll.EVDES(H39,$B$1)))</f>
        <v>Newspaper &amp; Magazines</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c r="B40" s="11"/>
      <c r="C40" s="11"/>
      <c r="D40" s="11"/>
      <c r="E40" s="11"/>
      <c r="F40" s="11"/>
      <c r="G40" s="11"/>
      <c r="H40" s="88" t="s">
        <v>393</v>
      </c>
      <c r="I40" s="122" t="str">
        <f>IF(_epmOfflineCondition_,"N",_xll.EVPRO($B$1,$H40,"STYLE"))</f>
        <v>N</v>
      </c>
      <c r="J40" s="122" t="str">
        <f>IF(_epmOfflineCondition_,"N",_xll.EVPRO($B$1,$H40,"CALC"))</f>
        <v>N</v>
      </c>
      <c r="K40" s="179" t="str">
        <f t="shared" si="0"/>
        <v/>
      </c>
      <c r="L40" s="90" t="str">
        <f>IF(_epmOfflineCondition_,"440700",_xll.EVPRO($B$1,H40,"JDEID"))</f>
        <v>440700</v>
      </c>
      <c r="M40" s="90" t="str">
        <f>IF(_epmOfflineCondition_,"206043",IF(AND(I40="N",J40="N"),_xll.EVPRO($B$1,H40,"PSFTID"),""))</f>
        <v>206043</v>
      </c>
      <c r="N40" s="90" t="str">
        <f>IF(_epmOfflineCondition_,"Youth Revenue",IF(_xll.EVDES(H40,$B$1)="#NODATA","",_xll.EVDES(H40,$B$1)))</f>
        <v>Youth Revenue</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11"/>
      <c r="B41" s="11"/>
      <c r="C41" s="11"/>
      <c r="D41" s="11"/>
      <c r="E41" s="11"/>
      <c r="F41" s="11"/>
      <c r="G41" s="11"/>
      <c r="H41" s="88" t="s">
        <v>394</v>
      </c>
      <c r="I41" s="122" t="str">
        <f>IF(_epmOfflineCondition_,"N",_xll.EVPRO($B$1,$H41,"STYLE"))</f>
        <v>N</v>
      </c>
      <c r="J41" s="122" t="str">
        <f>IF(_epmOfflineCondition_,"N",_xll.EVPRO($B$1,$H41,"CALC"))</f>
        <v>N</v>
      </c>
      <c r="K41" s="179" t="str">
        <f t="shared" si="0"/>
        <v/>
      </c>
      <c r="L41" s="90" t="str">
        <f>IF(_epmOfflineCondition_,"440800",_xll.EVPRO($B$1,H41,"JDEID"))</f>
        <v>440800</v>
      </c>
      <c r="M41" s="90" t="str">
        <f>IF(_epmOfflineCondition_,"206044",IF(AND(I41="N",J41="N"),_xll.EVPRO($B$1,H41,"PSFTID"),""))</f>
        <v>206044</v>
      </c>
      <c r="N41" s="90" t="str">
        <f>IF(_epmOfflineCondition_,"Food/Candy",IF(_xll.EVDES(H41,$B$1)="#NODATA","",_xll.EVDES(H41,$B$1)))</f>
        <v>Food/Candy</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61" t="str">
        <f>IF(_epmOfflineCondition_,"Evdre:Ok",_xll.EVDRE($B$1,A45:B52,A55:B61))</f>
        <v>Evdre:Ok</v>
      </c>
      <c r="B42" s="11"/>
      <c r="C42" s="11"/>
      <c r="D42" s="11"/>
      <c r="E42" s="11"/>
      <c r="F42" s="11"/>
      <c r="G42" s="11"/>
      <c r="H42" s="88" t="s">
        <v>395</v>
      </c>
      <c r="I42" s="122" t="str">
        <f>IF(_epmOfflineCondition_,"N",_xll.EVPRO($B$1,$H42,"STYLE"))</f>
        <v>N</v>
      </c>
      <c r="J42" s="122" t="str">
        <f>IF(_epmOfflineCondition_,"N",_xll.EVPRO($B$1,$H42,"CALC"))</f>
        <v>N</v>
      </c>
      <c r="K42" s="179" t="str">
        <f t="shared" si="0"/>
        <v/>
      </c>
      <c r="L42" s="90" t="str">
        <f>IF(_epmOfflineCondition_,"440900",_xll.EVPRO($B$1,H42,"JDEID"))</f>
        <v>440900</v>
      </c>
      <c r="M42" s="90" t="str">
        <f>IF(_epmOfflineCondition_,"206021",IF(AND(I42="N",J42="N"),_xll.EVPRO($B$1,H42,"PSFTID"),""))</f>
        <v>206021</v>
      </c>
      <c r="N42" s="90" t="str">
        <f>IF(_epmOfflineCondition_,"Tobacco",IF(_xll.EVDES(H42,$B$1)="#NODATA","",_xll.EVDES(H42,$B$1)))</f>
        <v>Tobacco</v>
      </c>
      <c r="O42" s="143"/>
      <c r="P42" s="143"/>
      <c r="Q42" s="143"/>
      <c r="R42" s="143"/>
      <c r="S42" s="143"/>
      <c r="T42" s="143"/>
      <c r="U42" s="143"/>
      <c r="V42" s="143"/>
      <c r="W42" s="143"/>
      <c r="X42" s="143"/>
      <c r="Y42" s="143"/>
      <c r="Z42" s="143"/>
      <c r="AA42" s="250">
        <f t="shared" si="1"/>
        <v>0</v>
      </c>
      <c r="AB42" s="144" t="str">
        <f t="shared" si="2"/>
        <v/>
      </c>
      <c r="AC42" s="140"/>
      <c r="AD42" s="143"/>
      <c r="AE42" s="144" t="str">
        <f t="shared" si="3"/>
        <v/>
      </c>
      <c r="AF42" s="145">
        <f t="shared" si="4"/>
        <v>0</v>
      </c>
      <c r="AG42" s="143"/>
      <c r="AH42" s="144" t="str">
        <f t="shared" si="5"/>
        <v/>
      </c>
      <c r="AI42" s="145">
        <f t="shared" si="6"/>
        <v>0</v>
      </c>
      <c r="AJ42" s="440">
        <f t="shared" si="7"/>
        <v>0</v>
      </c>
      <c r="AK42" s="441">
        <f t="shared" si="8"/>
        <v>0</v>
      </c>
      <c r="AL42" s="442">
        <f t="shared" si="9"/>
        <v>0</v>
      </c>
      <c r="AM42" s="443">
        <f t="shared" si="10"/>
        <v>0</v>
      </c>
      <c r="AN42" s="444">
        <f t="shared" si="11"/>
        <v>0</v>
      </c>
      <c r="AO42" s="11"/>
    </row>
    <row r="43" spans="1:41" x14ac:dyDescent="0.35">
      <c r="A43" s="11"/>
      <c r="B43" s="11"/>
      <c r="C43" s="11"/>
      <c r="D43" s="11"/>
      <c r="E43" s="11"/>
      <c r="F43" s="11"/>
      <c r="G43" s="11"/>
      <c r="H43" s="88" t="s">
        <v>396</v>
      </c>
      <c r="I43" s="122" t="str">
        <f>IF(_epmOfflineCondition_,"N",_xll.EVPRO($B$1,$H43,"STYLE"))</f>
        <v>N</v>
      </c>
      <c r="J43" s="122" t="str">
        <f>IF(_epmOfflineCondition_,"N",_xll.EVPRO($B$1,$H43,"CALC"))</f>
        <v>N</v>
      </c>
      <c r="K43" s="179" t="str">
        <f t="shared" si="0"/>
        <v/>
      </c>
      <c r="L43" s="90" t="str">
        <f>IF(_epmOfflineCondition_,"440990",_xll.EVPRO($B$1,H43,"JDEID"))</f>
        <v>440990</v>
      </c>
      <c r="M43" s="90" t="str">
        <f>IF(_epmOfflineCondition_,"NA",IF(AND(I43="N",J43="N"),_xll.EVPRO($B$1,H43,"PSFTID"),""))</f>
        <v>NA</v>
      </c>
      <c r="N43" s="90" t="str">
        <f>IF(_epmOfflineCondition_,"Gift Shop: Allowances",IF(_xll.EVDES(H43,$B$1)="#NODATA","",_xll.EVDES(H43,$B$1)))</f>
        <v>Gift Shop: Allowances</v>
      </c>
      <c r="O43" s="217"/>
      <c r="P43" s="217"/>
      <c r="Q43" s="217"/>
      <c r="R43" s="217"/>
      <c r="S43" s="217"/>
      <c r="T43" s="217"/>
      <c r="U43" s="217"/>
      <c r="V43" s="217"/>
      <c r="W43" s="217"/>
      <c r="X43" s="217"/>
      <c r="Y43" s="217"/>
      <c r="Z43" s="217"/>
      <c r="AA43" s="251">
        <f t="shared" si="1"/>
        <v>0</v>
      </c>
      <c r="AB43" s="219" t="str">
        <f t="shared" si="2"/>
        <v/>
      </c>
      <c r="AC43" s="140"/>
      <c r="AD43" s="217"/>
      <c r="AE43" s="219" t="str">
        <f t="shared" si="3"/>
        <v/>
      </c>
      <c r="AF43" s="220">
        <f t="shared" si="4"/>
        <v>0</v>
      </c>
      <c r="AG43" s="217"/>
      <c r="AH43" s="219" t="str">
        <f t="shared" si="5"/>
        <v/>
      </c>
      <c r="AI43" s="220">
        <f t="shared" si="6"/>
        <v>0</v>
      </c>
      <c r="AJ43" s="449">
        <f t="shared" si="7"/>
        <v>0</v>
      </c>
      <c r="AK43" s="450">
        <f t="shared" si="8"/>
        <v>0</v>
      </c>
      <c r="AL43" s="451">
        <f t="shared" si="9"/>
        <v>0</v>
      </c>
      <c r="AM43" s="452">
        <f t="shared" si="10"/>
        <v>0</v>
      </c>
      <c r="AN43" s="453">
        <f t="shared" si="11"/>
        <v>0</v>
      </c>
      <c r="AO43" s="11"/>
    </row>
    <row r="44" spans="1:41" x14ac:dyDescent="0.35">
      <c r="A44" s="62" t="s">
        <v>0</v>
      </c>
      <c r="B44" s="63" t="s">
        <v>1</v>
      </c>
      <c r="C44" s="11"/>
      <c r="D44" s="11"/>
      <c r="E44" s="11"/>
      <c r="F44" s="11"/>
      <c r="G44" s="11"/>
      <c r="H44" s="88" t="s">
        <v>280</v>
      </c>
      <c r="I44" s="188" t="str">
        <f>IF(_epmOfflineCondition_,"T3",_xll.EVPRO($B$1,$H44,"STYLE"))</f>
        <v>T3</v>
      </c>
      <c r="J44" s="188" t="str">
        <f>IF(_epmOfflineCondition_,"Y",_xll.EVPRO($B$1,$H44,"CALC"))</f>
        <v>Y</v>
      </c>
      <c r="K44" s="189" t="str">
        <f t="shared" si="0"/>
        <v/>
      </c>
      <c r="L44" s="190" t="str">
        <f>IF(_epmOfflineCondition_,"400000",_xll.EVPRO($B$1,H44,"JDEID"))</f>
        <v>400000</v>
      </c>
      <c r="M44" s="190" t="str">
        <f>IF(_epmOfflineCondition_,"",IF(AND(I44="N",J44="N"),_xll.EVPRO($B$1,H44,"PSFTID"),""))</f>
        <v/>
      </c>
      <c r="N44" s="190" t="str">
        <f>IF(_epmOfflineCondition_,"Total Revenue",IF(_xll.EVDES(H44,$B$1)="#NODATA","",_xll.EVDES(H44,$B$1)))</f>
        <v>Total Revenue</v>
      </c>
      <c r="O44" s="225"/>
      <c r="P44" s="225"/>
      <c r="Q44" s="225"/>
      <c r="R44" s="225"/>
      <c r="S44" s="225"/>
      <c r="T44" s="225"/>
      <c r="U44" s="225"/>
      <c r="V44" s="225"/>
      <c r="W44" s="225"/>
      <c r="X44" s="225"/>
      <c r="Y44" s="225"/>
      <c r="Z44" s="225"/>
      <c r="AA44" s="225">
        <f t="shared" si="1"/>
        <v>0</v>
      </c>
      <c r="AB44" s="226" t="str">
        <f t="shared" si="2"/>
        <v/>
      </c>
      <c r="AC44" s="227"/>
      <c r="AD44" s="225"/>
      <c r="AE44" s="226" t="str">
        <f t="shared" si="3"/>
        <v/>
      </c>
      <c r="AF44" s="228">
        <f t="shared" si="4"/>
        <v>0</v>
      </c>
      <c r="AG44" s="225"/>
      <c r="AH44" s="226" t="str">
        <f t="shared" si="5"/>
        <v/>
      </c>
      <c r="AI44" s="228">
        <f t="shared" si="6"/>
        <v>0</v>
      </c>
      <c r="AJ44" s="229">
        <f t="shared" si="7"/>
        <v>0</v>
      </c>
      <c r="AK44" s="230">
        <f t="shared" si="8"/>
        <v>0</v>
      </c>
      <c r="AL44" s="232">
        <f t="shared" si="9"/>
        <v>0</v>
      </c>
      <c r="AM44" s="427">
        <f t="shared" si="10"/>
        <v>0</v>
      </c>
      <c r="AN44" s="456">
        <f t="shared" si="11"/>
        <v>0</v>
      </c>
      <c r="AO44" s="11"/>
    </row>
    <row r="45" spans="1:41" x14ac:dyDescent="0.35">
      <c r="A45" s="65" t="s">
        <v>2</v>
      </c>
      <c r="B45" s="66" t="str">
        <f>IF(_epmOfflineCondition_,"'Retail'!$B$2:$B$10",_xll.EVRNG($B$2:$B$10))</f>
        <v>'Retail'!$B$2:$B$10</v>
      </c>
      <c r="C45" s="11"/>
      <c r="D45" s="11"/>
      <c r="E45" s="11"/>
      <c r="F45" s="11"/>
      <c r="G45" s="11"/>
      <c r="H45" s="11"/>
      <c r="I45" s="59"/>
      <c r="J45" s="59"/>
      <c r="K45" s="11"/>
      <c r="L45" s="11"/>
      <c r="M45" s="11"/>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65" t="s">
        <v>3</v>
      </c>
      <c r="B46" s="66" t="str">
        <f>IF(_epmOfflineCondition_,"'Retail'!$O$16:$AN$18",_xll.EVRNG($O$16:$AN$18))</f>
        <v>'Retail'!$O$16:$AN$18</v>
      </c>
      <c r="C46" s="11"/>
      <c r="D46" s="11"/>
      <c r="E46" s="11"/>
      <c r="F46" s="11"/>
      <c r="G46" s="11"/>
      <c r="H46" s="11" t="s">
        <v>281</v>
      </c>
      <c r="I46" s="59" t="str">
        <f>IF(_epmOfflineCondition_,"B1",_xll.EVPRO($B$1,$H46,"STYLE"))</f>
        <v>B1</v>
      </c>
      <c r="J46" s="59" t="str">
        <f>IF(_epmOfflineCondition_,"Y",_xll.EVPRO($B$1,$H46,"CALC"))</f>
        <v>Y</v>
      </c>
      <c r="K46" s="11"/>
      <c r="L46" s="11"/>
      <c r="M46" s="11"/>
      <c r="N46" s="105" t="str">
        <f>IF(_epmOfflineCondition_,"Cost of Sales",IF(_xll.EVDES(H46,$B$1)="#NODATA","",_xll.EVDES(H46,$B$1)))</f>
        <v>Cost of Sales</v>
      </c>
      <c r="O46" s="203"/>
      <c r="P46" s="204"/>
      <c r="Q46" s="204"/>
      <c r="R46" s="204"/>
      <c r="S46" s="204"/>
      <c r="T46" s="204"/>
      <c r="U46" s="204"/>
      <c r="V46" s="204"/>
      <c r="W46" s="204"/>
      <c r="X46" s="204"/>
      <c r="Y46" s="204"/>
      <c r="Z46" s="204"/>
      <c r="AA46" s="204"/>
      <c r="AB46" s="118"/>
      <c r="AC46" s="11"/>
      <c r="AD46" s="203"/>
      <c r="AE46" s="204"/>
      <c r="AF46" s="118"/>
      <c r="AG46" s="203"/>
      <c r="AH46" s="204"/>
      <c r="AI46" s="118"/>
      <c r="AJ46" s="11"/>
      <c r="AK46" s="11"/>
      <c r="AL46" s="11"/>
      <c r="AM46" s="11"/>
      <c r="AN46" s="11"/>
      <c r="AO46" s="11"/>
    </row>
    <row r="47" spans="1:41" x14ac:dyDescent="0.35">
      <c r="A47" s="65" t="s">
        <v>4</v>
      </c>
      <c r="B47" s="66" t="str">
        <f>IF(_epmOfflineCondition_,"'Retail'!$H$47:$H$56",_xll.EVRNG(H47:H56))</f>
        <v>'Retail'!$H$47:$H$56</v>
      </c>
      <c r="C47" s="11"/>
      <c r="D47" s="11"/>
      <c r="E47" s="11"/>
      <c r="F47" s="11"/>
      <c r="G47" s="11"/>
      <c r="H47" s="88" t="s">
        <v>397</v>
      </c>
      <c r="I47" s="122" t="str">
        <f>IF(_epmOfflineCondition_,"N",_xll.EVPRO($B$1,$H47,"STYLE"))</f>
        <v>N</v>
      </c>
      <c r="J47" s="122" t="str">
        <f>IF(_epmOfflineCondition_,"N",_xll.EVPRO($B$1,$H47,"CALC"))</f>
        <v>N</v>
      </c>
      <c r="K47" s="179" t="str">
        <f t="shared" ref="K47:K58" si="12">IF(AND(I47&gt;="T5"),"&gt;","")</f>
        <v/>
      </c>
      <c r="L47" s="90" t="str">
        <f>IF(_epmOfflineCondition_,"540100",_xll.EVPRO($B$1,H47,"JDEID"))</f>
        <v>540100</v>
      </c>
      <c r="M47" s="90" t="str">
        <f>IF(_epmOfflineCondition_,"306036",IF(AND(I47="N",J47="N"),_xll.EVPRO($B$1,H47,"PSFTID"),""))</f>
        <v>306036</v>
      </c>
      <c r="N47" s="90" t="str">
        <f>IF(_epmOfflineCondition_,"Accessories COS",IF(_xll.EVDES(H47,$B$1)="#NODATA","",_xll.EVDES(H47,$B$1)))</f>
        <v>Accessories COS</v>
      </c>
      <c r="O47" s="217"/>
      <c r="P47" s="217"/>
      <c r="Q47" s="217"/>
      <c r="R47" s="217"/>
      <c r="S47" s="217"/>
      <c r="T47" s="217"/>
      <c r="U47" s="217"/>
      <c r="V47" s="217"/>
      <c r="W47" s="217"/>
      <c r="X47" s="217"/>
      <c r="Y47" s="217"/>
      <c r="Z47" s="217"/>
      <c r="AA47" s="217">
        <f t="shared" ref="AA47:AA56" si="13">IF($I47="B1","",SUM(O47:Z47))</f>
        <v>0</v>
      </c>
      <c r="AB47" s="219" t="str">
        <f>IF(_epmOfflineCondition_,"",IF(AA47=0,"",IFERROR(AA47/_xll.EVGTS($B$1,1,_xll.EVPRO($B$1,$H47,"COSBASIS"),$B$3,$B$5,$B$6,$B$7,$B$9,AA$16,AA$17,AA$11),"")))</f>
        <v/>
      </c>
      <c r="AC47" s="140"/>
      <c r="AD47" s="217"/>
      <c r="AE47" s="219" t="str">
        <f>IF(_epmOfflineCondition_,"",IF(AD47=0,"",IFERROR(AD47/_xll.EVGTS($B$1,1,_xll.EVPRO($B$1,$H47,"COSBASIS"),$B$3,$B$5,$B$6,$B$7,$B$9,AD$16,AD$17,AD$18),"")))</f>
        <v/>
      </c>
      <c r="AF47" s="220">
        <f t="shared" ref="AF47:AF58" si="14">IF(AND($AA47="",AD47=""),"",$AA47-AD47)</f>
        <v>0</v>
      </c>
      <c r="AG47" s="217"/>
      <c r="AH47" s="219" t="str">
        <f>IF(_epmOfflineCondition_,"",IF(AG47=0,"",IFERROR(AG47/_xll.EVGTS($B$1,1,_xll.EVPRO($B$1,$H47,"COSBASIS"),$B$3,$B$5,$B$6,$B$7,$B$9,AG$16,AG$17,AG$18),"")))</f>
        <v/>
      </c>
      <c r="AI47" s="220">
        <f t="shared" ref="AI47:AI58" si="15">IF(AND($AA47="",AG47=""),"",$AA47-AG47)</f>
        <v>0</v>
      </c>
      <c r="AJ47" s="440">
        <f t="shared" ref="AJ47:AJ56" si="16">IFERROR(AA47/AA$20,0)</f>
        <v>0</v>
      </c>
      <c r="AK47" s="441">
        <f t="shared" ref="AK47:AK56" si="17">IFERROR(AD47/AD$20,0)</f>
        <v>0</v>
      </c>
      <c r="AL47" s="442">
        <f t="shared" ref="AL47:AL56" si="18">IFERROR(AG47/AG$20,0)</f>
        <v>0</v>
      </c>
      <c r="AM47" s="443">
        <f t="shared" ref="AM47:AM56" si="19">+IFERROR(ROUND(($AB47-AE47)*100,2)&amp;" pts.",0)</f>
        <v>0</v>
      </c>
      <c r="AN47" s="444">
        <f t="shared" ref="AN47:AN56" si="20">+IFERROR(ROUND(($AB47-AH47)*100,2)&amp;" pts.",0)</f>
        <v>0</v>
      </c>
      <c r="AO47" s="11"/>
    </row>
    <row r="48" spans="1:41" x14ac:dyDescent="0.35">
      <c r="A48" s="65" t="s">
        <v>5</v>
      </c>
      <c r="B48" s="66"/>
      <c r="C48" s="11"/>
      <c r="D48" s="11"/>
      <c r="E48" s="11"/>
      <c r="F48" s="384"/>
      <c r="G48" s="11"/>
      <c r="H48" s="88" t="s">
        <v>398</v>
      </c>
      <c r="I48" s="122" t="str">
        <f>IF(_epmOfflineCondition_,"N",_xll.EVPRO($B$1,$H48,"STYLE"))</f>
        <v>N</v>
      </c>
      <c r="J48" s="122" t="str">
        <f>IF(_epmOfflineCondition_,"N",_xll.EVPRO($B$1,$H48,"CALC"))</f>
        <v>N</v>
      </c>
      <c r="K48" s="179" t="str">
        <f t="shared" si="12"/>
        <v/>
      </c>
      <c r="L48" s="90" t="str">
        <f>IF(_epmOfflineCondition_,"540200",_xll.EVPRO($B$1,H48,"JDEID"))</f>
        <v>540200</v>
      </c>
      <c r="M48" s="90" t="str">
        <f>IF(_epmOfflineCondition_,"306037",IF(AND(I48="N",J48="N"),_xll.EVPRO($B$1,H48,"PSFTID"),""))</f>
        <v>306037</v>
      </c>
      <c r="N48" s="90" t="str">
        <f>IF(_epmOfflineCondition_,"Apparel COS",IF(_xll.EVDES(H48,$B$1)="#NODATA","",_xll.EVDES(H48,$B$1)))</f>
        <v>Apparel COS</v>
      </c>
      <c r="O48" s="217"/>
      <c r="P48" s="217"/>
      <c r="Q48" s="217"/>
      <c r="R48" s="217"/>
      <c r="S48" s="217"/>
      <c r="T48" s="217"/>
      <c r="U48" s="217"/>
      <c r="V48" s="217"/>
      <c r="W48" s="217"/>
      <c r="X48" s="217"/>
      <c r="Y48" s="217"/>
      <c r="Z48" s="217"/>
      <c r="AA48" s="217">
        <f t="shared" si="13"/>
        <v>0</v>
      </c>
      <c r="AB48" s="219" t="str">
        <f>IF(_epmOfflineCondition_,"",IF(AA48=0,"",IFERROR(AA48/_xll.EVGTS($B$1,1,_xll.EVPRO($B$1,$H48,"COSBASIS"),$B$3,$B$5,$B$6,$B$7,$B$9,AA$16,AA$17,AA$11),"")))</f>
        <v/>
      </c>
      <c r="AC48" s="140"/>
      <c r="AD48" s="217"/>
      <c r="AE48" s="219" t="str">
        <f>IF(_epmOfflineCondition_,"",IF(AD48=0,"",IFERROR(AD48/_xll.EVGTS($B$1,1,_xll.EVPRO($B$1,$H48,"COSBASIS"),$B$3,$B$5,$B$6,$B$7,$B$9,AD$16,AD$17,AD$18),"")))</f>
        <v/>
      </c>
      <c r="AF48" s="220">
        <f t="shared" si="14"/>
        <v>0</v>
      </c>
      <c r="AG48" s="217"/>
      <c r="AH48" s="219" t="str">
        <f>IF(_epmOfflineCondition_,"",IF(AG48=0,"",IFERROR(AG48/_xll.EVGTS($B$1,1,_xll.EVPRO($B$1,$H48,"COSBASIS"),$B$3,$B$5,$B$6,$B$7,$B$9,AG$16,AG$17,AG$18),"")))</f>
        <v/>
      </c>
      <c r="AI48" s="220">
        <f t="shared" si="15"/>
        <v>0</v>
      </c>
      <c r="AJ48" s="440">
        <f t="shared" si="16"/>
        <v>0</v>
      </c>
      <c r="AK48" s="441">
        <f t="shared" si="17"/>
        <v>0</v>
      </c>
      <c r="AL48" s="442">
        <f t="shared" si="18"/>
        <v>0</v>
      </c>
      <c r="AM48" s="443">
        <f t="shared" si="19"/>
        <v>0</v>
      </c>
      <c r="AN48" s="444">
        <f t="shared" si="20"/>
        <v>0</v>
      </c>
      <c r="AO48" s="11"/>
    </row>
    <row r="49" spans="1:41" x14ac:dyDescent="0.35">
      <c r="A49" s="65" t="s">
        <v>6</v>
      </c>
      <c r="B49" s="66"/>
      <c r="C49" s="11"/>
      <c r="D49" s="11"/>
      <c r="E49" s="11"/>
      <c r="F49" s="384"/>
      <c r="G49" s="11"/>
      <c r="H49" s="88" t="s">
        <v>399</v>
      </c>
      <c r="I49" s="122" t="str">
        <f>IF(_epmOfflineCondition_,"N",_xll.EVPRO($B$1,$H49,"STYLE"))</f>
        <v>N</v>
      </c>
      <c r="J49" s="122" t="str">
        <f>IF(_epmOfflineCondition_,"N",_xll.EVPRO($B$1,$H49,"CALC"))</f>
        <v>N</v>
      </c>
      <c r="K49" s="179" t="str">
        <f t="shared" si="12"/>
        <v/>
      </c>
      <c r="L49" s="90" t="str">
        <f>IF(_epmOfflineCondition_,"540300",_xll.EVPRO($B$1,H49,"JDEID"))</f>
        <v>540300</v>
      </c>
      <c r="M49" s="90" t="str">
        <f>IF(_epmOfflineCondition_,"306038",IF(AND(I49="N",J49="N"),_xll.EVPRO($B$1,H49,"PSFTID"),""))</f>
        <v>306038</v>
      </c>
      <c r="N49" s="90" t="str">
        <f>IF(_epmOfflineCondition_,"Sundries COS",IF(_xll.EVDES(H49,$B$1)="#NODATA","",_xll.EVDES(H49,$B$1)))</f>
        <v>Sundries COS</v>
      </c>
      <c r="O49" s="217"/>
      <c r="P49" s="217"/>
      <c r="Q49" s="217"/>
      <c r="R49" s="217"/>
      <c r="S49" s="217"/>
      <c r="T49" s="217"/>
      <c r="U49" s="217"/>
      <c r="V49" s="217"/>
      <c r="W49" s="217"/>
      <c r="X49" s="217"/>
      <c r="Y49" s="217"/>
      <c r="Z49" s="217"/>
      <c r="AA49" s="217">
        <f t="shared" si="13"/>
        <v>0</v>
      </c>
      <c r="AB49" s="219" t="str">
        <f>IF(_epmOfflineCondition_,"",IF(AA49=0,"",IFERROR(AA49/_xll.EVGTS($B$1,1,_xll.EVPRO($B$1,$H49,"COSBASIS"),$B$3,$B$5,$B$6,$B$7,$B$9,AA$16,AA$17,AA$11),"")))</f>
        <v/>
      </c>
      <c r="AC49" s="140"/>
      <c r="AD49" s="217"/>
      <c r="AE49" s="219" t="str">
        <f>IF(_epmOfflineCondition_,"",IF(AD49=0,"",IFERROR(AD49/_xll.EVGTS($B$1,1,_xll.EVPRO($B$1,$H49,"COSBASIS"),$B$3,$B$5,$B$6,$B$7,$B$9,AD$16,AD$17,AD$18),"")))</f>
        <v/>
      </c>
      <c r="AF49" s="220">
        <f t="shared" si="14"/>
        <v>0</v>
      </c>
      <c r="AG49" s="217"/>
      <c r="AH49" s="219" t="str">
        <f>IF(_epmOfflineCondition_,"",IF(AG49=0,"",IFERROR(AG49/_xll.EVGTS($B$1,1,_xll.EVPRO($B$1,$H49,"COSBASIS"),$B$3,$B$5,$B$6,$B$7,$B$9,AG$16,AG$17,AG$18),"")))</f>
        <v/>
      </c>
      <c r="AI49" s="220">
        <f t="shared" si="15"/>
        <v>0</v>
      </c>
      <c r="AJ49" s="440">
        <f t="shared" si="16"/>
        <v>0</v>
      </c>
      <c r="AK49" s="441">
        <f t="shared" si="17"/>
        <v>0</v>
      </c>
      <c r="AL49" s="442">
        <f t="shared" si="18"/>
        <v>0</v>
      </c>
      <c r="AM49" s="443">
        <f t="shared" si="19"/>
        <v>0</v>
      </c>
      <c r="AN49" s="444">
        <f t="shared" si="20"/>
        <v>0</v>
      </c>
      <c r="AO49" s="11"/>
    </row>
    <row r="50" spans="1:41" x14ac:dyDescent="0.35">
      <c r="A50" s="65" t="s">
        <v>7</v>
      </c>
      <c r="B50" s="66" t="str">
        <f>IF(_epmOfflineCondition_,"'Retail'!$A$64:$F$67",_xll.EVRNG(A64:F67))</f>
        <v>'Retail'!$A$64:$F$67</v>
      </c>
      <c r="C50" s="11"/>
      <c r="D50" s="11"/>
      <c r="E50" s="11"/>
      <c r="F50" s="384"/>
      <c r="G50" s="11"/>
      <c r="H50" s="88" t="s">
        <v>400</v>
      </c>
      <c r="I50" s="122" t="str">
        <f>IF(_epmOfflineCondition_,"N",_xll.EVPRO($B$1,$H50,"STYLE"))</f>
        <v>N</v>
      </c>
      <c r="J50" s="122" t="str">
        <f>IF(_epmOfflineCondition_,"N",_xll.EVPRO($B$1,$H50,"CALC"))</f>
        <v>N</v>
      </c>
      <c r="K50" s="179" t="str">
        <f t="shared" si="12"/>
        <v/>
      </c>
      <c r="L50" s="90" t="str">
        <f>IF(_epmOfflineCondition_,"540400",_xll.EVPRO($B$1,H50,"JDEID"))</f>
        <v>540400</v>
      </c>
      <c r="M50" s="90" t="str">
        <f>IF(_epmOfflineCondition_,"306039",IF(AND(I50="N",J50="N"),_xll.EVPRO($B$1,H50,"PSFTID"),""))</f>
        <v>306039</v>
      </c>
      <c r="N50" s="90" t="str">
        <f>IF(_epmOfflineCondition_,"Souvenir &amp; Gifts COS",IF(_xll.EVDES(H50,$B$1)="#NODATA","",_xll.EVDES(H50,$B$1)))</f>
        <v>Souvenir &amp; Gifts COS</v>
      </c>
      <c r="O50" s="217"/>
      <c r="P50" s="217"/>
      <c r="Q50" s="217"/>
      <c r="R50" s="217"/>
      <c r="S50" s="217"/>
      <c r="T50" s="217"/>
      <c r="U50" s="217"/>
      <c r="V50" s="217"/>
      <c r="W50" s="217"/>
      <c r="X50" s="217"/>
      <c r="Y50" s="217"/>
      <c r="Z50" s="217"/>
      <c r="AA50" s="217">
        <f t="shared" si="13"/>
        <v>0</v>
      </c>
      <c r="AB50" s="219" t="str">
        <f>IF(_epmOfflineCondition_,"",IF(AA50=0,"",IFERROR(AA50/_xll.EVGTS($B$1,1,_xll.EVPRO($B$1,$H50,"COSBASIS"),$B$3,$B$5,$B$6,$B$7,$B$9,AA$16,AA$17,AA$11),"")))</f>
        <v/>
      </c>
      <c r="AC50" s="140"/>
      <c r="AD50" s="217"/>
      <c r="AE50" s="219" t="str">
        <f>IF(_epmOfflineCondition_,"",IF(AD50=0,"",IFERROR(AD50/_xll.EVGTS($B$1,1,_xll.EVPRO($B$1,$H50,"COSBASIS"),$B$3,$B$5,$B$6,$B$7,$B$9,AD$16,AD$17,AD$18),"")))</f>
        <v/>
      </c>
      <c r="AF50" s="220">
        <f t="shared" si="14"/>
        <v>0</v>
      </c>
      <c r="AG50" s="217"/>
      <c r="AH50" s="219" t="str">
        <f>IF(_epmOfflineCondition_,"",IF(AG50=0,"",IFERROR(AG50/_xll.EVGTS($B$1,1,_xll.EVPRO($B$1,$H50,"COSBASIS"),$B$3,$B$5,$B$6,$B$7,$B$9,AG$16,AG$17,AG$18),"")))</f>
        <v/>
      </c>
      <c r="AI50" s="220">
        <f t="shared" si="15"/>
        <v>0</v>
      </c>
      <c r="AJ50" s="440">
        <f t="shared" si="16"/>
        <v>0</v>
      </c>
      <c r="AK50" s="441">
        <f t="shared" si="17"/>
        <v>0</v>
      </c>
      <c r="AL50" s="442">
        <f t="shared" si="18"/>
        <v>0</v>
      </c>
      <c r="AM50" s="443">
        <f t="shared" si="19"/>
        <v>0</v>
      </c>
      <c r="AN50" s="444">
        <f t="shared" si="20"/>
        <v>0</v>
      </c>
      <c r="AO50" s="11"/>
    </row>
    <row r="51" spans="1:41" x14ac:dyDescent="0.35">
      <c r="A51" s="65" t="s">
        <v>47</v>
      </c>
      <c r="B51" s="66" t="str">
        <f>IF(_epmOfflineCondition_,"'Retail'!$A$115:$B$136",_xll.EVRNG($A$115:$B$136))</f>
        <v>'Retail'!$A$115:$B$136</v>
      </c>
      <c r="C51" s="11"/>
      <c r="D51" s="11"/>
      <c r="E51" s="11"/>
      <c r="F51" s="11"/>
      <c r="G51" s="11"/>
      <c r="H51" s="88" t="s">
        <v>401</v>
      </c>
      <c r="I51" s="122" t="str">
        <f>IF(_epmOfflineCondition_,"N",_xll.EVPRO($B$1,$H51,"STYLE"))</f>
        <v>N</v>
      </c>
      <c r="J51" s="122" t="str">
        <f>IF(_epmOfflineCondition_,"N",_xll.EVPRO($B$1,$H51,"CALC"))</f>
        <v>N</v>
      </c>
      <c r="K51" s="179" t="str">
        <f t="shared" si="12"/>
        <v/>
      </c>
      <c r="L51" s="90" t="str">
        <f>IF(_epmOfflineCondition_,"540500",_xll.EVPRO($B$1,H51,"JDEID"))</f>
        <v>540500</v>
      </c>
      <c r="M51" s="90" t="str">
        <f>IF(_epmOfflineCondition_,"306055",IF(AND(I51="N",J51="N"),_xll.EVPRO($B$1,H51,"PSFTID"),""))</f>
        <v>306055</v>
      </c>
      <c r="N51" s="90" t="str">
        <f>IF(_epmOfflineCondition_,"Stationary &amp; Books COS",IF(_xll.EVDES(H51,$B$1)="#NODATA","",_xll.EVDES(H51,$B$1)))</f>
        <v>Stationary &amp; Books COS</v>
      </c>
      <c r="O51" s="217"/>
      <c r="P51" s="217"/>
      <c r="Q51" s="217"/>
      <c r="R51" s="217"/>
      <c r="S51" s="217"/>
      <c r="T51" s="217"/>
      <c r="U51" s="217"/>
      <c r="V51" s="217"/>
      <c r="W51" s="217"/>
      <c r="X51" s="217"/>
      <c r="Y51" s="217"/>
      <c r="Z51" s="217"/>
      <c r="AA51" s="217">
        <f t="shared" si="13"/>
        <v>0</v>
      </c>
      <c r="AB51" s="219" t="str">
        <f>IF(_epmOfflineCondition_,"",IF(AA51=0,"",IFERROR(AA51/_xll.EVGTS($B$1,1,_xll.EVPRO($B$1,$H51,"COSBASIS"),$B$3,$B$5,$B$6,$B$7,$B$9,AA$16,AA$17,AA$11),"")))</f>
        <v/>
      </c>
      <c r="AC51" s="140"/>
      <c r="AD51" s="217"/>
      <c r="AE51" s="219" t="str">
        <f>IF(_epmOfflineCondition_,"",IF(AD51=0,"",IFERROR(AD51/_xll.EVGTS($B$1,1,_xll.EVPRO($B$1,$H51,"COSBASIS"),$B$3,$B$5,$B$6,$B$7,$B$9,AD$16,AD$17,AD$18),"")))</f>
        <v/>
      </c>
      <c r="AF51" s="220">
        <f t="shared" si="14"/>
        <v>0</v>
      </c>
      <c r="AG51" s="217"/>
      <c r="AH51" s="219" t="str">
        <f>IF(_epmOfflineCondition_,"",IF(AG51=0,"",IFERROR(AG51/_xll.EVGTS($B$1,1,_xll.EVPRO($B$1,$H51,"COSBASIS"),$B$3,$B$5,$B$6,$B$7,$B$9,AG$16,AG$17,AG$18),"")))</f>
        <v/>
      </c>
      <c r="AI51" s="220">
        <f t="shared" si="15"/>
        <v>0</v>
      </c>
      <c r="AJ51" s="440">
        <f t="shared" si="16"/>
        <v>0</v>
      </c>
      <c r="AK51" s="441">
        <f t="shared" si="17"/>
        <v>0</v>
      </c>
      <c r="AL51" s="442">
        <f t="shared" si="18"/>
        <v>0</v>
      </c>
      <c r="AM51" s="443">
        <f t="shared" si="19"/>
        <v>0</v>
      </c>
      <c r="AN51" s="444">
        <f t="shared" si="20"/>
        <v>0</v>
      </c>
      <c r="AO51" s="11"/>
    </row>
    <row r="52" spans="1:41" x14ac:dyDescent="0.35">
      <c r="A52" s="65" t="s">
        <v>8</v>
      </c>
      <c r="B52" s="66"/>
      <c r="C52" s="11"/>
      <c r="D52" s="11"/>
      <c r="E52" s="11"/>
      <c r="F52" s="11"/>
      <c r="G52" s="11"/>
      <c r="H52" s="88" t="s">
        <v>402</v>
      </c>
      <c r="I52" s="122" t="str">
        <f>IF(_epmOfflineCondition_,"N",_xll.EVPRO($B$1,$H52,"STYLE"))</f>
        <v>N</v>
      </c>
      <c r="J52" s="122" t="str">
        <f>IF(_epmOfflineCondition_,"N",_xll.EVPRO($B$1,$H52,"CALC"))</f>
        <v>N</v>
      </c>
      <c r="K52" s="179" t="str">
        <f t="shared" si="12"/>
        <v/>
      </c>
      <c r="L52" s="90" t="str">
        <f>IF(_epmOfflineCondition_,"540600",_xll.EVPRO($B$1,H52,"JDEID"))</f>
        <v>540600</v>
      </c>
      <c r="M52" s="90" t="str">
        <f>IF(_epmOfflineCondition_,"306055",IF(AND(I52="N",J52="N"),_xll.EVPRO($B$1,H52,"PSFTID"),""))</f>
        <v>306055</v>
      </c>
      <c r="N52" s="90" t="str">
        <f>IF(_epmOfflineCondition_,"Newspaper &amp; Magazines COS",IF(_xll.EVDES(H52,$B$1)="#NODATA","",_xll.EVDES(H52,$B$1)))</f>
        <v>Newspaper &amp; Magazines COS</v>
      </c>
      <c r="O52" s="217"/>
      <c r="P52" s="217"/>
      <c r="Q52" s="217"/>
      <c r="R52" s="217"/>
      <c r="S52" s="217"/>
      <c r="T52" s="217"/>
      <c r="U52" s="217"/>
      <c r="V52" s="217"/>
      <c r="W52" s="217"/>
      <c r="X52" s="217"/>
      <c r="Y52" s="217"/>
      <c r="Z52" s="217"/>
      <c r="AA52" s="217">
        <f t="shared" si="13"/>
        <v>0</v>
      </c>
      <c r="AB52" s="219" t="str">
        <f>IF(_epmOfflineCondition_,"",IF(AA52=0,"",IFERROR(AA52/_xll.EVGTS($B$1,1,_xll.EVPRO($B$1,$H52,"COSBASIS"),$B$3,$B$5,$B$6,$B$7,$B$9,AA$16,AA$17,AA$11),"")))</f>
        <v/>
      </c>
      <c r="AC52" s="140"/>
      <c r="AD52" s="217"/>
      <c r="AE52" s="219" t="str">
        <f>IF(_epmOfflineCondition_,"",IF(AD52=0,"",IFERROR(AD52/_xll.EVGTS($B$1,1,_xll.EVPRO($B$1,$H52,"COSBASIS"),$B$3,$B$5,$B$6,$B$7,$B$9,AD$16,AD$17,AD$18),"")))</f>
        <v/>
      </c>
      <c r="AF52" s="220">
        <f t="shared" si="14"/>
        <v>0</v>
      </c>
      <c r="AG52" s="217"/>
      <c r="AH52" s="219" t="str">
        <f>IF(_epmOfflineCondition_,"",IF(AG52=0,"",IFERROR(AG52/_xll.EVGTS($B$1,1,_xll.EVPRO($B$1,$H52,"COSBASIS"),$B$3,$B$5,$B$6,$B$7,$B$9,AG$16,AG$17,AG$18),"")))</f>
        <v/>
      </c>
      <c r="AI52" s="220">
        <f t="shared" si="15"/>
        <v>0</v>
      </c>
      <c r="AJ52" s="440">
        <f t="shared" si="16"/>
        <v>0</v>
      </c>
      <c r="AK52" s="441">
        <f t="shared" si="17"/>
        <v>0</v>
      </c>
      <c r="AL52" s="442">
        <f t="shared" si="18"/>
        <v>0</v>
      </c>
      <c r="AM52" s="443">
        <f t="shared" si="19"/>
        <v>0</v>
      </c>
      <c r="AN52" s="444">
        <f t="shared" si="20"/>
        <v>0</v>
      </c>
      <c r="AO52" s="11"/>
    </row>
    <row r="53" spans="1:41" x14ac:dyDescent="0.35">
      <c r="A53" s="11"/>
      <c r="B53" s="11"/>
      <c r="C53" s="11"/>
      <c r="D53" s="11"/>
      <c r="E53" s="11"/>
      <c r="F53" s="11"/>
      <c r="G53" s="11"/>
      <c r="H53" s="88" t="s">
        <v>403</v>
      </c>
      <c r="I53" s="122" t="str">
        <f>IF(_epmOfflineCondition_,"N",_xll.EVPRO($B$1,$H53,"STYLE"))</f>
        <v>N</v>
      </c>
      <c r="J53" s="122" t="str">
        <f>IF(_epmOfflineCondition_,"N",_xll.EVPRO($B$1,$H53,"CALC"))</f>
        <v>N</v>
      </c>
      <c r="K53" s="179" t="str">
        <f t="shared" si="12"/>
        <v/>
      </c>
      <c r="L53" s="90" t="str">
        <f>IF(_epmOfflineCondition_,"540700",_xll.EVPRO($B$1,H53,"JDEID"))</f>
        <v>540700</v>
      </c>
      <c r="M53" s="90" t="str">
        <f>IF(_epmOfflineCondition_,"306055",IF(AND(I53="N",J53="N"),_xll.EVPRO($B$1,H53,"PSFTID"),""))</f>
        <v>306055</v>
      </c>
      <c r="N53" s="90" t="str">
        <f>IF(_epmOfflineCondition_,"Youth Revenue COS",IF(_xll.EVDES(H53,$B$1)="#NODATA","",_xll.EVDES(H53,$B$1)))</f>
        <v>Youth Revenue COS</v>
      </c>
      <c r="O53" s="217"/>
      <c r="P53" s="217"/>
      <c r="Q53" s="217"/>
      <c r="R53" s="217"/>
      <c r="S53" s="217"/>
      <c r="T53" s="217"/>
      <c r="U53" s="217"/>
      <c r="V53" s="217"/>
      <c r="W53" s="217"/>
      <c r="X53" s="217"/>
      <c r="Y53" s="217"/>
      <c r="Z53" s="217"/>
      <c r="AA53" s="217">
        <f t="shared" si="13"/>
        <v>0</v>
      </c>
      <c r="AB53" s="219" t="str">
        <f>IF(_epmOfflineCondition_,"",IF(AA53=0,"",IFERROR(AA53/_xll.EVGTS($B$1,1,_xll.EVPRO($B$1,$H53,"COSBASIS"),$B$3,$B$5,$B$6,$B$7,$B$9,AA$16,AA$17,AA$11),"")))</f>
        <v/>
      </c>
      <c r="AC53" s="140"/>
      <c r="AD53" s="217"/>
      <c r="AE53" s="219" t="str">
        <f>IF(_epmOfflineCondition_,"",IF(AD53=0,"",IFERROR(AD53/_xll.EVGTS($B$1,1,_xll.EVPRO($B$1,$H53,"COSBASIS"),$B$3,$B$5,$B$6,$B$7,$B$9,AD$16,AD$17,AD$18),"")))</f>
        <v/>
      </c>
      <c r="AF53" s="220">
        <f t="shared" si="14"/>
        <v>0</v>
      </c>
      <c r="AG53" s="217"/>
      <c r="AH53" s="219" t="str">
        <f>IF(_epmOfflineCondition_,"",IF(AG53=0,"",IFERROR(AG53/_xll.EVGTS($B$1,1,_xll.EVPRO($B$1,$H53,"COSBASIS"),$B$3,$B$5,$B$6,$B$7,$B$9,AG$16,AG$17,AG$18),"")))</f>
        <v/>
      </c>
      <c r="AI53" s="220">
        <f t="shared" si="15"/>
        <v>0</v>
      </c>
      <c r="AJ53" s="440">
        <f t="shared" si="16"/>
        <v>0</v>
      </c>
      <c r="AK53" s="441">
        <f t="shared" si="17"/>
        <v>0</v>
      </c>
      <c r="AL53" s="442">
        <f t="shared" si="18"/>
        <v>0</v>
      </c>
      <c r="AM53" s="443">
        <f t="shared" si="19"/>
        <v>0</v>
      </c>
      <c r="AN53" s="444">
        <f t="shared" si="20"/>
        <v>0</v>
      </c>
      <c r="AO53" s="11"/>
    </row>
    <row r="54" spans="1:41" x14ac:dyDescent="0.35">
      <c r="A54" s="62" t="s">
        <v>9</v>
      </c>
      <c r="B54" s="63" t="s">
        <v>10</v>
      </c>
      <c r="C54" s="11"/>
      <c r="D54" s="11"/>
      <c r="E54" s="11"/>
      <c r="F54" s="11"/>
      <c r="G54" s="11"/>
      <c r="H54" s="88" t="s">
        <v>404</v>
      </c>
      <c r="I54" s="122" t="str">
        <f>IF(_epmOfflineCondition_,"N",_xll.EVPRO($B$1,$H54,"STYLE"))</f>
        <v>N</v>
      </c>
      <c r="J54" s="122" t="str">
        <f>IF(_epmOfflineCondition_,"N",_xll.EVPRO($B$1,$H54,"CALC"))</f>
        <v>N</v>
      </c>
      <c r="K54" s="179" t="str">
        <f t="shared" si="12"/>
        <v/>
      </c>
      <c r="L54" s="90" t="str">
        <f>IF(_epmOfflineCondition_,"540800",_xll.EVPRO($B$1,H54,"JDEID"))</f>
        <v>540800</v>
      </c>
      <c r="M54" s="90" t="str">
        <f>IF(_epmOfflineCondition_,"304044",IF(AND(I54="N",J54="N"),_xll.EVPRO($B$1,H54,"PSFTID"),""))</f>
        <v>304044</v>
      </c>
      <c r="N54" s="90" t="str">
        <f>IF(_epmOfflineCondition_,"Food/Candy Revenue COS",IF(_xll.EVDES(H54,$B$1)="#NODATA","",_xll.EVDES(H54,$B$1)))</f>
        <v>Food/Candy Revenue COS</v>
      </c>
      <c r="O54" s="217"/>
      <c r="P54" s="217"/>
      <c r="Q54" s="217"/>
      <c r="R54" s="217"/>
      <c r="S54" s="217"/>
      <c r="T54" s="217"/>
      <c r="U54" s="217"/>
      <c r="V54" s="217"/>
      <c r="W54" s="217"/>
      <c r="X54" s="217"/>
      <c r="Y54" s="217"/>
      <c r="Z54" s="217"/>
      <c r="AA54" s="217">
        <f t="shared" si="13"/>
        <v>0</v>
      </c>
      <c r="AB54" s="219" t="str">
        <f>IF(_epmOfflineCondition_,"",IF(AA54=0,"",IFERROR(AA54/_xll.EVGTS($B$1,1,_xll.EVPRO($B$1,$H54,"COSBASIS"),$B$3,$B$5,$B$6,$B$7,$B$9,AA$16,AA$17,AA$11),"")))</f>
        <v/>
      </c>
      <c r="AC54" s="140"/>
      <c r="AD54" s="217"/>
      <c r="AE54" s="219" t="str">
        <f>IF(_epmOfflineCondition_,"",IF(AD54=0,"",IFERROR(AD54/_xll.EVGTS($B$1,1,_xll.EVPRO($B$1,$H54,"COSBASIS"),$B$3,$B$5,$B$6,$B$7,$B$9,AD$16,AD$17,AD$18),"")))</f>
        <v/>
      </c>
      <c r="AF54" s="220">
        <f t="shared" si="14"/>
        <v>0</v>
      </c>
      <c r="AG54" s="217"/>
      <c r="AH54" s="219" t="str">
        <f>IF(_epmOfflineCondition_,"",IF(AG54=0,"",IFERROR(AG54/_xll.EVGTS($B$1,1,_xll.EVPRO($B$1,$H54,"COSBASIS"),$B$3,$B$5,$B$6,$B$7,$B$9,AG$16,AG$17,AG$18),"")))</f>
        <v/>
      </c>
      <c r="AI54" s="220">
        <f t="shared" si="15"/>
        <v>0</v>
      </c>
      <c r="AJ54" s="440">
        <f t="shared" si="16"/>
        <v>0</v>
      </c>
      <c r="AK54" s="441">
        <f t="shared" si="17"/>
        <v>0</v>
      </c>
      <c r="AL54" s="442">
        <f t="shared" si="18"/>
        <v>0</v>
      </c>
      <c r="AM54" s="443">
        <f t="shared" si="19"/>
        <v>0</v>
      </c>
      <c r="AN54" s="444">
        <f t="shared" si="20"/>
        <v>0</v>
      </c>
      <c r="AO54" s="11"/>
    </row>
    <row r="55" spans="1:41" x14ac:dyDescent="0.35">
      <c r="A55" s="65" t="s">
        <v>11</v>
      </c>
      <c r="B55" s="66" t="s">
        <v>21</v>
      </c>
      <c r="C55" s="11"/>
      <c r="D55" s="11"/>
      <c r="E55" s="11"/>
      <c r="F55" s="11"/>
      <c r="G55" s="11"/>
      <c r="H55" s="88" t="s">
        <v>405</v>
      </c>
      <c r="I55" s="122" t="str">
        <f>IF(_epmOfflineCondition_,"N",_xll.EVPRO($B$1,$H55,"STYLE"))</f>
        <v>N</v>
      </c>
      <c r="J55" s="122" t="str">
        <f>IF(_epmOfflineCondition_,"N",_xll.EVPRO($B$1,$H55,"CALC"))</f>
        <v>N</v>
      </c>
      <c r="K55" s="179" t="str">
        <f t="shared" si="12"/>
        <v/>
      </c>
      <c r="L55" s="90" t="str">
        <f>IF(_epmOfflineCondition_,"540900",_xll.EVPRO($B$1,H55,"JDEID"))</f>
        <v>540900</v>
      </c>
      <c r="M55" s="90" t="str">
        <f>IF(_epmOfflineCondition_,"306099",IF(AND(I55="N",J55="N"),_xll.EVPRO($B$1,H55,"PSFTID"),""))</f>
        <v>306099</v>
      </c>
      <c r="N55" s="90" t="str">
        <f>IF(_epmOfflineCondition_,"Tobacco Revenue COS",IF(_xll.EVDES(H55,$B$1)="#NODATA","",_xll.EVDES(H55,$B$1)))</f>
        <v>Tobacco Revenue COS</v>
      </c>
      <c r="O55" s="217"/>
      <c r="P55" s="217"/>
      <c r="Q55" s="217"/>
      <c r="R55" s="217"/>
      <c r="S55" s="217"/>
      <c r="T55" s="217"/>
      <c r="U55" s="217"/>
      <c r="V55" s="217"/>
      <c r="W55" s="217"/>
      <c r="X55" s="217"/>
      <c r="Y55" s="217"/>
      <c r="Z55" s="217"/>
      <c r="AA55" s="217">
        <f t="shared" si="13"/>
        <v>0</v>
      </c>
      <c r="AB55" s="219" t="str">
        <f>IF(_epmOfflineCondition_,"",IF(AA55=0,"",IFERROR(AA55/_xll.EVGTS($B$1,1,_xll.EVPRO($B$1,$H55,"COSBASIS"),$B$3,$B$5,$B$6,$B$7,$B$9,AA$16,AA$17,AA$11),"")))</f>
        <v/>
      </c>
      <c r="AC55" s="140"/>
      <c r="AD55" s="217"/>
      <c r="AE55" s="219" t="str">
        <f>IF(_epmOfflineCondition_,"",IF(AD55=0,"",IFERROR(AD55/_xll.EVGTS($B$1,1,_xll.EVPRO($B$1,$H55,"COSBASIS"),$B$3,$B$5,$B$6,$B$7,$B$9,AD$16,AD$17,AD$18),"")))</f>
        <v/>
      </c>
      <c r="AF55" s="220">
        <f t="shared" si="14"/>
        <v>0</v>
      </c>
      <c r="AG55" s="217"/>
      <c r="AH55" s="219" t="str">
        <f>IF(_epmOfflineCondition_,"",IF(AG55=0,"",IFERROR(AG55/_xll.EVGTS($B$1,1,_xll.EVPRO($B$1,$H55,"COSBASIS"),$B$3,$B$5,$B$6,$B$7,$B$9,AG$16,AG$17,AG$18),"")))</f>
        <v/>
      </c>
      <c r="AI55" s="220">
        <f t="shared" si="15"/>
        <v>0</v>
      </c>
      <c r="AJ55" s="449">
        <f t="shared" si="16"/>
        <v>0</v>
      </c>
      <c r="AK55" s="450">
        <f t="shared" si="17"/>
        <v>0</v>
      </c>
      <c r="AL55" s="451">
        <f t="shared" si="18"/>
        <v>0</v>
      </c>
      <c r="AM55" s="452">
        <f t="shared" si="19"/>
        <v>0</v>
      </c>
      <c r="AN55" s="453">
        <f t="shared" si="20"/>
        <v>0</v>
      </c>
      <c r="AO55" s="11"/>
    </row>
    <row r="56" spans="1:41" x14ac:dyDescent="0.35">
      <c r="A56" s="65" t="s">
        <v>12</v>
      </c>
      <c r="B56" s="66" t="s">
        <v>22</v>
      </c>
      <c r="C56" s="11"/>
      <c r="D56" s="11"/>
      <c r="E56" s="11"/>
      <c r="F56" s="11"/>
      <c r="G56" s="76"/>
      <c r="H56" s="88" t="s">
        <v>289</v>
      </c>
      <c r="I56" s="188" t="str">
        <f>IF(_epmOfflineCondition_,"T3",_xll.EVPRO($B$1,$H56,"STYLE"))</f>
        <v>T3</v>
      </c>
      <c r="J56" s="188" t="str">
        <f>IF(_epmOfflineCondition_,"Y",_xll.EVPRO($B$1,$H56,"CALC"))</f>
        <v>Y</v>
      </c>
      <c r="K56" s="189" t="str">
        <f t="shared" si="12"/>
        <v/>
      </c>
      <c r="L56" s="190" t="str">
        <f>IF(_epmOfflineCondition_,"500001",_xll.EVPRO($B$1,H56,"JDEID"))</f>
        <v>500001</v>
      </c>
      <c r="M56" s="190" t="str">
        <f>IF(_epmOfflineCondition_,"",IF(AND(I56="N",J56="N"),_xll.EVPRO($B$1,H56,"PSFTID"),""))</f>
        <v/>
      </c>
      <c r="N56" s="190" t="str">
        <f>IF(_epmOfflineCondition_,"Total Cost of Sales",IF(_xll.EVDES(H56,$B$1)="#NODATA","",_xll.EVDES(H56,$B$1)))</f>
        <v>Total Cost of Sales</v>
      </c>
      <c r="O56" s="225"/>
      <c r="P56" s="225"/>
      <c r="Q56" s="225"/>
      <c r="R56" s="225"/>
      <c r="S56" s="225"/>
      <c r="T56" s="225"/>
      <c r="U56" s="225"/>
      <c r="V56" s="225"/>
      <c r="W56" s="225"/>
      <c r="X56" s="225"/>
      <c r="Y56" s="225"/>
      <c r="Z56" s="225"/>
      <c r="AA56" s="225">
        <f t="shared" si="13"/>
        <v>0</v>
      </c>
      <c r="AB56" s="226" t="str">
        <f>IF(_epmOfflineCondition_,"",IF(AA56=0,"",IFERROR(AA56/_xll.EVGTS($B$1,1,_xll.EVPRO($B$1,$H56,"COSBASIS"),$B$3,$B$5,$B$6,$B$7,$B$9,AA$16,AA$17,AA$11),"")))</f>
        <v/>
      </c>
      <c r="AC56" s="227"/>
      <c r="AD56" s="225"/>
      <c r="AE56" s="226" t="str">
        <f>IF(_epmOfflineCondition_,"",IF(AD56=0,"",IFERROR(AD56/_xll.EVGTS($B$1,1,_xll.EVPRO($B$1,$H56,"COSBASIS"),$B$3,$B$5,$B$6,$B$7,$B$9,AD$16,AD$17,AD$18),"")))</f>
        <v/>
      </c>
      <c r="AF56" s="228">
        <f t="shared" si="14"/>
        <v>0</v>
      </c>
      <c r="AG56" s="225"/>
      <c r="AH56" s="226" t="str">
        <f>IF(_epmOfflineCondition_,"",IF(AG56=0,"",IFERROR(AG56/_xll.EVGTS($B$1,1,_xll.EVPRO($B$1,$H56,"COSBASIS"),$B$3,$B$5,$B$6,$B$7,$B$9,AG$16,AG$17,AG$18),"")))</f>
        <v/>
      </c>
      <c r="AI56" s="228">
        <f t="shared" si="15"/>
        <v>0</v>
      </c>
      <c r="AJ56" s="229">
        <f t="shared" si="16"/>
        <v>0</v>
      </c>
      <c r="AK56" s="230">
        <f t="shared" si="17"/>
        <v>0</v>
      </c>
      <c r="AL56" s="232">
        <f t="shared" si="18"/>
        <v>0</v>
      </c>
      <c r="AM56" s="427">
        <f t="shared" si="19"/>
        <v>0</v>
      </c>
      <c r="AN56" s="456">
        <f t="shared" si="20"/>
        <v>0</v>
      </c>
      <c r="AO56" s="11"/>
    </row>
    <row r="57" spans="1:41" x14ac:dyDescent="0.35">
      <c r="A57" s="65" t="s">
        <v>13</v>
      </c>
      <c r="B57" s="66" t="str">
        <f>"DEP(540000) AND "&amp;$E$6&amp;"=Y,500001"</f>
        <v>DEP(540000) AND D1136=Y,500001</v>
      </c>
      <c r="C57" s="11"/>
      <c r="D57" s="11"/>
      <c r="E57" s="11"/>
      <c r="F57" s="11"/>
      <c r="G57" s="11"/>
      <c r="H57" s="185" t="s">
        <v>175</v>
      </c>
      <c r="I57" s="89" t="str">
        <f>IF(_epmOfflineCondition_,"B1",_xll.EVPRO($B$1,$H57,"STYLE"))</f>
        <v>B1</v>
      </c>
      <c r="J57" s="89" t="str">
        <f>IF(_epmOfflineCondition_,"Y",_xll.EVPRO($B$1,$H57,"CALC"))</f>
        <v>Y</v>
      </c>
      <c r="K57" s="265" t="str">
        <f t="shared" si="12"/>
        <v/>
      </c>
      <c r="L57" s="265"/>
      <c r="M57" s="265"/>
      <c r="N57" s="106" t="str">
        <f>IF(_epmOfflineCondition_,"BLANKROW",IF(_xll.EVDES(H57,$B$1)="#NODATA","",_xll.EVDES(H57,$B$1)))</f>
        <v>BLANKROW</v>
      </c>
      <c r="O57" s="205"/>
      <c r="P57" s="205"/>
      <c r="Q57" s="205"/>
      <c r="R57" s="205"/>
      <c r="S57" s="205"/>
      <c r="T57" s="205"/>
      <c r="U57" s="205"/>
      <c r="V57" s="205"/>
      <c r="W57" s="205"/>
      <c r="X57" s="205"/>
      <c r="Y57" s="205"/>
      <c r="Z57" s="205"/>
      <c r="AA57" s="205"/>
      <c r="AB57" s="206" t="str">
        <f>IF(_epmOfflineCondition_,"",IF(O57=0,"",IFERROR(O57/_xll.EVGTS($B$1,1,INDEX($C$142:$C$165,MATCH($H57,$A$142:$A$165,0)),$B$3,$B$5,$B$6,$B$7,$B$9,O$16,O$17,O$18),"")))</f>
        <v/>
      </c>
      <c r="AC57" s="11"/>
      <c r="AD57" s="205"/>
      <c r="AE57" s="206" t="str">
        <f>IF(_epmOfflineCondition_,"",IF(AD57=0,"",IFERROR(AD57/_xll.EVGTS($B$1,1,INDEX($C$142:$C$165,MATCH($H57,$A$142:$A$165,0)),$B$3,$B$5,$B$6,$B$7,$B$9,AD$16,AD$17,AD$18),"")))</f>
        <v/>
      </c>
      <c r="AF57" s="207" t="str">
        <f t="shared" si="14"/>
        <v/>
      </c>
      <c r="AG57" s="205"/>
      <c r="AH57" s="206" t="str">
        <f>IF(_epmOfflineCondition_,"",IF(AG57=0,"",IFERROR(AG57/_xll.EVGTS($B$1,1,INDEX($C$142:$C$165,MATCH($H57,$A$142:$A$165,0)),$B$3,$B$5,$B$6,$B$7,$B$9,AG$16,AG$17,AG$18),"")))</f>
        <v/>
      </c>
      <c r="AI57" s="207" t="str">
        <f t="shared" si="15"/>
        <v/>
      </c>
      <c r="AJ57" s="11"/>
      <c r="AK57" s="11"/>
      <c r="AL57" s="11"/>
      <c r="AM57" s="11"/>
      <c r="AN57" s="11"/>
      <c r="AO57" s="11"/>
    </row>
    <row r="58" spans="1:41" x14ac:dyDescent="0.35">
      <c r="A58" s="65" t="s">
        <v>14</v>
      </c>
      <c r="B58" s="66"/>
      <c r="C58" s="11"/>
      <c r="D58" s="11"/>
      <c r="E58" s="11"/>
      <c r="F58" s="11"/>
      <c r="G58" s="11"/>
      <c r="H58" s="185" t="s">
        <v>292</v>
      </c>
      <c r="I58" s="89" t="str">
        <f>IF(_epmOfflineCondition_,"T3",_xll.EVPRO($B$1,$H58,"STYLE"))</f>
        <v>T3</v>
      </c>
      <c r="J58" s="89" t="str">
        <f>IF(_epmOfflineCondition_,"Y",_xll.EVPRO($B$1,$H58,"CALC"))</f>
        <v>Y</v>
      </c>
      <c r="K58" s="265" t="str">
        <f t="shared" si="12"/>
        <v/>
      </c>
      <c r="L58" s="265"/>
      <c r="M58" s="265"/>
      <c r="N58" s="106" t="str">
        <f>IF(_epmOfflineCondition_,"Gross Profit",IF(_xll.EVDES(H58,$B$1)="#NODATA","",_xll.EVDES(H58,$B$1)))</f>
        <v>Gross Profit</v>
      </c>
      <c r="O58" s="123">
        <f t="shared" ref="O58:Z58" si="21">SUMIF($H$34:$H$56,"400000",O34:O56)-SUMIF($H$34:$H$56,"500001",O34:O56)</f>
        <v>0</v>
      </c>
      <c r="P58" s="123">
        <f t="shared" si="21"/>
        <v>0</v>
      </c>
      <c r="Q58" s="123">
        <f t="shared" si="21"/>
        <v>0</v>
      </c>
      <c r="R58" s="123">
        <f t="shared" si="21"/>
        <v>0</v>
      </c>
      <c r="S58" s="123">
        <f t="shared" si="21"/>
        <v>0</v>
      </c>
      <c r="T58" s="123">
        <f t="shared" si="21"/>
        <v>0</v>
      </c>
      <c r="U58" s="123">
        <f t="shared" si="21"/>
        <v>0</v>
      </c>
      <c r="V58" s="123">
        <f t="shared" si="21"/>
        <v>0</v>
      </c>
      <c r="W58" s="123">
        <f t="shared" si="21"/>
        <v>0</v>
      </c>
      <c r="X58" s="123">
        <f t="shared" si="21"/>
        <v>0</v>
      </c>
      <c r="Y58" s="123">
        <f t="shared" si="21"/>
        <v>0</v>
      </c>
      <c r="Z58" s="123">
        <f t="shared" si="21"/>
        <v>0</v>
      </c>
      <c r="AA58" s="191">
        <f>IF($I58="B1","",SUM(O58:Z58))</f>
        <v>0</v>
      </c>
      <c r="AB58" s="192" t="str">
        <f>IF(AA58=0,"",IFERROR(AA58/AA$19,""))</f>
        <v/>
      </c>
      <c r="AC58" s="11"/>
      <c r="AD58" s="123">
        <f>SUMIF($H$34:$H$56,"400000",AD34:AD56)-SUMIF($H$34:$H$56,"500001",AD34:AD56)</f>
        <v>0</v>
      </c>
      <c r="AE58" s="192" t="str">
        <f>IF(AD58=0,"",IFERROR(AD58/AD$19,""))</f>
        <v/>
      </c>
      <c r="AF58" s="125">
        <f t="shared" si="14"/>
        <v>0</v>
      </c>
      <c r="AG58" s="123">
        <f>SUMIF($H$34:$H$56,"400000",AG34:AG56)-SUMIF($H$34:$H$56,"500001",AG34:AG56)</f>
        <v>0</v>
      </c>
      <c r="AH58" s="192" t="str">
        <f>IF(AG58=0,"",IFERROR(AG58/AG$19,""))</f>
        <v/>
      </c>
      <c r="AI58" s="125">
        <f t="shared" si="15"/>
        <v>0</v>
      </c>
      <c r="AJ58" s="388">
        <f>IFERROR(AA58/AA$20,0)</f>
        <v>0</v>
      </c>
      <c r="AK58" s="389">
        <f>IFERROR(AD58/AD$20,0)</f>
        <v>0</v>
      </c>
      <c r="AL58" s="390">
        <f>IFERROR(AG58/AG$20,0)</f>
        <v>0</v>
      </c>
      <c r="AM58" s="391">
        <f>+IFERROR(ROUND(($AB58-AE58)*100,2)&amp;" pts.",0)</f>
        <v>0</v>
      </c>
      <c r="AN58" s="544">
        <f>+IFERROR(ROUND(($AB58-AH58)*100,2)&amp;" pts.",0)</f>
        <v>0</v>
      </c>
      <c r="AO58" s="11"/>
    </row>
    <row r="59" spans="1:41" x14ac:dyDescent="0.35">
      <c r="A59" s="65" t="s">
        <v>15</v>
      </c>
      <c r="B59" s="66"/>
      <c r="C59" s="11"/>
      <c r="D59" s="11"/>
      <c r="E59" s="11"/>
      <c r="F59" s="11"/>
      <c r="G59" s="11"/>
      <c r="H59" s="11"/>
      <c r="I59" s="59"/>
      <c r="J59" s="59"/>
      <c r="K59" s="11"/>
      <c r="L59" s="11"/>
      <c r="M59" s="11"/>
      <c r="N59" s="11"/>
      <c r="O59" s="393"/>
      <c r="P59" s="394"/>
      <c r="Q59" s="394"/>
      <c r="R59" s="394"/>
      <c r="S59" s="394"/>
      <c r="T59" s="394"/>
      <c r="U59" s="394"/>
      <c r="V59" s="394"/>
      <c r="W59" s="394"/>
      <c r="X59" s="394"/>
      <c r="Y59" s="394"/>
      <c r="Z59" s="394"/>
      <c r="AA59" s="394"/>
      <c r="AB59" s="118"/>
      <c r="AC59" s="11"/>
      <c r="AD59" s="393"/>
      <c r="AE59" s="204"/>
      <c r="AF59" s="118"/>
      <c r="AG59" s="204"/>
      <c r="AH59" s="204"/>
      <c r="AI59" s="118"/>
      <c r="AJ59" s="11"/>
      <c r="AK59" s="11"/>
      <c r="AL59" s="11"/>
      <c r="AM59" s="11"/>
      <c r="AN59" s="11"/>
      <c r="AO59" s="11"/>
    </row>
    <row r="60" spans="1:41" x14ac:dyDescent="0.35">
      <c r="A60" s="65" t="s">
        <v>16</v>
      </c>
      <c r="B60" s="66"/>
      <c r="C60" s="11"/>
      <c r="D60" s="11"/>
      <c r="E60" s="11"/>
      <c r="F60" s="11"/>
      <c r="G60" s="11"/>
      <c r="H60" s="11" t="s">
        <v>73</v>
      </c>
      <c r="I60" s="59" t="str">
        <f>IF(_epmOfflineCondition_,"B1",_xll.EVPRO($B$1,$H60,"STYLE"))</f>
        <v>B1</v>
      </c>
      <c r="J60" s="59" t="str">
        <f>IF(_epmOfflineCondition_,"Y",_xll.EVPRO($B$1,$H60,"CALC"))</f>
        <v>Y</v>
      </c>
      <c r="K60" s="11"/>
      <c r="L60" s="11"/>
      <c r="M60" s="11"/>
      <c r="N60" s="105" t="str">
        <f>IF(_epmOfflineCondition_,"Labor &amp; Related Expenses",IF(_xll.EVDES(H60,$B$1)="#NODATA","",_xll.EVDES(H60,$B$1)))</f>
        <v>Labor &amp; Related Expenses</v>
      </c>
      <c r="O60" s="203"/>
      <c r="P60" s="204"/>
      <c r="Q60" s="204"/>
      <c r="R60" s="204"/>
      <c r="S60" s="204"/>
      <c r="T60" s="204"/>
      <c r="U60" s="204"/>
      <c r="V60" s="204"/>
      <c r="W60" s="204"/>
      <c r="X60" s="204"/>
      <c r="Y60" s="204"/>
      <c r="Z60" s="204"/>
      <c r="AA60" s="204"/>
      <c r="AB60" s="410"/>
      <c r="AC60" s="11"/>
      <c r="AD60" s="411"/>
      <c r="AE60" s="412"/>
      <c r="AF60" s="118"/>
      <c r="AG60" s="204"/>
      <c r="AH60" s="412"/>
      <c r="AI60" s="118"/>
      <c r="AJ60" s="11"/>
      <c r="AK60" s="11"/>
      <c r="AL60" s="11"/>
      <c r="AM60" s="11"/>
      <c r="AN60" s="11"/>
      <c r="AO60" s="11"/>
    </row>
    <row r="61" spans="1:41" x14ac:dyDescent="0.35">
      <c r="A61" s="65" t="s">
        <v>17</v>
      </c>
      <c r="B61" s="66"/>
      <c r="C61" s="11"/>
      <c r="D61" s="11"/>
      <c r="E61" s="11"/>
      <c r="F61" s="11"/>
      <c r="G61" s="11"/>
      <c r="H61" s="11" t="s">
        <v>74</v>
      </c>
      <c r="I61" s="59" t="str">
        <f>IF(_epmOfflineCondition_,"B1",_xll.EVPRO($B$1,$H61,"STYLE"))</f>
        <v>B1</v>
      </c>
      <c r="J61" s="59" t="str">
        <f>IF(_epmOfflineCondition_,"Y",_xll.EVPRO($B$1,$H61,"CALC"))</f>
        <v>Y</v>
      </c>
      <c r="K61" s="11"/>
      <c r="L61" s="11"/>
      <c r="M61" s="11"/>
      <c r="N61" s="53" t="str">
        <f>IF(_epmOfflineCondition_,"Salaries &amp; Wages",IF(_xll.EVDES(H61,$B$1)="#NODATA","",_xll.EVDES(H61,$B$1)))</f>
        <v>Salaries &amp; Wages</v>
      </c>
      <c r="O61" s="119"/>
      <c r="P61" s="120"/>
      <c r="Q61" s="120"/>
      <c r="R61" s="120"/>
      <c r="S61" s="120"/>
      <c r="T61" s="120"/>
      <c r="U61" s="120"/>
      <c r="V61" s="120"/>
      <c r="W61" s="120"/>
      <c r="X61" s="120"/>
      <c r="Y61" s="120"/>
      <c r="Z61" s="120"/>
      <c r="AA61" s="120"/>
      <c r="AB61" s="121"/>
      <c r="AC61" s="11"/>
      <c r="AD61" s="119"/>
      <c r="AE61" s="120"/>
      <c r="AF61" s="121"/>
      <c r="AG61" s="120"/>
      <c r="AH61" s="120"/>
      <c r="AI61" s="121"/>
      <c r="AJ61" s="11"/>
      <c r="AK61" s="11"/>
      <c r="AL61" s="11"/>
      <c r="AM61" s="11"/>
      <c r="AN61" s="11"/>
      <c r="AO61" s="11"/>
    </row>
    <row r="62" spans="1:41" hidden="1" x14ac:dyDescent="0.35">
      <c r="A62" s="11"/>
      <c r="B62" s="11"/>
      <c r="C62" s="11"/>
      <c r="D62" s="11"/>
      <c r="E62" s="11"/>
      <c r="F62" s="11"/>
      <c r="G62" s="11"/>
      <c r="H62" s="88" t="s">
        <v>667</v>
      </c>
      <c r="I62" s="122" t="str">
        <f>IF(_epmOfflineCondition_,"",_xll.EVPRO($B$1,$H62,"STYLE"))</f>
        <v/>
      </c>
      <c r="J62" s="122" t="str">
        <f>IF(_epmOfflineCondition_,"",_xll.EVPRO($B$1,$H62,"CALC"))</f>
        <v/>
      </c>
      <c r="K62" s="179" t="str">
        <f>IF(AND(I62&gt;="T3"),"&gt;","")</f>
        <v/>
      </c>
      <c r="L62" s="90" t="str">
        <f>IF(_epmOfflineCondition_,"",_xll.EVPRO($B$1,H62,"JDEID"))</f>
        <v/>
      </c>
      <c r="M62" s="90" t="str">
        <f>IF(_epmOfflineCondition_,"",IF(AND(I62="N",J62="N"),_xll.EVPRO($B$1,H62,"PSFTID"),""))</f>
        <v/>
      </c>
      <c r="N62" s="90" t="str">
        <f>IF(_epmOfflineCondition_,"",IF(_xll.EVDES(H62,$B$1)="#NODATA","",_xll.EVDES(H62,$B$1)))</f>
        <v/>
      </c>
      <c r="O62" s="216"/>
      <c r="P62" s="216"/>
      <c r="Q62" s="216"/>
      <c r="R62" s="216"/>
      <c r="S62" s="216"/>
      <c r="T62" s="216"/>
      <c r="U62" s="216"/>
      <c r="V62" s="216"/>
      <c r="W62" s="216"/>
      <c r="X62" s="216"/>
      <c r="Y62" s="216"/>
      <c r="Z62" s="216"/>
      <c r="AA62" s="216">
        <f>IF($I62="B1","",SUM(O62:Z62))</f>
        <v>0</v>
      </c>
      <c r="AB62" s="218" t="str">
        <f>IF(AA62=0,"",IFERROR(AA62/AA$19,""))</f>
        <v/>
      </c>
      <c r="AC62" s="140"/>
      <c r="AD62" s="216"/>
      <c r="AE62" s="218" t="str">
        <f>IF(AD62=0,"",IFERROR(AD62/AD$19,""))</f>
        <v/>
      </c>
      <c r="AF62" s="233">
        <f>IF(AND($AA62="",AD62=""),"",$AA62-AD62)</f>
        <v>0</v>
      </c>
      <c r="AG62" s="216"/>
      <c r="AH62" s="218" t="str">
        <f>IF(AG62=0,"",IFERROR(AG62/AG$19,""))</f>
        <v/>
      </c>
      <c r="AI62" s="233">
        <f>IF(AND($AA62="",AG62=""),"",$AA62-AG62)</f>
        <v>0</v>
      </c>
      <c r="AJ62" s="440">
        <f>IFERROR(AA62/AA$20,0)</f>
        <v>0</v>
      </c>
      <c r="AK62" s="441">
        <f>IFERROR(AD62/AD$20,0)</f>
        <v>0</v>
      </c>
      <c r="AL62" s="442">
        <f>IFERROR(AG62/AG$20,0)</f>
        <v>0</v>
      </c>
      <c r="AM62" s="443">
        <f>+IFERROR(ROUND(($AB62-AE62)*100,2)&amp;" pts.",0)</f>
        <v>0</v>
      </c>
      <c r="AN62" s="444">
        <f>+IFERROR(ROUND(($AB62-AH62)*100,2)&amp;" pts.",0)</f>
        <v>0</v>
      </c>
      <c r="AO62" s="11"/>
    </row>
    <row r="63" spans="1:41" hidden="1" x14ac:dyDescent="0.35">
      <c r="A63" s="97" t="s">
        <v>92</v>
      </c>
      <c r="B63" s="98" t="s">
        <v>93</v>
      </c>
      <c r="C63" s="98" t="s">
        <v>94</v>
      </c>
      <c r="D63" s="98" t="s">
        <v>95</v>
      </c>
      <c r="E63" s="98" t="s">
        <v>96</v>
      </c>
      <c r="F63" s="99" t="s">
        <v>97</v>
      </c>
      <c r="G63" s="11"/>
      <c r="H63" s="88"/>
      <c r="I63" s="122" t="str">
        <f>IF(_epmOfflineCondition_,"",_xll.EVPRO($B$1,$H63,"STYLE"))</f>
        <v/>
      </c>
      <c r="J63" s="122" t="str">
        <f>IF(_epmOfflineCondition_,"",_xll.EVPRO($B$1,$H63,"CALC"))</f>
        <v/>
      </c>
      <c r="K63" s="179" t="str">
        <f>IF(AND(I63&gt;="T3"),"&gt;","")</f>
        <v/>
      </c>
      <c r="L63" s="90" t="str">
        <f>IF(_epmOfflineCondition_,"",_xll.EVPRO($B$1,H63,"JDEID"))</f>
        <v/>
      </c>
      <c r="M63" s="90" t="str">
        <f>IF(_epmOfflineCondition_,"",IF(AND(I63="N",J63="N"),_xll.EVPRO($B$1,H63,"PSFTID"),""))</f>
        <v/>
      </c>
      <c r="N63" s="90" t="str">
        <f>IF(_epmOfflineCondition_,"",IF(_xll.EVDES(H63,$B$1)="#NODATA","",_xll.EVDES(H63,$B$1)))</f>
        <v/>
      </c>
      <c r="O63" s="216"/>
      <c r="P63" s="216"/>
      <c r="Q63" s="216"/>
      <c r="R63" s="216"/>
      <c r="S63" s="216"/>
      <c r="T63" s="216"/>
      <c r="U63" s="216"/>
      <c r="V63" s="216"/>
      <c r="W63" s="216"/>
      <c r="X63" s="216"/>
      <c r="Y63" s="216"/>
      <c r="Z63" s="216"/>
      <c r="AA63" s="216">
        <f>IF($I63="B1","",SUM(O63:Z63))</f>
        <v>0</v>
      </c>
      <c r="AB63" s="218" t="str">
        <f>IF(AA63=0,"",IFERROR(AA63/AA$19,""))</f>
        <v/>
      </c>
      <c r="AC63" s="140"/>
      <c r="AD63" s="216"/>
      <c r="AE63" s="218" t="str">
        <f>IF(AD63=0,"",IFERROR(AD63/AD$19,""))</f>
        <v/>
      </c>
      <c r="AF63" s="233">
        <f>IF(AND($AA63="",AD63=""),"",$AA63-AD63)</f>
        <v>0</v>
      </c>
      <c r="AG63" s="216"/>
      <c r="AH63" s="218" t="str">
        <f>IF(AG63=0,"",IFERROR(AG63/AG$19,""))</f>
        <v/>
      </c>
      <c r="AI63" s="233">
        <f>IF(AND($AA63="",AG63=""),"",$AA63-AG63)</f>
        <v>0</v>
      </c>
      <c r="AJ63" s="440">
        <f>IFERROR(AA63/AA$20,0)</f>
        <v>0</v>
      </c>
      <c r="AK63" s="441">
        <f>IFERROR(AD63/AD$20,0)</f>
        <v>0</v>
      </c>
      <c r="AL63" s="442">
        <f>IFERROR(AG63/AG$20,0)</f>
        <v>0</v>
      </c>
      <c r="AM63" s="443">
        <f>+IFERROR(ROUND(($AB63-AE63)*100,2)&amp;" pts.",0)</f>
        <v>0</v>
      </c>
      <c r="AN63" s="444">
        <f>+IFERROR(ROUND(($AB63-AH63)*100,2)&amp;" pts.",0)</f>
        <v>0</v>
      </c>
      <c r="AO63" s="11"/>
    </row>
    <row r="64" spans="1:41" x14ac:dyDescent="0.35">
      <c r="A64" s="11"/>
      <c r="B64" s="11"/>
      <c r="C64" s="11"/>
      <c r="D64" s="11"/>
      <c r="E64" s="11"/>
      <c r="F64" s="11"/>
      <c r="G64" s="11"/>
      <c r="H64" s="88" t="s">
        <v>75</v>
      </c>
      <c r="I64" s="89" t="str">
        <f>IF(_epmOfflineCondition_,"B1",_xll.EVPRO($B$1,$H64,"STYLE"))</f>
        <v>B1</v>
      </c>
      <c r="J64" s="89" t="str">
        <f>IF(_epmOfflineCondition_,"Y",_xll.EVPRO($B$1,$H64,"CALC"))</f>
        <v>Y</v>
      </c>
      <c r="K64" s="265" t="str">
        <f>IF(AND(I64&gt;="T3"),"&gt;","")</f>
        <v/>
      </c>
      <c r="L64" s="106" t="str">
        <f>IF(_epmOfflineCondition_,"",_xll.EVPRO($B$1,H64,"JDEID"))</f>
        <v/>
      </c>
      <c r="M64" s="90" t="str">
        <f>IF(_epmOfflineCondition_,"",IF(AND(I64="N",J64="N"),_xll.EVPRO($B$1,H64,"PSFTID"),""))</f>
        <v/>
      </c>
      <c r="N64" s="106" t="str">
        <f>IF(_epmOfflineCondition_,"Non-Management",IF(_xll.EVDES(H64,$B$1)="#NODATA","",_xll.EVDES(H64,$B$1)))</f>
        <v>Non-Management</v>
      </c>
      <c r="O64" s="197"/>
      <c r="P64" s="197"/>
      <c r="Q64" s="197"/>
      <c r="R64" s="197"/>
      <c r="S64" s="197"/>
      <c r="T64" s="197"/>
      <c r="U64" s="197"/>
      <c r="V64" s="197"/>
      <c r="W64" s="197"/>
      <c r="X64" s="197"/>
      <c r="Y64" s="197"/>
      <c r="Z64" s="197"/>
      <c r="AA64" s="197" t="str">
        <f>IF($I64="B1","",SUM(O64:Z64))</f>
        <v/>
      </c>
      <c r="AB64" s="198" t="str">
        <f>IF(AA64=0,"",IFERROR(AA64/AA$19,""))</f>
        <v/>
      </c>
      <c r="AC64" s="11"/>
      <c r="AD64" s="197"/>
      <c r="AE64" s="198" t="str">
        <f>IF(AD64=0,"",IFERROR(AD64/AD$19,""))</f>
        <v/>
      </c>
      <c r="AF64" s="199" t="str">
        <f>IF(AND($AA64="",AD64=""),"",$AA64-AD64)</f>
        <v/>
      </c>
      <c r="AG64" s="197"/>
      <c r="AH64" s="198" t="str">
        <f>IF(AG64=0,"",IFERROR(AG64/AG$19,""))</f>
        <v/>
      </c>
      <c r="AI64" s="199" t="str">
        <f>IF(AND($AA64="",AG64=""),"",$AA64-AG64)</f>
        <v/>
      </c>
      <c r="AJ64" s="397">
        <f>IFERROR(AA64/AA$20,0)</f>
        <v>0</v>
      </c>
      <c r="AK64" s="398">
        <f>IFERROR(AD64/AD$20,0)</f>
        <v>0</v>
      </c>
      <c r="AL64" s="399">
        <f>IFERROR(AG64/AG$20,0)</f>
        <v>0</v>
      </c>
      <c r="AM64" s="400">
        <f>+IFERROR(ROUND(($AB64-AE64)*100,2)&amp;" pts.",0)</f>
        <v>0</v>
      </c>
      <c r="AN64" s="401">
        <f>+IFERROR(ROUND(($AB64-AH64)*100,2)&amp;" pts.",0)</f>
        <v>0</v>
      </c>
      <c r="AO64" s="11"/>
    </row>
    <row r="65" spans="1:41" hidden="1" x14ac:dyDescent="0.35">
      <c r="A65" s="11" t="s">
        <v>105</v>
      </c>
      <c r="B65" s="11"/>
      <c r="C65" s="104" t="s">
        <v>101</v>
      </c>
      <c r="D65" s="11" t="s">
        <v>106</v>
      </c>
      <c r="E65" s="11"/>
      <c r="F65" s="11" t="s">
        <v>98</v>
      </c>
      <c r="G65" s="11"/>
      <c r="H65" s="88" t="s">
        <v>667</v>
      </c>
      <c r="I65" s="122" t="str">
        <f>IF(_epmOfflineCondition_,"",_xll.EVPRO($B$1,$H65,"STYLE"))</f>
        <v/>
      </c>
      <c r="J65" s="122" t="str">
        <f>IF(_epmOfflineCondition_,"",_xll.EVPRO($B$1,$H65,"CALC"))</f>
        <v/>
      </c>
      <c r="K65" s="179" t="str">
        <f>IF(AND(I65&gt;="T3"),"&gt;","")</f>
        <v/>
      </c>
      <c r="L65" s="90" t="str">
        <f>IF(_epmOfflineCondition_,"",_xll.EVPRO($B$1,H65,"JDEID"))</f>
        <v/>
      </c>
      <c r="M65" s="90" t="str">
        <f>IF(_epmOfflineCondition_,"",IF(AND(I65="N",J65="N"),_xll.EVPRO($B$1,H65,"PSFTID"),""))</f>
        <v/>
      </c>
      <c r="N65" s="90" t="str">
        <f>IF(_epmOfflineCondition_,"",IF(_xll.EVDES(H65,$B$1)="#NODATA","",_xll.EVDES(H65,$B$1)))</f>
        <v/>
      </c>
      <c r="O65" s="216"/>
      <c r="P65" s="216"/>
      <c r="Q65" s="216"/>
      <c r="R65" s="216"/>
      <c r="S65" s="216"/>
      <c r="T65" s="216"/>
      <c r="U65" s="216"/>
      <c r="V65" s="216"/>
      <c r="W65" s="216"/>
      <c r="X65" s="216"/>
      <c r="Y65" s="216"/>
      <c r="Z65" s="216"/>
      <c r="AA65" s="216">
        <f>IF($I65="B1","",SUM(O65:Z65))</f>
        <v>0</v>
      </c>
      <c r="AB65" s="218" t="str">
        <f>IF(AA65=0,"",IFERROR(AA65/AA$19,""))</f>
        <v/>
      </c>
      <c r="AC65" s="140"/>
      <c r="AD65" s="216"/>
      <c r="AE65" s="218" t="str">
        <f>IF(AD65=0,"",IFERROR(AD65/AD$19,""))</f>
        <v/>
      </c>
      <c r="AF65" s="233">
        <f>IF(AND($AA65="",AD65=""),"",$AA65-AD65)</f>
        <v>0</v>
      </c>
      <c r="AG65" s="216"/>
      <c r="AH65" s="218" t="str">
        <f>IF(AG65=0,"",IFERROR(AG65/AG$19,""))</f>
        <v/>
      </c>
      <c r="AI65" s="233">
        <f>IF(AND($AA65="",AG65=""),"",$AA65-AG65)</f>
        <v>0</v>
      </c>
      <c r="AJ65" s="449">
        <f>IFERROR(AA65/AA$20,0)</f>
        <v>0</v>
      </c>
      <c r="AK65" s="450">
        <f>IFERROR(AD65/AD$20,0)</f>
        <v>0</v>
      </c>
      <c r="AL65" s="451">
        <f>IFERROR(AG65/AG$20,0)</f>
        <v>0</v>
      </c>
      <c r="AM65" s="452">
        <f>+IFERROR(ROUND(($AB65-AE65)*100,2)&amp;" pts.",0)</f>
        <v>0</v>
      </c>
      <c r="AN65" s="453">
        <f>+IFERROR(ROUND(($AB65-AH65)*100,2)&amp;" pts.",0)</f>
        <v>0</v>
      </c>
      <c r="AO65" s="11"/>
    </row>
    <row r="66" spans="1:41" hidden="1" x14ac:dyDescent="0.35">
      <c r="A66" s="11" t="s">
        <v>108</v>
      </c>
      <c r="B66" s="11"/>
      <c r="C66" s="106" t="s">
        <v>101</v>
      </c>
      <c r="D66" s="11" t="s">
        <v>106</v>
      </c>
      <c r="E66" s="11"/>
      <c r="F66" s="11" t="s">
        <v>98</v>
      </c>
      <c r="G66" s="11"/>
      <c r="H66" s="88"/>
      <c r="I66" s="122" t="str">
        <f>IF(_epmOfflineCondition_,"",_xll.EVPRO($B$1,$H66,"STYLE"))</f>
        <v/>
      </c>
      <c r="J66" s="122" t="str">
        <f>IF(_epmOfflineCondition_,"",_xll.EVPRO($B$1,$H66,"CALC"))</f>
        <v/>
      </c>
      <c r="K66" s="179" t="str">
        <f>IF(AND(I66&gt;="T3"),"&gt;","")</f>
        <v/>
      </c>
      <c r="L66" s="90" t="str">
        <f>IF(_epmOfflineCondition_,"",_xll.EVPRO($B$1,H66,"JDEID"))</f>
        <v/>
      </c>
      <c r="M66" s="90" t="str">
        <f>IF(_epmOfflineCondition_,"",IF(AND(I66="N",J66="N"),_xll.EVPRO($B$1,H66,"PSFTID"),""))</f>
        <v/>
      </c>
      <c r="N66" s="90" t="str">
        <f>IF(_epmOfflineCondition_,"",IF(_xll.EVDES(H66,$B$1)="#NODATA","",_xll.EVDES(H66,$B$1)))</f>
        <v/>
      </c>
      <c r="O66" s="216"/>
      <c r="P66" s="216"/>
      <c r="Q66" s="216"/>
      <c r="R66" s="216"/>
      <c r="S66" s="216"/>
      <c r="T66" s="216"/>
      <c r="U66" s="216"/>
      <c r="V66" s="216"/>
      <c r="W66" s="216"/>
      <c r="X66" s="216"/>
      <c r="Y66" s="216"/>
      <c r="Z66" s="216"/>
      <c r="AA66" s="216">
        <f>IF($I66="B1","",SUM(O66:Z66))</f>
        <v>0</v>
      </c>
      <c r="AB66" s="218" t="str">
        <f>IF(AA66=0,"",IFERROR(AA66/AA$19,""))</f>
        <v/>
      </c>
      <c r="AC66" s="140"/>
      <c r="AD66" s="216"/>
      <c r="AE66" s="218" t="str">
        <f>IF(AD66=0,"",IFERROR(AD66/AD$19,""))</f>
        <v/>
      </c>
      <c r="AF66" s="233">
        <f>IF(AND($AA66="",AD66=""),"",$AA66-AD66)</f>
        <v>0</v>
      </c>
      <c r="AG66" s="216"/>
      <c r="AH66" s="218" t="str">
        <f>IF(AG66=0,"",IFERROR(AG66/AG$19,""))</f>
        <v/>
      </c>
      <c r="AI66" s="233">
        <f>IF(AND($AA66="",AG66=""),"",$AA66-AG66)</f>
        <v>0</v>
      </c>
      <c r="AJ66" s="449">
        <f>IFERROR(AA66/AA$20,0)</f>
        <v>0</v>
      </c>
      <c r="AK66" s="450">
        <f>IFERROR(AD66/AD$20,0)</f>
        <v>0</v>
      </c>
      <c r="AL66" s="451">
        <f>IFERROR(AG66/AG$20,0)</f>
        <v>0</v>
      </c>
      <c r="AM66" s="452">
        <f>+IFERROR(ROUND(($AB66-AE66)*100,2)&amp;" pts.",0)</f>
        <v>0</v>
      </c>
      <c r="AN66" s="453">
        <f>+IFERROR(ROUND(($AB66-AH66)*100,2)&amp;" pts.",0)</f>
        <v>0</v>
      </c>
      <c r="AO66" s="11"/>
    </row>
    <row r="67" spans="1:41" x14ac:dyDescent="0.35">
      <c r="A67" s="11" t="s">
        <v>108</v>
      </c>
      <c r="B67" s="11"/>
      <c r="C67" s="196" t="s">
        <v>101</v>
      </c>
      <c r="D67" s="11" t="s">
        <v>107</v>
      </c>
      <c r="E67" s="11"/>
      <c r="F67" s="11" t="s">
        <v>99</v>
      </c>
      <c r="G67" s="11"/>
      <c r="H67" s="11"/>
      <c r="I67" s="59"/>
      <c r="J67" s="59"/>
      <c r="K67" s="11"/>
      <c r="L67" s="11"/>
      <c r="M67" s="11"/>
      <c r="N67" s="11"/>
      <c r="O67" s="129"/>
      <c r="P67" s="130"/>
      <c r="Q67" s="130"/>
      <c r="R67" s="130"/>
      <c r="S67" s="130"/>
      <c r="T67" s="130"/>
      <c r="U67" s="130"/>
      <c r="V67" s="130"/>
      <c r="W67" s="130"/>
      <c r="X67" s="130"/>
      <c r="Y67" s="130"/>
      <c r="Z67" s="130"/>
      <c r="AA67" s="130"/>
      <c r="AB67" s="131"/>
      <c r="AC67" s="11"/>
      <c r="AD67" s="129"/>
      <c r="AE67" s="130"/>
      <c r="AF67" s="131"/>
      <c r="AG67" s="129"/>
      <c r="AH67" s="130"/>
      <c r="AI67" s="131"/>
      <c r="AJ67" s="11"/>
      <c r="AK67" s="11"/>
      <c r="AL67" s="11"/>
      <c r="AM67" s="11"/>
      <c r="AN67" s="11"/>
      <c r="AO67" s="11"/>
    </row>
    <row r="68" spans="1:41" x14ac:dyDescent="0.35">
      <c r="A68" s="11"/>
      <c r="B68" s="11"/>
      <c r="C68" s="11"/>
      <c r="D68" s="11"/>
      <c r="E68" s="11"/>
      <c r="F68" s="11"/>
      <c r="G68" s="11"/>
      <c r="H68" s="11" t="s">
        <v>82</v>
      </c>
      <c r="I68" s="59" t="str">
        <f>IF(_epmOfflineCondition_,"B1",_xll.EVPRO($B$1,$H68,"STYLE"))</f>
        <v>B1</v>
      </c>
      <c r="J68" s="59" t="str">
        <f>IF(_epmOfflineCondition_,"Y",_xll.EVPRO($B$1,$H68,"CALC"))</f>
        <v>Y</v>
      </c>
      <c r="K68" s="11"/>
      <c r="L68" s="11"/>
      <c r="M68" s="11"/>
      <c r="N68" s="105" t="str">
        <f>IF(_epmOfflineCondition_,"Other Expenses",IF(_xll.EVDES(H68,$B$1)="#NODATA","",_xll.EVDES(H68,$B$1)))</f>
        <v>Other Expenses</v>
      </c>
      <c r="O68" s="119"/>
      <c r="P68" s="120"/>
      <c r="Q68" s="120"/>
      <c r="R68" s="120"/>
      <c r="S68" s="120"/>
      <c r="T68" s="120"/>
      <c r="U68" s="120"/>
      <c r="V68" s="120"/>
      <c r="W68" s="120"/>
      <c r="X68" s="120"/>
      <c r="Y68" s="120"/>
      <c r="Z68" s="120"/>
      <c r="AA68" s="120"/>
      <c r="AB68" s="121"/>
      <c r="AC68" s="11"/>
      <c r="AD68" s="119"/>
      <c r="AE68" s="120"/>
      <c r="AF68" s="121"/>
      <c r="AG68" s="119"/>
      <c r="AH68" s="120"/>
      <c r="AI68" s="121"/>
      <c r="AJ68" s="11"/>
      <c r="AK68" s="11"/>
      <c r="AL68" s="11"/>
      <c r="AM68" s="11"/>
      <c r="AN68" s="11"/>
      <c r="AO68" s="11"/>
    </row>
    <row r="69" spans="1:41" hidden="1" x14ac:dyDescent="0.35">
      <c r="A69" s="11"/>
      <c r="B69" s="11"/>
      <c r="C69" s="208"/>
      <c r="D69" s="11"/>
      <c r="E69" s="11"/>
      <c r="F69" s="11"/>
      <c r="G69" s="11"/>
      <c r="H69" s="88" t="s">
        <v>667</v>
      </c>
      <c r="I69" s="122" t="str">
        <f>IF(_epmOfflineCondition_,"",_xll.EVPRO($B$1,$H69,"STYLE"))</f>
        <v/>
      </c>
      <c r="J69" s="122" t="str">
        <f>IF(_epmOfflineCondition_,"",_xll.EVPRO($B$1,$H69,"CALC"))</f>
        <v/>
      </c>
      <c r="K69" s="179" t="str">
        <f>IF(AND(I69&lt;&gt;"B1",J69="Y"),"&gt;","")</f>
        <v/>
      </c>
      <c r="L69" s="90" t="str">
        <f>IF(_epmOfflineCondition_,"",_xll.EVPRO($B$1,H69,"JDEID"))</f>
        <v/>
      </c>
      <c r="M69" s="90" t="str">
        <f>IF(_epmOfflineCondition_,"",IF(AND(I69="N",J69="N"),_xll.EVPRO($B$1,H69,"PSFTID"),""))</f>
        <v/>
      </c>
      <c r="N69" s="90" t="str">
        <f>IF(_epmOfflineCondition_,"",IF(_xll.EVDES(H69,$B$1)="#NODATA","",_xll.EVDES(H69,$B$1)))</f>
        <v/>
      </c>
      <c r="O69" s="143"/>
      <c r="P69" s="143"/>
      <c r="Q69" s="143"/>
      <c r="R69" s="143"/>
      <c r="S69" s="143"/>
      <c r="T69" s="143"/>
      <c r="U69" s="143"/>
      <c r="V69" s="143"/>
      <c r="W69" s="143"/>
      <c r="X69" s="143"/>
      <c r="Y69" s="143"/>
      <c r="Z69" s="143"/>
      <c r="AA69" s="143">
        <f>IF($I69="B1","",SUM(O69:Z69))</f>
        <v>0</v>
      </c>
      <c r="AB69" s="144" t="str">
        <f>IF(AA69=0,"",IFERROR(AA69/AA$19,""))</f>
        <v/>
      </c>
      <c r="AC69" s="140"/>
      <c r="AD69" s="143"/>
      <c r="AE69" s="144" t="str">
        <f>IF(AD69=0,"",IFERROR(AD69/AD$19,""))</f>
        <v/>
      </c>
      <c r="AF69" s="145">
        <f>IF(AND($AA69="",AD69=""),"",$AA69-AD69)</f>
        <v>0</v>
      </c>
      <c r="AG69" s="143"/>
      <c r="AH69" s="144" t="str">
        <f>IF(AG69=0,"",IFERROR(AG69/AG$19,""))</f>
        <v/>
      </c>
      <c r="AI69" s="145">
        <f>IF(AND($AA69="",AG69=""),"",$AA69-AG69)</f>
        <v>0</v>
      </c>
      <c r="AJ69" s="440">
        <f>IFERROR(AA69/AA$20,0)</f>
        <v>0</v>
      </c>
      <c r="AK69" s="441">
        <f>IFERROR(AD69/AD$20,0)</f>
        <v>0</v>
      </c>
      <c r="AL69" s="442">
        <f>IFERROR(AG69/AG$20,0)</f>
        <v>0</v>
      </c>
      <c r="AM69" s="443">
        <f>+IFERROR(ROUND(($AB69-AE69)*100,2)&amp;" pts.",0)</f>
        <v>0</v>
      </c>
      <c r="AN69" s="444">
        <f>+IFERROR(ROUND(($AB69-AH69)*100,2)&amp;" pts.",0)</f>
        <v>0</v>
      </c>
      <c r="AO69" s="11"/>
    </row>
    <row r="70" spans="1:41" hidden="1" x14ac:dyDescent="0.35">
      <c r="A70" s="61" t="str">
        <f>IF(_epmOfflineCondition_,"Evdre:Ok",_xll.EVDRE($B$1,A73:B80,A83:B89))</f>
        <v>Evdre:Ok</v>
      </c>
      <c r="B70" s="11"/>
      <c r="C70" s="11"/>
      <c r="D70" s="11"/>
      <c r="E70" s="11"/>
      <c r="F70" s="11"/>
      <c r="G70" s="11"/>
      <c r="H70" s="88"/>
      <c r="I70" s="122" t="str">
        <f>IF(_epmOfflineCondition_,"",_xll.EVPRO($B$1,$H70,"STYLE"))</f>
        <v/>
      </c>
      <c r="J70" s="122" t="str">
        <f>IF(_epmOfflineCondition_,"",_xll.EVPRO($B$1,$H70,"CALC"))</f>
        <v/>
      </c>
      <c r="K70" s="179" t="str">
        <f>IF(AND(I70&lt;&gt;"B1",J70="Y"),"&gt;","")</f>
        <v/>
      </c>
      <c r="L70" s="90" t="str">
        <f>IF(_epmOfflineCondition_,"",_xll.EVPRO($B$1,H70,"JDEID"))</f>
        <v/>
      </c>
      <c r="M70" s="90" t="str">
        <f>IF(_epmOfflineCondition_,"",IF(AND(I70="N",J70="N"),_xll.EVPRO($B$1,H70,"PSFTID"),""))</f>
        <v/>
      </c>
      <c r="N70" s="90" t="str">
        <f>IF(_epmOfflineCondition_,"",IF(_xll.EVDES(H70,$B$1)="#NODATA","",_xll.EVDES(H70,$B$1)))</f>
        <v/>
      </c>
      <c r="O70" s="143"/>
      <c r="P70" s="143"/>
      <c r="Q70" s="143"/>
      <c r="R70" s="143"/>
      <c r="S70" s="143"/>
      <c r="T70" s="143"/>
      <c r="U70" s="143"/>
      <c r="V70" s="143"/>
      <c r="W70" s="143"/>
      <c r="X70" s="143"/>
      <c r="Y70" s="143"/>
      <c r="Z70" s="143"/>
      <c r="AA70" s="143">
        <f>IF($I70="B1","",SUM(O70:Z70))</f>
        <v>0</v>
      </c>
      <c r="AB70" s="144" t="str">
        <f>IF(AA70=0,"",IFERROR(AA70/AA$19,""))</f>
        <v/>
      </c>
      <c r="AC70" s="140"/>
      <c r="AD70" s="143"/>
      <c r="AE70" s="144" t="str">
        <f>IF(AD70=0,"",IFERROR(AD70/AD$19,""))</f>
        <v/>
      </c>
      <c r="AF70" s="145">
        <f>IF(AND($AA70="",AD70=""),"",$AA70-AD70)</f>
        <v>0</v>
      </c>
      <c r="AG70" s="143"/>
      <c r="AH70" s="144" t="str">
        <f>IF(AG70=0,"",IFERROR(AG70/AG$19,""))</f>
        <v/>
      </c>
      <c r="AI70" s="145">
        <f>IF(AND($AA70="",AG70=""),"",$AA70-AG70)</f>
        <v>0</v>
      </c>
      <c r="AJ70" s="440">
        <f>IFERROR(AA70/AA$20,0)</f>
        <v>0</v>
      </c>
      <c r="AK70" s="441">
        <f>IFERROR(AD70/AD$20,0)</f>
        <v>0</v>
      </c>
      <c r="AL70" s="442">
        <f>IFERROR(AG70/AG$20,0)</f>
        <v>0</v>
      </c>
      <c r="AM70" s="443">
        <f>+IFERROR(ROUND(($AB70-AE70)*100,2)&amp;" pts.",0)</f>
        <v>0</v>
      </c>
      <c r="AN70" s="444">
        <f>+IFERROR(ROUND(($AB70-AH70)*100,2)&amp;" pts.",0)</f>
        <v>0</v>
      </c>
      <c r="AO70" s="11"/>
    </row>
    <row r="71" spans="1:41" x14ac:dyDescent="0.35">
      <c r="A71" s="11"/>
      <c r="B71" s="11"/>
      <c r="C71" s="11"/>
      <c r="D71" s="11"/>
      <c r="E71" s="11"/>
      <c r="F71" s="11"/>
      <c r="G71" s="11"/>
      <c r="H71" s="88" t="s">
        <v>79</v>
      </c>
      <c r="I71" s="136" t="str">
        <f>IF(_epmOfflineCondition_,"T3",_xll.EVPRO($B$1,$H71,"STYLE"))</f>
        <v>T3</v>
      </c>
      <c r="J71" s="136" t="str">
        <f>IF(_epmOfflineCondition_,"Y",_xll.EVPRO($B$1,$H71,"CALC"))</f>
        <v>Y</v>
      </c>
      <c r="K71" s="104"/>
      <c r="L71" s="104"/>
      <c r="M71" s="104"/>
      <c r="N71" s="106" t="str">
        <f>IF(_epmOfflineCondition_,"Total Operations Expense",IF(_xll.EVDES(H71,$B$1)="#NODATA","",_xll.EVDES(H71,$B$1)))</f>
        <v>Total Operations Expense</v>
      </c>
      <c r="O71" s="154"/>
      <c r="P71" s="154"/>
      <c r="Q71" s="154"/>
      <c r="R71" s="154"/>
      <c r="S71" s="154"/>
      <c r="T71" s="154"/>
      <c r="U71" s="154"/>
      <c r="V71" s="154"/>
      <c r="W71" s="154"/>
      <c r="X71" s="154"/>
      <c r="Y71" s="154"/>
      <c r="Z71" s="154"/>
      <c r="AA71" s="154">
        <f>IF($I71="B1","",SUM(O71:Z71))</f>
        <v>0</v>
      </c>
      <c r="AB71" s="155" t="str">
        <f>IF(AA71=0,"",IFERROR(AA71/AA$19,""))</f>
        <v/>
      </c>
      <c r="AC71" s="140"/>
      <c r="AD71" s="154"/>
      <c r="AE71" s="155" t="str">
        <f>IF(AD71=0,"",IFERROR(AD71/AD$19,""))</f>
        <v/>
      </c>
      <c r="AF71" s="156">
        <f>IF(AND($AA71="",AD71=""),"",$AA71-AD71)</f>
        <v>0</v>
      </c>
      <c r="AG71" s="154"/>
      <c r="AH71" s="155" t="str">
        <f>IF(AG71=0,"",IFERROR(AG71/AG$19,""))</f>
        <v/>
      </c>
      <c r="AI71" s="156">
        <f>IF(AND($AA71="",AG71=""),"",$AA71-AG71)</f>
        <v>0</v>
      </c>
      <c r="AJ71" s="466">
        <f>IFERROR(AA71/AA$20,0)</f>
        <v>0</v>
      </c>
      <c r="AK71" s="467">
        <f>IFERROR(AD71/AD$20,0)</f>
        <v>0</v>
      </c>
      <c r="AL71" s="468">
        <f>IFERROR(AG71/AG$20,0)</f>
        <v>0</v>
      </c>
      <c r="AM71" s="469">
        <f>+IFERROR(ROUND(($AB71-AE71)*100,2)&amp;" pts.",0)</f>
        <v>0</v>
      </c>
      <c r="AN71" s="555">
        <f>+IFERROR(ROUND(($AB71-AH71)*100,2)&amp;" pts.",0)</f>
        <v>0</v>
      </c>
      <c r="AO71" s="11"/>
    </row>
    <row r="72" spans="1:41" x14ac:dyDescent="0.35">
      <c r="A72" s="62" t="s">
        <v>0</v>
      </c>
      <c r="B72" s="63" t="s">
        <v>1</v>
      </c>
      <c r="C72" s="11"/>
      <c r="D72" s="11"/>
      <c r="E72" s="11"/>
      <c r="F72" s="11"/>
      <c r="G72" s="11"/>
      <c r="H72" s="11"/>
      <c r="I72" s="59"/>
      <c r="J72" s="59"/>
      <c r="K72" s="11"/>
      <c r="L72" s="11"/>
      <c r="M72" s="11"/>
      <c r="N72" s="11"/>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1"/>
    </row>
    <row r="73" spans="1:41" x14ac:dyDescent="0.35">
      <c r="A73" s="65" t="s">
        <v>2</v>
      </c>
      <c r="B73" s="66" t="str">
        <f>IF(_epmOfflineCondition_,"'Retail'!$B$2:$B$10",_xll.EVRNG($B$2:$B$10))</f>
        <v>'Retail'!$B$2:$B$10</v>
      </c>
      <c r="C73" s="11"/>
      <c r="D73" s="11"/>
      <c r="E73" s="11"/>
      <c r="F73" s="11"/>
      <c r="G73" s="11"/>
      <c r="H73" s="88" t="s">
        <v>80</v>
      </c>
      <c r="I73" s="136" t="str">
        <f>IF(_epmOfflineCondition_,"T3",_xll.EVPRO($B$1,$H73,"STYLE"))</f>
        <v>T3</v>
      </c>
      <c r="J73" s="136" t="str">
        <f>IF(_epmOfflineCondition_,"Y",_xll.EVPRO($B$1,$H73,"CALC"))</f>
        <v>Y</v>
      </c>
      <c r="K73" s="106"/>
      <c r="L73" s="106"/>
      <c r="M73" s="106"/>
      <c r="N73" s="106" t="str">
        <f>IF(_epmOfflineCondition_,"Total Expenses",IF(_xll.EVDES(H73,$B$1)="#NODATA","",_xll.EVDES(H73,$B$1)))</f>
        <v>Total Expenses</v>
      </c>
      <c r="O73" s="238"/>
      <c r="P73" s="238"/>
      <c r="Q73" s="238"/>
      <c r="R73" s="238"/>
      <c r="S73" s="238"/>
      <c r="T73" s="238"/>
      <c r="U73" s="238"/>
      <c r="V73" s="238"/>
      <c r="W73" s="238"/>
      <c r="X73" s="238"/>
      <c r="Y73" s="238"/>
      <c r="Z73" s="238"/>
      <c r="AA73" s="238">
        <f>IF($I73="B1","",SUM(O73:Z73))</f>
        <v>0</v>
      </c>
      <c r="AB73" s="239" t="str">
        <f>IF(AA73=0,"",IFERROR(AA73/AA$19,""))</f>
        <v/>
      </c>
      <c r="AC73" s="140"/>
      <c r="AD73" s="238"/>
      <c r="AE73" s="239" t="str">
        <f>IF(AD73=0,"",IFERROR(AD73/AD$19,""))</f>
        <v/>
      </c>
      <c r="AF73" s="254">
        <f>IF(AND($AA73="",AD73=""),"",$AA73-AD73)</f>
        <v>0</v>
      </c>
      <c r="AG73" s="255"/>
      <c r="AH73" s="256" t="str">
        <f>IF(AG73=0,"",IFERROR(AG73/AG$19,""))</f>
        <v/>
      </c>
      <c r="AI73" s="254">
        <f>IF(AND($AA73="",AG73=""),"",$AA73-AG73)</f>
        <v>0</v>
      </c>
      <c r="AJ73" s="472">
        <f>IFERROR(AA73/AA$20,0)</f>
        <v>0</v>
      </c>
      <c r="AK73" s="473">
        <f>IFERROR(AD73/AD$20,0)</f>
        <v>0</v>
      </c>
      <c r="AL73" s="474">
        <f>IFERROR(AG73/AG$20,0)</f>
        <v>0</v>
      </c>
      <c r="AM73" s="475">
        <f>+IFERROR(ROUND(($AB73-AE73)*100,2)&amp;" pts.",0)</f>
        <v>0</v>
      </c>
      <c r="AN73" s="556">
        <f>+IFERROR(ROUND(($AB73-AH73)*100,2)&amp;" pts.",0)</f>
        <v>0</v>
      </c>
      <c r="AO73" s="11"/>
    </row>
    <row r="74" spans="1:41" ht="15" thickBot="1" x14ac:dyDescent="0.4">
      <c r="A74" s="65" t="s">
        <v>3</v>
      </c>
      <c r="B74" s="66" t="str">
        <f>IF(_epmOfflineCondition_,"'Retail'!$O$16:$AN$18",_xll.EVRNG($O$16:$AN$18))</f>
        <v>'Retail'!$O$16:$AN$18</v>
      </c>
      <c r="C74" s="11"/>
      <c r="D74" s="11"/>
      <c r="E74" s="11"/>
      <c r="F74" s="11"/>
      <c r="G74" s="11"/>
      <c r="H74" s="88" t="s">
        <v>81</v>
      </c>
      <c r="I74" s="136" t="str">
        <f>IF(_epmOfflineCondition_,"T3",_xll.EVPRO($B$1,$H74,"STYLE"))</f>
        <v>T3</v>
      </c>
      <c r="J74" s="136" t="str">
        <f>IF(_epmOfflineCondition_,"Y",_xll.EVPRO($B$1,$H74,"CALC"))</f>
        <v>Y</v>
      </c>
      <c r="K74" s="106"/>
      <c r="L74" s="106"/>
      <c r="M74" s="106"/>
      <c r="N74" s="106" t="str">
        <f>IF(_epmOfflineCondition_,"Department Profit (Loss)",IF(_xll.EVDES(H74,$B$1)="#NODATA","",_xll.EVDES(H74,$B$1)))</f>
        <v>Department Profit (Loss)</v>
      </c>
      <c r="O74" s="169"/>
      <c r="P74" s="169"/>
      <c r="Q74" s="169"/>
      <c r="R74" s="169"/>
      <c r="S74" s="169"/>
      <c r="T74" s="169"/>
      <c r="U74" s="169"/>
      <c r="V74" s="169"/>
      <c r="W74" s="169"/>
      <c r="X74" s="169"/>
      <c r="Y74" s="169"/>
      <c r="Z74" s="169"/>
      <c r="AA74" s="169">
        <f>IF($I74="B1","",SUM(O74:Z74))</f>
        <v>0</v>
      </c>
      <c r="AB74" s="170" t="str">
        <f>IF(AA74=0,"",IFERROR(AA74/AA$19,""))</f>
        <v/>
      </c>
      <c r="AC74" s="140"/>
      <c r="AD74" s="169"/>
      <c r="AE74" s="170" t="str">
        <f>IF(AD74=0,"",IFERROR(AD74/AD$19,""))</f>
        <v/>
      </c>
      <c r="AF74" s="171">
        <f>IF(AND($AA74="",AD74=""),"",$AA74-AD74)</f>
        <v>0</v>
      </c>
      <c r="AG74" s="169"/>
      <c r="AH74" s="170" t="str">
        <f>IF(AG74=0,"",IFERROR(AG74/AG$19,""))</f>
        <v/>
      </c>
      <c r="AI74" s="171">
        <f>IF(AND($AA74="",AG74=""),"",$AA74-AG74)</f>
        <v>0</v>
      </c>
      <c r="AJ74" s="477">
        <f>IFERROR(AA74/AA$20,0)</f>
        <v>0</v>
      </c>
      <c r="AK74" s="478">
        <f>IFERROR(AD74/AD$20,0)</f>
        <v>0</v>
      </c>
      <c r="AL74" s="479">
        <f>IFERROR(AG74/AG$20,0)</f>
        <v>0</v>
      </c>
      <c r="AM74" s="480">
        <f>+IFERROR(ROUND(($AB74-AE74)*100,2)&amp;" pts.",0)</f>
        <v>0</v>
      </c>
      <c r="AN74" s="557">
        <f>+IFERROR(ROUND(($AB74-AH74)*100,2)&amp;" pts.",0)</f>
        <v>0</v>
      </c>
      <c r="AO74" s="11"/>
    </row>
    <row r="75" spans="1:41" ht="15" thickTop="1" x14ac:dyDescent="0.35">
      <c r="A75" s="65" t="s">
        <v>4</v>
      </c>
      <c r="B75" s="66" t="str">
        <f>IF(_epmOfflineCondition_,"'Retail'!$H$62:$H$63,'Retail'!$H$65:$H$66,'Retail'!$H$69:$H$70",_xll.EVRNG(H62:H63,H65:H66,H69:H70))</f>
        <v>'Retail'!$H$62:$H$63,'Retail'!$H$65:$H$66,'Retail'!$H$69:$H$70</v>
      </c>
      <c r="C75" s="11"/>
      <c r="D75" s="11"/>
      <c r="E75" s="11"/>
      <c r="F75" s="11"/>
      <c r="G75" s="11"/>
      <c r="H75" s="11"/>
      <c r="I75" s="59"/>
      <c r="J75" s="5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5</v>
      </c>
      <c r="B76" s="66"/>
      <c r="C76" s="11"/>
      <c r="D76" s="11"/>
      <c r="E76" s="11"/>
      <c r="F76" s="11"/>
      <c r="G76" s="11"/>
      <c r="H76" s="11"/>
      <c r="I76" s="59"/>
      <c r="J76" s="59"/>
      <c r="K76" s="11"/>
      <c r="L76" s="11"/>
      <c r="M76" s="11"/>
      <c r="N76" s="104" t="str">
        <f>N73&amp;" - Check"</f>
        <v>Total Expenses - Check</v>
      </c>
      <c r="O76" s="209">
        <f t="shared" ref="O76:AA76" si="22">SUMIF($H$34:$H$74,"600000",O$34:O$74)+SUMIF($H$34:$H$74,"700000",O$34:O$74)-SUMIF($H$34:$H$74,"TOTDEPTEXP",O$34:O$74)</f>
        <v>0</v>
      </c>
      <c r="P76" s="209">
        <f t="shared" si="22"/>
        <v>0</v>
      </c>
      <c r="Q76" s="209">
        <f t="shared" si="22"/>
        <v>0</v>
      </c>
      <c r="R76" s="209">
        <f t="shared" si="22"/>
        <v>0</v>
      </c>
      <c r="S76" s="209">
        <f t="shared" si="22"/>
        <v>0</v>
      </c>
      <c r="T76" s="209">
        <f t="shared" si="22"/>
        <v>0</v>
      </c>
      <c r="U76" s="209">
        <f t="shared" si="22"/>
        <v>0</v>
      </c>
      <c r="V76" s="209">
        <f t="shared" si="22"/>
        <v>0</v>
      </c>
      <c r="W76" s="209">
        <f t="shared" si="22"/>
        <v>0</v>
      </c>
      <c r="X76" s="209">
        <f t="shared" si="22"/>
        <v>0</v>
      </c>
      <c r="Y76" s="209">
        <f t="shared" si="22"/>
        <v>0</v>
      </c>
      <c r="Z76" s="209">
        <f t="shared" si="22"/>
        <v>0</v>
      </c>
      <c r="AA76" s="209">
        <f t="shared" si="22"/>
        <v>0</v>
      </c>
      <c r="AB76" s="100"/>
      <c r="AC76" s="11"/>
      <c r="AD76" s="209">
        <f>SUMIF($H$34:$H$74,"600000",AD$34:AD$74)+SUMIF($H$34:$H$74,"700000",AD$34:AD$74)-SUMIF($H$34:$H$74,"TOTDEPTEXP",AD$34:AD$74)</f>
        <v>0</v>
      </c>
      <c r="AE76" s="100"/>
      <c r="AF76" s="91"/>
      <c r="AG76" s="209">
        <f>SUMIF($H$34:$H$74,"600000",AG$34:AG$74)+SUMIF($H$34:$H$74,"700000",AG$34:AG$74)-SUMIF($H$34:$H$74,"TOTDEPTEXP",AG$34:AG$74)</f>
        <v>0</v>
      </c>
      <c r="AH76" s="100"/>
      <c r="AI76" s="91"/>
      <c r="AJ76" s="11"/>
      <c r="AK76" s="11"/>
      <c r="AL76" s="11"/>
      <c r="AM76" s="11"/>
      <c r="AN76" s="11"/>
      <c r="AO76" s="11"/>
    </row>
    <row r="77" spans="1:41" x14ac:dyDescent="0.35">
      <c r="A77" s="65" t="s">
        <v>6</v>
      </c>
      <c r="B77" s="66"/>
      <c r="C77" s="11"/>
      <c r="D77" s="11"/>
      <c r="E77" s="11"/>
      <c r="F77" s="11"/>
      <c r="G77" s="11"/>
      <c r="H77" s="11"/>
      <c r="I77" s="59"/>
      <c r="J77" s="59"/>
      <c r="K77" s="11"/>
      <c r="L77" s="11"/>
      <c r="M77" s="11"/>
      <c r="N77" s="104" t="str">
        <f>N74&amp;" - Check"</f>
        <v>Department Profit (Loss) - Check</v>
      </c>
      <c r="O77" s="209">
        <f t="shared" ref="O77:AA77" si="23">SUMIF($H$34:$H$74,"KPI_GP",O$34:O$74)-SUMIF($H$34:$H$74,"TOTDEPTEXP",O$34:O$74)-SUMIF($H$34:$H$74,"TOTDEPTPL",O$34:O$74)</f>
        <v>0</v>
      </c>
      <c r="P77" s="209">
        <f t="shared" si="23"/>
        <v>0</v>
      </c>
      <c r="Q77" s="209">
        <f t="shared" si="23"/>
        <v>0</v>
      </c>
      <c r="R77" s="209">
        <f t="shared" si="23"/>
        <v>0</v>
      </c>
      <c r="S77" s="209">
        <f t="shared" si="23"/>
        <v>0</v>
      </c>
      <c r="T77" s="209">
        <f t="shared" si="23"/>
        <v>0</v>
      </c>
      <c r="U77" s="209">
        <f t="shared" si="23"/>
        <v>0</v>
      </c>
      <c r="V77" s="209">
        <f t="shared" si="23"/>
        <v>0</v>
      </c>
      <c r="W77" s="209">
        <f t="shared" si="23"/>
        <v>0</v>
      </c>
      <c r="X77" s="209">
        <f t="shared" si="23"/>
        <v>0</v>
      </c>
      <c r="Y77" s="209">
        <f t="shared" si="23"/>
        <v>0</v>
      </c>
      <c r="Z77" s="209">
        <f t="shared" si="23"/>
        <v>0</v>
      </c>
      <c r="AA77" s="209">
        <f t="shared" si="23"/>
        <v>0</v>
      </c>
      <c r="AB77" s="100"/>
      <c r="AC77" s="11"/>
      <c r="AD77" s="209">
        <f>SUMIF($H$34:$H$74,"KPI_GP",AD$34:AD$74)-SUMIF($H$34:$H$74,"TOTDEPTEXP",AD$34:AD$74)-SUMIF($H$34:$H$74,"TOTDEPTPL",AD$34:AD$74)</f>
        <v>0</v>
      </c>
      <c r="AE77" s="100"/>
      <c r="AF77" s="91"/>
      <c r="AG77" s="209">
        <f>SUMIF($H$34:$H$74,"KPI_GP",AG$34:AG$74)-SUMIF($H$34:$H$74,"TOTDEPTEXP",AG$34:AG$74)-SUMIF($H$34:$H$74,"TOTDEPTPL",AG$34:AG$74)</f>
        <v>0</v>
      </c>
      <c r="AH77" s="100"/>
      <c r="AI77" s="91"/>
      <c r="AJ77" s="11"/>
      <c r="AK77" s="11"/>
      <c r="AL77" s="11"/>
      <c r="AM77" s="11"/>
      <c r="AN77" s="11"/>
      <c r="AO77" s="11"/>
    </row>
    <row r="78" spans="1:41" x14ac:dyDescent="0.35">
      <c r="A78" s="65" t="s">
        <v>7</v>
      </c>
      <c r="B78" s="66" t="str">
        <f>IF(_epmOfflineCondition_,"'Retail'!$A$92:$F$98",_xll.EVRNG(A92:F98))</f>
        <v>'Retail'!$A$92:$F$98</v>
      </c>
      <c r="C78" s="11"/>
      <c r="D78" s="11"/>
      <c r="E78" s="11"/>
      <c r="F78" s="11"/>
      <c r="G78" s="11"/>
      <c r="H78" s="11"/>
      <c r="I78" s="59"/>
      <c r="J78" s="59"/>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47</v>
      </c>
      <c r="B79" s="66" t="str">
        <f>IF(_epmOfflineCondition_,"'Retail'!$A$115:$B$136",_xll.EVRNG($A$115:$B$136))</f>
        <v>'Retail'!$A$115:$B$136</v>
      </c>
      <c r="C79" s="11"/>
      <c r="D79" s="11"/>
      <c r="E79" s="11"/>
      <c r="F79" s="11"/>
      <c r="G79" s="11"/>
      <c r="H79" s="11"/>
      <c r="I79" s="59"/>
      <c r="J79" s="59"/>
      <c r="K79" s="11"/>
      <c r="L79" s="11"/>
      <c r="M79" s="11"/>
      <c r="N79" s="11"/>
      <c r="O79" s="137"/>
      <c r="P79" s="137"/>
      <c r="Q79" s="137"/>
      <c r="R79" s="137"/>
      <c r="S79" s="137"/>
      <c r="T79" s="137"/>
      <c r="U79" s="137"/>
      <c r="V79" s="137"/>
      <c r="W79" s="137"/>
      <c r="X79" s="137"/>
      <c r="Y79" s="137"/>
      <c r="Z79" s="137"/>
      <c r="AA79" s="137"/>
      <c r="AB79" s="11"/>
      <c r="AC79" s="11"/>
      <c r="AD79" s="137"/>
      <c r="AE79" s="11"/>
      <c r="AF79" s="11"/>
      <c r="AG79" s="137"/>
      <c r="AH79" s="11"/>
      <c r="AI79" s="11"/>
      <c r="AJ79" s="11"/>
      <c r="AK79" s="11"/>
      <c r="AL79" s="11"/>
      <c r="AM79" s="11"/>
      <c r="AN79" s="11"/>
      <c r="AO79" s="11"/>
    </row>
    <row r="80" spans="1:41" x14ac:dyDescent="0.35">
      <c r="A80" s="65" t="s">
        <v>8</v>
      </c>
      <c r="B80" s="66"/>
      <c r="C80" s="11"/>
      <c r="D80" s="11"/>
      <c r="E80" s="11"/>
      <c r="F80" s="11"/>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11"/>
      <c r="I81" s="59"/>
      <c r="J81" s="59"/>
      <c r="K81" s="11"/>
      <c r="L81" s="11"/>
      <c r="M81" s="11"/>
      <c r="N81" s="11"/>
      <c r="O81" s="137"/>
      <c r="P81" s="137"/>
      <c r="Q81" s="137"/>
      <c r="R81" s="137"/>
      <c r="S81" s="137"/>
      <c r="T81" s="137"/>
      <c r="U81" s="137"/>
      <c r="V81" s="137"/>
      <c r="W81" s="137"/>
      <c r="X81" s="137"/>
      <c r="Y81" s="137"/>
      <c r="Z81" s="137"/>
      <c r="AA81" s="137"/>
      <c r="AB81" s="11"/>
      <c r="AC81" s="11"/>
      <c r="AD81" s="137"/>
      <c r="AE81" s="11"/>
      <c r="AF81" s="11"/>
      <c r="AG81" s="137"/>
      <c r="AH81" s="11"/>
      <c r="AI81" s="11"/>
      <c r="AJ81" s="11"/>
      <c r="AK81" s="11"/>
      <c r="AL81" s="11"/>
      <c r="AM81" s="11"/>
      <c r="AN81" s="11"/>
      <c r="AO81" s="11"/>
    </row>
    <row r="82" spans="1:41" x14ac:dyDescent="0.35">
      <c r="A82" s="62" t="s">
        <v>9</v>
      </c>
      <c r="B82" s="63" t="s">
        <v>10</v>
      </c>
      <c r="C82" s="11"/>
      <c r="D82" s="11"/>
      <c r="E82" s="11"/>
      <c r="F82" s="11"/>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11</v>
      </c>
      <c r="B83" s="66" t="s">
        <v>21</v>
      </c>
      <c r="C83" s="11"/>
      <c r="D83" s="11"/>
      <c r="E83" s="11"/>
      <c r="F83" s="11"/>
      <c r="G83" s="11"/>
      <c r="H83" s="11"/>
      <c r="I83" s="59"/>
      <c r="J83" s="59"/>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12</v>
      </c>
      <c r="B84" s="66" t="s">
        <v>22</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13</v>
      </c>
      <c r="B85" s="66" t="s">
        <v>737</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14</v>
      </c>
      <c r="B86" s="66"/>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15</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16</v>
      </c>
      <c r="B88" s="66" t="s">
        <v>78</v>
      </c>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17</v>
      </c>
      <c r="B89" s="66"/>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97" t="s">
        <v>92</v>
      </c>
      <c r="B91" s="98" t="s">
        <v>93</v>
      </c>
      <c r="C91" s="98" t="s">
        <v>94</v>
      </c>
      <c r="D91" s="98" t="s">
        <v>95</v>
      </c>
      <c r="E91" s="98" t="s">
        <v>96</v>
      </c>
      <c r="F91" s="99" t="s">
        <v>97</v>
      </c>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t="s">
        <v>108</v>
      </c>
      <c r="B93" s="11"/>
      <c r="C93" s="104" t="s">
        <v>101</v>
      </c>
      <c r="D93" s="11" t="s">
        <v>106</v>
      </c>
      <c r="E93" s="11"/>
      <c r="F93" s="11" t="s">
        <v>98</v>
      </c>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100</v>
      </c>
      <c r="B94" s="11"/>
      <c r="C94" s="53"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109</v>
      </c>
      <c r="B95" s="11"/>
      <c r="C95" s="106"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96" t="s">
        <v>101</v>
      </c>
      <c r="D96" s="11" t="s">
        <v>107</v>
      </c>
      <c r="E96" s="11"/>
      <c r="F96" s="11" t="s">
        <v>99</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110</v>
      </c>
      <c r="B97" s="11"/>
      <c r="C97" s="106" t="s">
        <v>101</v>
      </c>
      <c r="D97" s="11" t="s">
        <v>106</v>
      </c>
      <c r="E97" s="11"/>
      <c r="F97" s="11" t="s">
        <v>98</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9" t="s">
        <v>101</v>
      </c>
      <c r="D98" s="11" t="s">
        <v>107</v>
      </c>
      <c r="E98" s="11"/>
      <c r="F98" s="11" t="s">
        <v>99</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208"/>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1" t="str">
        <f>IF(_epmOfflineCondition_,"Evdre:Ok",_xll.EVDRE($B$1,A104:B111))</f>
        <v>Evdre:Ok</v>
      </c>
      <c r="B101" s="11" t="s">
        <v>736</v>
      </c>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62" t="s">
        <v>0</v>
      </c>
      <c r="B103" s="63" t="s">
        <v>1</v>
      </c>
      <c r="C103" s="11"/>
      <c r="D103" s="11"/>
      <c r="E103" s="11"/>
      <c r="F103" s="11"/>
      <c r="G103" s="76"/>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5" t="s">
        <v>2</v>
      </c>
      <c r="B104" s="66" t="str">
        <f>IF(_epmOfflineCondition_,"'Retail'!$B$2:$B$10",_xll.EVRNG($B$2:$B$10))</f>
        <v>'Retail'!$B$2:$B$10</v>
      </c>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3</v>
      </c>
      <c r="B105" s="66" t="str">
        <f>IF(_epmOfflineCondition_,"'Retail'!$O$16:$AN$18",_xll.EVRNG($O$16:$AN$18))</f>
        <v>'Retail'!$O$16:$AN$18</v>
      </c>
      <c r="C105" s="11"/>
      <c r="D105" s="11"/>
      <c r="E105" s="11"/>
      <c r="F105" s="11"/>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4</v>
      </c>
      <c r="B106" s="66" t="str">
        <f>IF(_epmOfflineCondition_,"'Retail'!$H$71:$H$74",_xll.EVRNG(H71:H74))</f>
        <v>'Retail'!$H$71:$H$74</v>
      </c>
      <c r="C106" s="11"/>
      <c r="D106" s="11"/>
      <c r="E106" s="11"/>
      <c r="F106" s="11"/>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5</v>
      </c>
      <c r="B107" s="66"/>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6</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7</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47</v>
      </c>
      <c r="B110" s="66" t="str">
        <f>IF(_epmOfflineCondition_,"'Retail'!$A$115:$B$136",_xll.EVRNG($A$115:$B$136))</f>
        <v>'Retail'!$A$115:$B$136</v>
      </c>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8</v>
      </c>
      <c r="B111" s="66"/>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2" t="s">
        <v>23</v>
      </c>
      <c r="B114" s="63" t="s">
        <v>24</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25</v>
      </c>
      <c r="B115" s="66"/>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26</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27</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28</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29</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30</v>
      </c>
      <c r="B120" s="66" t="s">
        <v>78</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31</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32</v>
      </c>
      <c r="B122" s="66"/>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33</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34</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40</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41</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267"/>
      <c r="J147" s="11"/>
      <c r="K147" s="267"/>
      <c r="L147" s="267"/>
      <c r="M147" s="267"/>
      <c r="N147" s="11"/>
      <c r="O147" s="267"/>
      <c r="P147" s="267"/>
      <c r="Q147" s="267"/>
      <c r="R147" s="267"/>
      <c r="S147" s="267"/>
      <c r="T147" s="267"/>
      <c r="U147" s="267"/>
      <c r="V147" s="267"/>
      <c r="W147" s="267"/>
      <c r="X147" s="267"/>
      <c r="Y147" s="267"/>
      <c r="Z147" s="267"/>
      <c r="AA147" s="267"/>
      <c r="AB147" s="11"/>
      <c r="AC147" s="11"/>
      <c r="AD147" s="267"/>
      <c r="AE147" s="11"/>
      <c r="AF147" s="267"/>
      <c r="AG147" s="11"/>
      <c r="AH147" s="267"/>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267"/>
      <c r="J151" s="11"/>
      <c r="K151" s="267"/>
      <c r="L151" s="267"/>
      <c r="M151" s="267"/>
      <c r="N151" s="11"/>
      <c r="O151" s="267"/>
      <c r="P151" s="267"/>
      <c r="Q151" s="267"/>
      <c r="R151" s="267"/>
      <c r="S151" s="267"/>
      <c r="T151" s="267"/>
      <c r="U151" s="267"/>
      <c r="V151" s="267"/>
      <c r="W151" s="267"/>
      <c r="X151" s="267"/>
      <c r="Y151" s="267"/>
      <c r="Z151" s="267"/>
      <c r="AA151" s="267"/>
      <c r="AB151" s="11"/>
      <c r="AC151" s="11"/>
      <c r="AD151" s="267"/>
      <c r="AE151" s="11"/>
      <c r="AF151" s="267"/>
      <c r="AG151" s="11"/>
      <c r="AH151" s="267"/>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267"/>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267"/>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Ci2PDbO+m+DBnKEpQO0yGnt6END8dj1fqjrrUnx5F5x519MIQ4lk+S4XhCozNrTkeITcvtafrKMyXSxSh5gyqg==" saltValue="DXmoGpW9q3Tx7uMZXHH+ag==" spinCount="100000" sheet="1" scenarios="1"/>
  <mergeCells count="2">
    <mergeCell ref="AD31:AE31"/>
    <mergeCell ref="AG31:AH31"/>
  </mergeCells>
  <dataValidations disablePrompts="1" count="2">
    <dataValidation type="list" allowBlank="1" sqref="B85 B29 B57" xr:uid="{00000000-0002-0000-2200-000000000000}">
      <formula1>"SELF,ALL,BAS,DEP,BASMEMBERS,MEMBERS,NOEXPAND,GDEP"</formula1>
    </dataValidation>
    <dataValidation type="list" allowBlank="1" sqref="B56 B28 B84" xr:uid="{00000000-0002-0000-2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789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7896" r:id="rId7" name="FPMExcelClientSheetOptionstb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9">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406</v>
      </c>
      <c r="C6" s="11" t="str">
        <f>IF(_epmOfflineCondition_,"Food &amp; Beverage Retail Shop",_xll.EVDES(B6,$B$1))</f>
        <v>Food &amp; Beverage Retail Shop</v>
      </c>
      <c r="D6" s="11"/>
      <c r="E6" s="58" t="str">
        <f>IF(_epmOfflineCondition_,"D2149",_xll.EVPRO($B$1,$B$6,$F$6))</f>
        <v>D2149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IF(_epmOfflineCondition_,"'FB_Retail'!$B$2:$B$10",_xll.EVRNG($B$2:$B$10))</f>
        <v>'FB_Retail'!$B$2:$B$10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IF(_epmOfflineCondition_,"'FB_Retail'!$O$16:$AN$18",_xll.EVRNG($O$16:$AN$18))</f>
        <v>'FB_Retail'!$O$16:$AN$18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IF(_epmOfflineCondition_,"'FB_Retail'!$H$34:$H$43",_xll.EVRNG(H34:H43))</f>
        <v>'FB_Retail'!$H$34:$H$43</v>
      </c>
      <c r="C19" s="11"/>
      <c r="D19" s="11"/>
      <c r="E19" s="11"/>
      <c r="F19" s="11"/>
      <c r="G19" s="67" t="str">
        <f>$B$6</f>
        <v>D2149</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IF(_epmOfflineCondition_,"'FB_Retail'!$A$36:$F$40",_xll.EVRNG(A36:F40))</f>
        <v>'FB_Retail'!$A$36:$F$40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IF(_epmOfflineCondition_,"'FB_Retail'!$A$116:$B$137",_xll.EVRNG($A$116:$B$137))</f>
        <v>'FB_Retail'!$A$116:$B$137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IF(_epmOfflineCondition_,"Food &amp; Beverage Retail Shop Department",IF(_xll.EVDES(B6,$B$1)="#NODATA","",_xll.EVDES(B6,$B$1)&amp;" Department"))</f>
        <v>Food &amp; Beverage Retail Shop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"DEP(469000) AND "&amp;$E$6&amp;"=Y,400000"</f>
        <v>DEP(469000) AND D2149=Y,400000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407</v>
      </c>
      <c r="I34" s="122" t="str">
        <f>IF(_epmOfflineCondition_,"T5",_xll.EVPRO($B$1,$H34,"STYLE"))</f>
        <v>T5</v>
      </c>
      <c r="J34" s="122" t="str">
        <f>IF(_epmOfflineCondition_,"Y",_xll.EVPRO($B$1,$H34,"CALC"))</f>
        <v>Y</v>
      </c>
      <c r="K34" s="179" t="str">
        <f t="shared" ref="K34:K43" si="0">IF(AND(I34&gt;="T5"),"&gt;","")</f>
        <v>&gt;</v>
      </c>
      <c r="L34" s="90" t="str">
        <f>IF(_epmOfflineCondition_,"469100",_xll.EVPRO($B$1,H34,"JDEID"))</f>
        <v>469100</v>
      </c>
      <c r="M34" s="90" t="str">
        <f>IF(_epmOfflineCondition_,"",IF(AND(I34="N",J34="N"),_xll.EVPRO($B$1,H34,"PSFTID"),""))</f>
        <v/>
      </c>
      <c r="N34" s="90" t="str">
        <f>IF(_epmOfflineCondition_,"Food Revenue",IF(_xll.EVDES(H34,$B$1)="#NODATA","",_xll.EVDES(H34,$B$1)))</f>
        <v>Food Revenue</v>
      </c>
      <c r="O34" s="143"/>
      <c r="P34" s="143"/>
      <c r="Q34" s="143"/>
      <c r="R34" s="143"/>
      <c r="S34" s="143"/>
      <c r="T34" s="143"/>
      <c r="U34" s="143"/>
      <c r="V34" s="143"/>
      <c r="W34" s="143"/>
      <c r="X34" s="143"/>
      <c r="Y34" s="143"/>
      <c r="Z34" s="143"/>
      <c r="AA34" s="250">
        <f t="shared" ref="AA34:AA43" si="1">IF($I34="B1","",SUM(O34:Z34))</f>
        <v>0</v>
      </c>
      <c r="AB34" s="144" t="str">
        <f t="shared" ref="AB34:AB43" si="2">IF(AA34=0,"",IFERROR(AA34/AA$19,""))</f>
        <v/>
      </c>
      <c r="AC34" s="140"/>
      <c r="AD34" s="143"/>
      <c r="AE34" s="144" t="str">
        <f t="shared" ref="AE34:AE43" si="3">IF(AD34=0,"",IFERROR(AD34/AD$19,""))</f>
        <v/>
      </c>
      <c r="AF34" s="145">
        <f t="shared" ref="AF34:AF43" si="4">IF(AND($AA34="",AD34=""),"",$AA34-AD34)</f>
        <v>0</v>
      </c>
      <c r="AG34" s="143"/>
      <c r="AH34" s="144" t="str">
        <f t="shared" ref="AH34:AH43" si="5">IF(AG34=0,"",IFERROR(AG34/AG$19,""))</f>
        <v/>
      </c>
      <c r="AI34" s="145">
        <f t="shared" ref="AI34:AI43" si="6">IF(AND($AA34="",AG34=""),"",$AA34-AG34)</f>
        <v>0</v>
      </c>
      <c r="AJ34" s="440">
        <f t="shared" ref="AJ34:AJ43" si="7">IFERROR(AA34/AA$20,0)</f>
        <v>0</v>
      </c>
      <c r="AK34" s="441">
        <f t="shared" ref="AK34:AK43" si="8">IFERROR(AD34/AD$20,0)</f>
        <v>0</v>
      </c>
      <c r="AL34" s="442">
        <f t="shared" ref="AL34:AL43" si="9">IFERROR(AG34/AG$20,0)</f>
        <v>0</v>
      </c>
      <c r="AM34" s="443">
        <f t="shared" ref="AM34:AM43" si="10">+IFERROR(ROUND(($AB34-AE34)*100,2)&amp;" pts.",0)</f>
        <v>0</v>
      </c>
      <c r="AN34" s="444">
        <f t="shared" ref="AN34:AN43" si="11">+IFERROR(ROUND(($AB34-AH34)*100,2)&amp;" pts.",0)</f>
        <v>0</v>
      </c>
      <c r="AO34" s="11"/>
    </row>
    <row r="35" spans="1:41" x14ac:dyDescent="0.35">
      <c r="A35" s="97" t="s">
        <v>92</v>
      </c>
      <c r="B35" s="98" t="s">
        <v>93</v>
      </c>
      <c r="C35" s="98" t="s">
        <v>94</v>
      </c>
      <c r="D35" s="98" t="s">
        <v>95</v>
      </c>
      <c r="E35" s="98" t="s">
        <v>96</v>
      </c>
      <c r="F35" s="99" t="s">
        <v>97</v>
      </c>
      <c r="G35" s="11"/>
      <c r="H35" s="88" t="s">
        <v>408</v>
      </c>
      <c r="I35" s="122" t="str">
        <f>IF(_epmOfflineCondition_,"T5",_xll.EVPRO($B$1,$H35,"STYLE"))</f>
        <v>T5</v>
      </c>
      <c r="J35" s="122" t="str">
        <f>IF(_epmOfflineCondition_,"Y",_xll.EVPRO($B$1,$H35,"CALC"))</f>
        <v>Y</v>
      </c>
      <c r="K35" s="179" t="str">
        <f t="shared" si="0"/>
        <v>&gt;</v>
      </c>
      <c r="L35" s="90" t="str">
        <f>IF(_epmOfflineCondition_,"469200",_xll.EVPRO($B$1,H35,"JDEID"))</f>
        <v>469200</v>
      </c>
      <c r="M35" s="90" t="str">
        <f>IF(_epmOfflineCondition_,"",IF(AND(I35="N",J35="N"),_xll.EVPRO($B$1,H35,"PSFTID"),""))</f>
        <v/>
      </c>
      <c r="N35" s="90" t="str">
        <f>IF(_epmOfflineCondition_,"Food Revenue - Retail",IF(_xll.EVDES(H35,$B$1)="#NODATA","",_xll.EVDES(H35,$B$1)))</f>
        <v>Food Revenue - Retail</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409</v>
      </c>
      <c r="I36" s="122" t="str">
        <f>IF(_epmOfflineCondition_,"T5",_xll.EVPRO($B$1,$H36,"STYLE"))</f>
        <v>T5</v>
      </c>
      <c r="J36" s="122" t="str">
        <f>IF(_epmOfflineCondition_,"Y",_xll.EVPRO($B$1,$H36,"CALC"))</f>
        <v>Y</v>
      </c>
      <c r="K36" s="179" t="str">
        <f t="shared" si="0"/>
        <v>&gt;</v>
      </c>
      <c r="L36" s="90" t="str">
        <f>IF(_epmOfflineCondition_,"469300",_xll.EVPRO($B$1,H36,"JDEID"))</f>
        <v>469300</v>
      </c>
      <c r="M36" s="90" t="str">
        <f>IF(_epmOfflineCondition_,"",IF(AND(I36="N",J36="N"),_xll.EVPRO($B$1,H36,"PSFTID"),""))</f>
        <v/>
      </c>
      <c r="N36" s="90" t="str">
        <f>IF(_epmOfflineCondition_,"Liquor Revenue - Retail",IF(_xll.EVDES(H36,$B$1)="#NODATA","",_xll.EVDES(H36,$B$1)))</f>
        <v>Liquor Revenue - Retail</v>
      </c>
      <c r="O36" s="143"/>
      <c r="P36" s="143"/>
      <c r="Q36" s="143"/>
      <c r="R36" s="143"/>
      <c r="S36" s="143"/>
      <c r="T36" s="143"/>
      <c r="U36" s="143"/>
      <c r="V36" s="143"/>
      <c r="W36" s="143"/>
      <c r="X36" s="143"/>
      <c r="Y36" s="143"/>
      <c r="Z36" s="143"/>
      <c r="AA36" s="250">
        <f t="shared" si="1"/>
        <v>0</v>
      </c>
      <c r="AB36" s="144"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105</v>
      </c>
      <c r="B37" s="11"/>
      <c r="C37" s="104" t="s">
        <v>101</v>
      </c>
      <c r="D37" s="11" t="s">
        <v>106</v>
      </c>
      <c r="E37" s="11"/>
      <c r="F37" s="11" t="s">
        <v>98</v>
      </c>
      <c r="G37" s="11"/>
      <c r="H37" s="88" t="s">
        <v>410</v>
      </c>
      <c r="I37" s="122" t="str">
        <f>IF(_epmOfflineCondition_,"T5",_xll.EVPRO($B$1,$H37,"STYLE"))</f>
        <v>T5</v>
      </c>
      <c r="J37" s="122" t="str">
        <f>IF(_epmOfflineCondition_,"Y",_xll.EVPRO($B$1,$H37,"CALC"))</f>
        <v>Y</v>
      </c>
      <c r="K37" s="179" t="str">
        <f t="shared" si="0"/>
        <v>&gt;</v>
      </c>
      <c r="L37" s="90" t="str">
        <f>IF(_epmOfflineCondition_,"469400",_xll.EVPRO($B$1,H37,"JDEID"))</f>
        <v>469400</v>
      </c>
      <c r="M37" s="90" t="str">
        <f>IF(_epmOfflineCondition_,"",IF(AND(I37="N",J37="N"),_xll.EVPRO($B$1,H37,"PSFTID"),""))</f>
        <v/>
      </c>
      <c r="N37" s="90" t="str">
        <f>IF(_epmOfflineCondition_,"Beer Revenue - Retail",IF(_xll.EVDES(H37,$B$1)="#NODATA","",_xll.EVDES(H37,$B$1)))</f>
        <v>Beer Revenue - Retail</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11" t="s">
        <v>104</v>
      </c>
      <c r="B38" s="11"/>
      <c r="C38" s="104" t="s">
        <v>101</v>
      </c>
      <c r="D38" s="11" t="s">
        <v>106</v>
      </c>
      <c r="E38" s="11"/>
      <c r="F38" s="11" t="s">
        <v>98</v>
      </c>
      <c r="G38" s="11"/>
      <c r="H38" s="88" t="s">
        <v>411</v>
      </c>
      <c r="I38" s="122" t="str">
        <f>IF(_epmOfflineCondition_,"T5",_xll.EVPRO($B$1,$H38,"STYLE"))</f>
        <v>T5</v>
      </c>
      <c r="J38" s="122" t="str">
        <f>IF(_epmOfflineCondition_,"Y",_xll.EVPRO($B$1,$H38,"CALC"))</f>
        <v>Y</v>
      </c>
      <c r="K38" s="179" t="str">
        <f t="shared" si="0"/>
        <v>&gt;</v>
      </c>
      <c r="L38" s="90" t="str">
        <f>IF(_epmOfflineCondition_,"469500",_xll.EVPRO($B$1,H38,"JDEID"))</f>
        <v>469500</v>
      </c>
      <c r="M38" s="90" t="str">
        <f>IF(_epmOfflineCondition_,"",IF(AND(I38="N",J38="N"),_xll.EVPRO($B$1,H38,"PSFTID"),""))</f>
        <v/>
      </c>
      <c r="N38" s="90" t="str">
        <f>IF(_epmOfflineCondition_,"Wine Revenue - Retail",IF(_xll.EVDES(H38,$B$1)="#NODATA","",_xll.EVDES(H38,$B$1)))</f>
        <v>Wine Revenue - Retail</v>
      </c>
      <c r="O38" s="143"/>
      <c r="P38" s="143"/>
      <c r="Q38" s="143"/>
      <c r="R38" s="143"/>
      <c r="S38" s="143"/>
      <c r="T38" s="143"/>
      <c r="U38" s="143"/>
      <c r="V38" s="143"/>
      <c r="W38" s="143"/>
      <c r="X38" s="143"/>
      <c r="Y38" s="143"/>
      <c r="Z38" s="143"/>
      <c r="AA38" s="250">
        <f t="shared" si="1"/>
        <v>0</v>
      </c>
      <c r="AB38" s="144" t="str">
        <f t="shared" si="2"/>
        <v/>
      </c>
      <c r="AC38" s="140"/>
      <c r="AD38" s="143"/>
      <c r="AE38" s="144" t="str">
        <f t="shared" si="3"/>
        <v/>
      </c>
      <c r="AF38" s="145">
        <f t="shared" si="4"/>
        <v>0</v>
      </c>
      <c r="AG38" s="143"/>
      <c r="AH38" s="144" t="str">
        <f t="shared" si="5"/>
        <v/>
      </c>
      <c r="AI38" s="145">
        <f t="shared" si="6"/>
        <v>0</v>
      </c>
      <c r="AJ38" s="440">
        <f t="shared" si="7"/>
        <v>0</v>
      </c>
      <c r="AK38" s="441">
        <f t="shared" si="8"/>
        <v>0</v>
      </c>
      <c r="AL38" s="442">
        <f t="shared" si="9"/>
        <v>0</v>
      </c>
      <c r="AM38" s="443">
        <f t="shared" si="10"/>
        <v>0</v>
      </c>
      <c r="AN38" s="444">
        <f t="shared" si="11"/>
        <v>0</v>
      </c>
      <c r="AO38" s="11"/>
    </row>
    <row r="39" spans="1:41" x14ac:dyDescent="0.35">
      <c r="A39" s="11" t="s">
        <v>108</v>
      </c>
      <c r="B39" s="11"/>
      <c r="C39" s="106" t="s">
        <v>101</v>
      </c>
      <c r="D39" s="11" t="s">
        <v>106</v>
      </c>
      <c r="E39" s="11"/>
      <c r="F39" s="11" t="s">
        <v>98</v>
      </c>
      <c r="G39" s="11"/>
      <c r="H39" s="88" t="s">
        <v>412</v>
      </c>
      <c r="I39" s="122" t="str">
        <f>IF(_epmOfflineCondition_,"T5",_xll.EVPRO($B$1,$H39,"STYLE"))</f>
        <v>T5</v>
      </c>
      <c r="J39" s="122" t="str">
        <f>IF(_epmOfflineCondition_,"Y",_xll.EVPRO($B$1,$H39,"CALC"))</f>
        <v>Y</v>
      </c>
      <c r="K39" s="179" t="str">
        <f t="shared" si="0"/>
        <v>&gt;</v>
      </c>
      <c r="L39" s="90" t="str">
        <f>IF(_epmOfflineCondition_,"469600",_xll.EVPRO($B$1,H39,"JDEID"))</f>
        <v>469600</v>
      </c>
      <c r="M39" s="90" t="str">
        <f>IF(_epmOfflineCondition_,"",IF(AND(I39="N",J39="N"),_xll.EVPRO($B$1,H39,"PSFTID"),""))</f>
        <v/>
      </c>
      <c r="N39" s="90" t="str">
        <f>IF(_epmOfflineCondition_,"Giftware Revenue - Retail",IF(_xll.EVDES(H39,$B$1)="#NODATA","",_xll.EVDES(H39,$B$1)))</f>
        <v>Giftware Revenue - Retail</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96" t="s">
        <v>101</v>
      </c>
      <c r="D40" s="11" t="s">
        <v>107</v>
      </c>
      <c r="E40" s="11"/>
      <c r="F40" s="11" t="s">
        <v>99</v>
      </c>
      <c r="G40" s="11"/>
      <c r="H40" s="88" t="s">
        <v>413</v>
      </c>
      <c r="I40" s="122" t="str">
        <f>IF(_epmOfflineCondition_,"T5",_xll.EVPRO($B$1,$H40,"STYLE"))</f>
        <v>T5</v>
      </c>
      <c r="J40" s="122" t="str">
        <f>IF(_epmOfflineCondition_,"Y",_xll.EVPRO($B$1,$H40,"CALC"))</f>
        <v>Y</v>
      </c>
      <c r="K40" s="179" t="str">
        <f t="shared" si="0"/>
        <v>&gt;</v>
      </c>
      <c r="L40" s="90" t="str">
        <f>IF(_epmOfflineCondition_,"469700",_xll.EVPRO($B$1,H40,"JDEID"))</f>
        <v>469700</v>
      </c>
      <c r="M40" s="90" t="str">
        <f>IF(_epmOfflineCondition_,"",IF(AND(I40="N",J40="N"),_xll.EVPRO($B$1,H40,"PSFTID"),""))</f>
        <v/>
      </c>
      <c r="N40" s="90" t="str">
        <f>IF(_epmOfflineCondition_,"Books Revenue - Retail",IF(_xll.EVDES(H40,$B$1)="#NODATA","",_xll.EVDES(H40,$B$1)))</f>
        <v>Books Revenue - Retail</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11"/>
      <c r="B41" s="11"/>
      <c r="C41" s="11"/>
      <c r="D41" s="11"/>
      <c r="E41" s="11"/>
      <c r="F41" s="11"/>
      <c r="G41" s="11"/>
      <c r="H41" s="88" t="s">
        <v>414</v>
      </c>
      <c r="I41" s="122" t="str">
        <f>IF(_epmOfflineCondition_,"T5",_xll.EVPRO($B$1,$H41,"STYLE"))</f>
        <v>T5</v>
      </c>
      <c r="J41" s="122" t="str">
        <f>IF(_epmOfflineCondition_,"Y",_xll.EVPRO($B$1,$H41,"CALC"))</f>
        <v>Y</v>
      </c>
      <c r="K41" s="179" t="str">
        <f t="shared" si="0"/>
        <v>&gt;</v>
      </c>
      <c r="L41" s="90" t="str">
        <f>IF(_epmOfflineCondition_,"469800",_xll.EVPRO($B$1,H41,"JDEID"))</f>
        <v>469800</v>
      </c>
      <c r="M41" s="90" t="str">
        <f>IF(_epmOfflineCondition_,"",IF(AND(I41="N",J41="N"),_xll.EVPRO($B$1,H41,"PSFTID"),""))</f>
        <v/>
      </c>
      <c r="N41" s="90" t="str">
        <f>IF(_epmOfflineCondition_,"Glassware Revenue - Retail",IF(_xll.EVDES(H41,$B$1)="#NODATA","",_xll.EVDES(H41,$B$1)))</f>
        <v>Glassware Revenue - Retail</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11"/>
      <c r="B42" s="11"/>
      <c r="C42" s="11"/>
      <c r="D42" s="11"/>
      <c r="E42" s="11"/>
      <c r="F42" s="11"/>
      <c r="G42" s="11"/>
      <c r="H42" s="88" t="s">
        <v>474</v>
      </c>
      <c r="I42" s="122" t="str">
        <f>IF(_epmOfflineCondition_,"N",_xll.EVPRO($B$1,$H42,"STYLE"))</f>
        <v>N</v>
      </c>
      <c r="J42" s="122" t="str">
        <f>IF(_epmOfflineCondition_,"N",_xll.EVPRO($B$1,$H42,"CALC"))</f>
        <v>N</v>
      </c>
      <c r="K42" s="179" t="str">
        <f t="shared" si="0"/>
        <v/>
      </c>
      <c r="L42" s="90" t="str">
        <f>IF(_epmOfflineCondition_,"469990",_xll.EVPRO($B$1,H42,"JDEID"))</f>
        <v>469990</v>
      </c>
      <c r="M42" s="90" t="str">
        <f>IF(_epmOfflineCondition_,"206022",IF(AND(I42="N",J42="N"),_xll.EVPRO($B$1,H42,"PSFTID"),""))</f>
        <v>206022</v>
      </c>
      <c r="N42" s="90" t="str">
        <f>IF(_epmOfflineCondition_,"F&amp;B Retail: Allowances",IF(_xll.EVDES(H42,$B$1)="#NODATA","",_xll.EVDES(H42,$B$1)))</f>
        <v>F&amp;B Retail: Allowances</v>
      </c>
      <c r="O42" s="217"/>
      <c r="P42" s="217"/>
      <c r="Q42" s="217"/>
      <c r="R42" s="217"/>
      <c r="S42" s="217"/>
      <c r="T42" s="217"/>
      <c r="U42" s="217"/>
      <c r="V42" s="217"/>
      <c r="W42" s="217"/>
      <c r="X42" s="217"/>
      <c r="Y42" s="217"/>
      <c r="Z42" s="217"/>
      <c r="AA42" s="251">
        <f t="shared" si="1"/>
        <v>0</v>
      </c>
      <c r="AB42" s="219" t="str">
        <f t="shared" si="2"/>
        <v/>
      </c>
      <c r="AC42" s="140"/>
      <c r="AD42" s="217"/>
      <c r="AE42" s="219" t="str">
        <f t="shared" si="3"/>
        <v/>
      </c>
      <c r="AF42" s="220">
        <f t="shared" si="4"/>
        <v>0</v>
      </c>
      <c r="AG42" s="217"/>
      <c r="AH42" s="219" t="str">
        <f t="shared" si="5"/>
        <v/>
      </c>
      <c r="AI42" s="220">
        <f t="shared" si="6"/>
        <v>0</v>
      </c>
      <c r="AJ42" s="449">
        <f t="shared" si="7"/>
        <v>0</v>
      </c>
      <c r="AK42" s="450">
        <f t="shared" si="8"/>
        <v>0</v>
      </c>
      <c r="AL42" s="451">
        <f t="shared" si="9"/>
        <v>0</v>
      </c>
      <c r="AM42" s="452">
        <f t="shared" si="10"/>
        <v>0</v>
      </c>
      <c r="AN42" s="453">
        <f t="shared" si="11"/>
        <v>0</v>
      </c>
      <c r="AO42" s="11"/>
    </row>
    <row r="43" spans="1:41" x14ac:dyDescent="0.35">
      <c r="A43" s="61" t="str">
        <f>IF(_epmOfflineCondition_,"Evdre:Ok",_xll.EVDRE($B$1,A46:B53,A56:B62))</f>
        <v>Evdre:Ok</v>
      </c>
      <c r="B43" s="11"/>
      <c r="C43" s="11"/>
      <c r="D43" s="11"/>
      <c r="E43" s="11"/>
      <c r="F43" s="11"/>
      <c r="G43" s="11"/>
      <c r="H43" s="88" t="s">
        <v>280</v>
      </c>
      <c r="I43" s="188" t="str">
        <f>IF(_epmOfflineCondition_,"T3",_xll.EVPRO($B$1,$H43,"STYLE"))</f>
        <v>T3</v>
      </c>
      <c r="J43" s="188" t="str">
        <f>IF(_epmOfflineCondition_,"Y",_xll.EVPRO($B$1,$H43,"CALC"))</f>
        <v>Y</v>
      </c>
      <c r="K43" s="189" t="str">
        <f t="shared" si="0"/>
        <v/>
      </c>
      <c r="L43" s="190" t="str">
        <f>IF(_epmOfflineCondition_,"400000",_xll.EVPRO($B$1,H43,"JDEID"))</f>
        <v>400000</v>
      </c>
      <c r="M43" s="190" t="str">
        <f>IF(_epmOfflineCondition_,"",IF(AND(I43="N",J43="N"),_xll.EVPRO($B$1,H43,"PSFTID"),""))</f>
        <v/>
      </c>
      <c r="N43" s="190" t="str">
        <f>IF(_epmOfflineCondition_,"Total Revenue",IF(_xll.EVDES(H43,$B$1)="#NODATA","",_xll.EVDES(H43,$B$1)))</f>
        <v>Total Revenue</v>
      </c>
      <c r="O43" s="225"/>
      <c r="P43" s="225"/>
      <c r="Q43" s="225"/>
      <c r="R43" s="225"/>
      <c r="S43" s="225"/>
      <c r="T43" s="225"/>
      <c r="U43" s="225"/>
      <c r="V43" s="225"/>
      <c r="W43" s="225"/>
      <c r="X43" s="225"/>
      <c r="Y43" s="225"/>
      <c r="Z43" s="225"/>
      <c r="AA43" s="225">
        <f t="shared" si="1"/>
        <v>0</v>
      </c>
      <c r="AB43" s="226" t="str">
        <f t="shared" si="2"/>
        <v/>
      </c>
      <c r="AC43" s="227"/>
      <c r="AD43" s="225"/>
      <c r="AE43" s="226" t="str">
        <f t="shared" si="3"/>
        <v/>
      </c>
      <c r="AF43" s="228">
        <f t="shared" si="4"/>
        <v>0</v>
      </c>
      <c r="AG43" s="225"/>
      <c r="AH43" s="226" t="str">
        <f t="shared" si="5"/>
        <v/>
      </c>
      <c r="AI43" s="228">
        <f t="shared" si="6"/>
        <v>0</v>
      </c>
      <c r="AJ43" s="229">
        <f t="shared" si="7"/>
        <v>0</v>
      </c>
      <c r="AK43" s="230">
        <f t="shared" si="8"/>
        <v>0</v>
      </c>
      <c r="AL43" s="232">
        <f t="shared" si="9"/>
        <v>0</v>
      </c>
      <c r="AM43" s="427">
        <f t="shared" si="10"/>
        <v>0</v>
      </c>
      <c r="AN43" s="456">
        <f t="shared" si="11"/>
        <v>0</v>
      </c>
      <c r="AO43" s="11"/>
    </row>
    <row r="44" spans="1:41" x14ac:dyDescent="0.35">
      <c r="A44" s="11"/>
      <c r="B44" s="11"/>
      <c r="C44" s="11"/>
      <c r="D44" s="11"/>
      <c r="E44" s="11"/>
      <c r="F44" s="11"/>
      <c r="G44" s="11"/>
      <c r="H44" s="11"/>
      <c r="I44" s="59"/>
      <c r="J44" s="59"/>
      <c r="K44" s="11"/>
      <c r="L44" s="11"/>
      <c r="M44" s="11"/>
      <c r="N44" s="11"/>
      <c r="O44" s="203"/>
      <c r="P44" s="204"/>
      <c r="Q44" s="204"/>
      <c r="R44" s="204"/>
      <c r="S44" s="204"/>
      <c r="T44" s="204"/>
      <c r="U44" s="204"/>
      <c r="V44" s="204"/>
      <c r="W44" s="204"/>
      <c r="X44" s="204"/>
      <c r="Y44" s="204"/>
      <c r="Z44" s="204"/>
      <c r="AA44" s="204"/>
      <c r="AB44" s="118"/>
      <c r="AC44" s="11"/>
      <c r="AD44" s="203"/>
      <c r="AE44" s="204"/>
      <c r="AF44" s="118"/>
      <c r="AG44" s="203"/>
      <c r="AH44" s="204"/>
      <c r="AI44" s="118"/>
      <c r="AJ44" s="11"/>
      <c r="AK44" s="11"/>
      <c r="AL44" s="11"/>
      <c r="AM44" s="11"/>
      <c r="AN44" s="11"/>
      <c r="AO44" s="11"/>
    </row>
    <row r="45" spans="1:41" x14ac:dyDescent="0.35">
      <c r="A45" s="62" t="s">
        <v>0</v>
      </c>
      <c r="B45" s="63" t="s">
        <v>1</v>
      </c>
      <c r="C45" s="11"/>
      <c r="D45" s="11"/>
      <c r="E45" s="11"/>
      <c r="F45" s="11"/>
      <c r="G45" s="11"/>
      <c r="H45" s="11" t="s">
        <v>281</v>
      </c>
      <c r="I45" s="59" t="str">
        <f>IF(_epmOfflineCondition_,"B1",_xll.EVPRO($B$1,$H45,"STYLE"))</f>
        <v>B1</v>
      </c>
      <c r="J45" s="59" t="str">
        <f>IF(_epmOfflineCondition_,"Y",_xll.EVPRO($B$1,$H45,"CALC"))</f>
        <v>Y</v>
      </c>
      <c r="K45" s="11"/>
      <c r="L45" s="11"/>
      <c r="M45" s="11"/>
      <c r="N45" s="105" t="str">
        <f>IF(_epmOfflineCondition_,"Cost of Sales",IF(_xll.EVDES(H45,$B$1)="#NODATA","",_xll.EVDES(H45,$B$1)))</f>
        <v>Cost of Sales</v>
      </c>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65" t="s">
        <v>2</v>
      </c>
      <c r="B46" s="66" t="str">
        <f>IF(_epmOfflineCondition_,"'FB_Retail'!$B$2:$B$10",_xll.EVRNG($B$2:$B$10))</f>
        <v>'FB_Retail'!$B$2:$B$10</v>
      </c>
      <c r="C46" s="11"/>
      <c r="D46" s="11"/>
      <c r="E46" s="11"/>
      <c r="F46" s="11"/>
      <c r="G46" s="11"/>
      <c r="H46" s="88" t="s">
        <v>415</v>
      </c>
      <c r="I46" s="122" t="str">
        <f>IF(_epmOfflineCondition_,"N",_xll.EVPRO($B$1,$H46,"STYLE"))</f>
        <v>N</v>
      </c>
      <c r="J46" s="122" t="str">
        <f>IF(_epmOfflineCondition_,"N",_xll.EVPRO($B$1,$H46,"CALC"))</f>
        <v>N</v>
      </c>
      <c r="K46" s="179" t="str">
        <f t="shared" ref="K46:K56" si="12">IF(AND(I46&gt;="T5"),"&gt;","")</f>
        <v/>
      </c>
      <c r="L46" s="90" t="str">
        <f>IF(_epmOfflineCondition_,"569100",_xll.EVPRO($B$1,H46,"JDEID"))</f>
        <v>569100</v>
      </c>
      <c r="M46" s="90" t="str">
        <f>IF(_epmOfflineCondition_,"301010",IF(AND(I46="N",J46="N"),_xll.EVPRO($B$1,H46,"PSFTID"),""))</f>
        <v>301010</v>
      </c>
      <c r="N46" s="90" t="str">
        <f>IF(_epmOfflineCondition_,"Food COS",IF(_xll.EVDES(H46,$B$1)="#NODATA","",_xll.EVDES(H46,$B$1)))</f>
        <v>Food COS</v>
      </c>
      <c r="O46" s="143"/>
      <c r="P46" s="143"/>
      <c r="Q46" s="143"/>
      <c r="R46" s="143"/>
      <c r="S46" s="143"/>
      <c r="T46" s="143"/>
      <c r="U46" s="143"/>
      <c r="V46" s="143"/>
      <c r="W46" s="143"/>
      <c r="X46" s="143"/>
      <c r="Y46" s="143"/>
      <c r="Z46" s="143"/>
      <c r="AA46" s="143">
        <f t="shared" ref="AA46:AA54" si="13">IF($I46="B1","",SUM(O46:Z46))</f>
        <v>0</v>
      </c>
      <c r="AB46" s="144" t="str">
        <f>IF(_epmOfflineCondition_,"",IF(AA46=0,"",IFERROR(AA46/_xll.EVGTS($B$1,1,_xll.EVPRO($B$1,$H46,"COSBASIS"),$B$3,$B$5,$B$6,$B$7,$B$9,AA$16,AA$17,AA$11),"")))</f>
        <v/>
      </c>
      <c r="AC46" s="140"/>
      <c r="AD46" s="143"/>
      <c r="AE46" s="144" t="str">
        <f>IF(_epmOfflineCondition_,"",IF(AD46=0,"",IFERROR(AD46/_xll.EVGTS($B$1,1,_xll.EVPRO($B$1,$H46,"COSBASIS"),$B$3,$B$5,$B$6,$B$7,$B$9,AD$16,AD$17,AD$18),"")))</f>
        <v/>
      </c>
      <c r="AF46" s="145">
        <f t="shared" ref="AF46:AF56" si="14">IF(AND($AA46="",AD46=""),"",$AA46-AD46)</f>
        <v>0</v>
      </c>
      <c r="AG46" s="143"/>
      <c r="AH46" s="144" t="str">
        <f>IF(_epmOfflineCondition_,"",IF(AG46=0,"",IFERROR(AG46/_xll.EVGTS($B$1,1,_xll.EVPRO($B$1,$H46,"COSBASIS"),$B$3,$B$5,$B$6,$B$7,$B$9,AG$16,AG$17,AG$18),"")))</f>
        <v/>
      </c>
      <c r="AI46" s="145">
        <f t="shared" ref="AI46:AI56" si="15">IF(AND($AA46="",AG46=""),"",$AA46-AG46)</f>
        <v>0</v>
      </c>
      <c r="AJ46" s="440">
        <f t="shared" ref="AJ46:AJ56" si="16">IFERROR(AA46/AA$20,0)</f>
        <v>0</v>
      </c>
      <c r="AK46" s="441">
        <f t="shared" ref="AK46:AK56" si="17">IFERROR(AD46/AD$20,0)</f>
        <v>0</v>
      </c>
      <c r="AL46" s="442">
        <f t="shared" ref="AL46:AL56" si="18">IFERROR(AG46/AG$20,0)</f>
        <v>0</v>
      </c>
      <c r="AM46" s="443">
        <f t="shared" ref="AM46:AM56" si="19">+IFERROR(ROUND(($AB46-AE46)*100,2)&amp;" pts.",0)</f>
        <v>0</v>
      </c>
      <c r="AN46" s="444">
        <f t="shared" ref="AN46:AN56" si="20">+IFERROR(ROUND(($AB46-AH46)*100,2)&amp;" pts.",0)</f>
        <v>0</v>
      </c>
      <c r="AO46" s="11"/>
    </row>
    <row r="47" spans="1:41" x14ac:dyDescent="0.35">
      <c r="A47" s="65" t="s">
        <v>3</v>
      </c>
      <c r="B47" s="66" t="str">
        <f>IF(_epmOfflineCondition_,"'FB_Retail'!$O$16:$AN$18",_xll.EVRNG($O$16:$AN$18))</f>
        <v>'FB_Retail'!$O$16:$AN$18</v>
      </c>
      <c r="C47" s="11"/>
      <c r="D47" s="11"/>
      <c r="E47" s="11"/>
      <c r="F47" s="11"/>
      <c r="G47" s="11"/>
      <c r="H47" s="88" t="s">
        <v>416</v>
      </c>
      <c r="I47" s="122" t="str">
        <f>IF(_epmOfflineCondition_,"N",_xll.EVPRO($B$1,$H47,"STYLE"))</f>
        <v>N</v>
      </c>
      <c r="J47" s="122" t="str">
        <f>IF(_epmOfflineCondition_,"N",_xll.EVPRO($B$1,$H47,"CALC"))</f>
        <v>N</v>
      </c>
      <c r="K47" s="179" t="str">
        <f t="shared" si="12"/>
        <v/>
      </c>
      <c r="L47" s="90" t="str">
        <f>IF(_epmOfflineCondition_,"569200",_xll.EVPRO($B$1,H47,"JDEID"))</f>
        <v>569200</v>
      </c>
      <c r="M47" s="90" t="str">
        <f>IF(_epmOfflineCondition_,"301010",IF(AND(I47="N",J47="N"),_xll.EVPRO($B$1,H47,"PSFTID"),""))</f>
        <v>301010</v>
      </c>
      <c r="N47" s="90" t="str">
        <f>IF(_epmOfflineCondition_,"Food Retail COS",IF(_xll.EVDES(H47,$B$1)="#NODATA","",_xll.EVDES(H47,$B$1)))</f>
        <v>Food Retail COS</v>
      </c>
      <c r="O47" s="143"/>
      <c r="P47" s="143"/>
      <c r="Q47" s="143"/>
      <c r="R47" s="143"/>
      <c r="S47" s="143"/>
      <c r="T47" s="143"/>
      <c r="U47" s="143"/>
      <c r="V47" s="143"/>
      <c r="W47" s="143"/>
      <c r="X47" s="143"/>
      <c r="Y47" s="143"/>
      <c r="Z47" s="143"/>
      <c r="AA47" s="143">
        <f t="shared" si="13"/>
        <v>0</v>
      </c>
      <c r="AB47" s="144" t="str">
        <f>IF(_epmOfflineCondition_,"",IF(AA47=0,"",IFERROR(AA47/_xll.EVGTS($B$1,1,_xll.EVPRO($B$1,$H47,"COSBASIS"),$B$3,$B$5,$B$6,$B$7,$B$9,AA$16,AA$17,AA$11),"")))</f>
        <v/>
      </c>
      <c r="AC47" s="140"/>
      <c r="AD47" s="143"/>
      <c r="AE47" s="144" t="str">
        <f>IF(_epmOfflineCondition_,"",IF(AD47=0,"",IFERROR(AD47/_xll.EVGTS($B$1,1,_xll.EVPRO($B$1,$H47,"COSBASIS"),$B$3,$B$5,$B$6,$B$7,$B$9,AD$16,AD$17,AD$18),"")))</f>
        <v/>
      </c>
      <c r="AF47" s="145">
        <f t="shared" si="14"/>
        <v>0</v>
      </c>
      <c r="AG47" s="143"/>
      <c r="AH47" s="144" t="str">
        <f>IF(_epmOfflineCondition_,"",IF(AG47=0,"",IFERROR(AG47/_xll.EVGTS($B$1,1,_xll.EVPRO($B$1,$H47,"COSBASIS"),$B$3,$B$5,$B$6,$B$7,$B$9,AG$16,AG$17,AG$18),"")))</f>
        <v/>
      </c>
      <c r="AI47" s="145">
        <f t="shared" si="15"/>
        <v>0</v>
      </c>
      <c r="AJ47" s="440">
        <f t="shared" si="16"/>
        <v>0</v>
      </c>
      <c r="AK47" s="441">
        <f t="shared" si="17"/>
        <v>0</v>
      </c>
      <c r="AL47" s="442">
        <f t="shared" si="18"/>
        <v>0</v>
      </c>
      <c r="AM47" s="443">
        <f t="shared" si="19"/>
        <v>0</v>
      </c>
      <c r="AN47" s="444">
        <f t="shared" si="20"/>
        <v>0</v>
      </c>
      <c r="AO47" s="11"/>
    </row>
    <row r="48" spans="1:41" x14ac:dyDescent="0.35">
      <c r="A48" s="65" t="s">
        <v>4</v>
      </c>
      <c r="B48" s="66" t="str">
        <f>IF(_epmOfflineCondition_,"'FB_Retail'!$H$46:$H$54",_xll.EVRNG(H46:H54))</f>
        <v>'FB_Retail'!$H$46:$H$54</v>
      </c>
      <c r="C48" s="11"/>
      <c r="D48" s="11"/>
      <c r="E48" s="11"/>
      <c r="F48" s="11"/>
      <c r="G48" s="11"/>
      <c r="H48" s="88" t="s">
        <v>417</v>
      </c>
      <c r="I48" s="122" t="str">
        <f>IF(_epmOfflineCondition_,"N",_xll.EVPRO($B$1,$H48,"STYLE"))</f>
        <v>N</v>
      </c>
      <c r="J48" s="122" t="str">
        <f>IF(_epmOfflineCondition_,"N",_xll.EVPRO($B$1,$H48,"CALC"))</f>
        <v>N</v>
      </c>
      <c r="K48" s="179" t="str">
        <f t="shared" si="12"/>
        <v/>
      </c>
      <c r="L48" s="90" t="str">
        <f>IF(_epmOfflineCondition_,"569300",_xll.EVPRO($B$1,H48,"JDEID"))</f>
        <v>569300</v>
      </c>
      <c r="M48" s="90" t="str">
        <f>IF(_epmOfflineCondition_,"301090",IF(AND(I48="N",J48="N"),_xll.EVPRO($B$1,H48,"PSFTID"),""))</f>
        <v>301090</v>
      </c>
      <c r="N48" s="90" t="str">
        <f>IF(_epmOfflineCondition_,"Liquor Retail COS",IF(_xll.EVDES(H48,$B$1)="#NODATA","",_xll.EVDES(H48,$B$1)))</f>
        <v>Liquor Retail COS</v>
      </c>
      <c r="O48" s="143"/>
      <c r="P48" s="143"/>
      <c r="Q48" s="143"/>
      <c r="R48" s="143"/>
      <c r="S48" s="143"/>
      <c r="T48" s="143"/>
      <c r="U48" s="143"/>
      <c r="V48" s="143"/>
      <c r="W48" s="143"/>
      <c r="X48" s="143"/>
      <c r="Y48" s="143"/>
      <c r="Z48" s="143"/>
      <c r="AA48" s="143">
        <f t="shared" si="13"/>
        <v>0</v>
      </c>
      <c r="AB48" s="144" t="str">
        <f>IF(_epmOfflineCondition_,"",IF(AA48=0,"",IFERROR(AA48/_xll.EVGTS($B$1,1,_xll.EVPRO($B$1,$H48,"COSBASIS"),$B$3,$B$5,$B$6,$B$7,$B$9,AA$16,AA$17,AA$11),"")))</f>
        <v/>
      </c>
      <c r="AC48" s="140"/>
      <c r="AD48" s="143"/>
      <c r="AE48" s="144" t="str">
        <f>IF(_epmOfflineCondition_,"",IF(AD48=0,"",IFERROR(AD48/_xll.EVGTS($B$1,1,_xll.EVPRO($B$1,$H48,"COSBASIS"),$B$3,$B$5,$B$6,$B$7,$B$9,AD$16,AD$17,AD$18),"")))</f>
        <v/>
      </c>
      <c r="AF48" s="145">
        <f t="shared" si="14"/>
        <v>0</v>
      </c>
      <c r="AG48" s="143"/>
      <c r="AH48" s="144" t="str">
        <f>IF(_epmOfflineCondition_,"",IF(AG48=0,"",IFERROR(AG48/_xll.EVGTS($B$1,1,_xll.EVPRO($B$1,$H48,"COSBASIS"),$B$3,$B$5,$B$6,$B$7,$B$9,AG$16,AG$17,AG$18),"")))</f>
        <v/>
      </c>
      <c r="AI48" s="145">
        <f t="shared" si="15"/>
        <v>0</v>
      </c>
      <c r="AJ48" s="440">
        <f t="shared" si="16"/>
        <v>0</v>
      </c>
      <c r="AK48" s="441">
        <f t="shared" si="17"/>
        <v>0</v>
      </c>
      <c r="AL48" s="442">
        <f t="shared" si="18"/>
        <v>0</v>
      </c>
      <c r="AM48" s="443">
        <f t="shared" si="19"/>
        <v>0</v>
      </c>
      <c r="AN48" s="444">
        <f t="shared" si="20"/>
        <v>0</v>
      </c>
      <c r="AO48" s="11"/>
    </row>
    <row r="49" spans="1:41" x14ac:dyDescent="0.35">
      <c r="A49" s="65" t="s">
        <v>5</v>
      </c>
      <c r="B49" s="66"/>
      <c r="C49" s="11"/>
      <c r="D49" s="11"/>
      <c r="E49" s="11"/>
      <c r="F49" s="384"/>
      <c r="G49" s="11"/>
      <c r="H49" s="88" t="s">
        <v>418</v>
      </c>
      <c r="I49" s="122" t="str">
        <f>IF(_epmOfflineCondition_,"N",_xll.EVPRO($B$1,$H49,"STYLE"))</f>
        <v>N</v>
      </c>
      <c r="J49" s="122" t="str">
        <f>IF(_epmOfflineCondition_,"N",_xll.EVPRO($B$1,$H49,"CALC"))</f>
        <v>N</v>
      </c>
      <c r="K49" s="179" t="str">
        <f t="shared" si="12"/>
        <v/>
      </c>
      <c r="L49" s="90" t="str">
        <f>IF(_epmOfflineCondition_,"569400",_xll.EVPRO($B$1,H49,"JDEID"))</f>
        <v>569400</v>
      </c>
      <c r="M49" s="90" t="str">
        <f>IF(_epmOfflineCondition_,"302050",IF(AND(I49="N",J49="N"),_xll.EVPRO($B$1,H49,"PSFTID"),""))</f>
        <v>302050</v>
      </c>
      <c r="N49" s="90" t="str">
        <f>IF(_epmOfflineCondition_,"Beer Retail COS",IF(_xll.EVDES(H49,$B$1)="#NODATA","",_xll.EVDES(H49,$B$1)))</f>
        <v>Beer Retail COS</v>
      </c>
      <c r="O49" s="143"/>
      <c r="P49" s="143"/>
      <c r="Q49" s="143"/>
      <c r="R49" s="143"/>
      <c r="S49" s="143"/>
      <c r="T49" s="143"/>
      <c r="U49" s="143"/>
      <c r="V49" s="143"/>
      <c r="W49" s="143"/>
      <c r="X49" s="143"/>
      <c r="Y49" s="143"/>
      <c r="Z49" s="143"/>
      <c r="AA49" s="143">
        <f t="shared" si="13"/>
        <v>0</v>
      </c>
      <c r="AB49" s="144" t="str">
        <f>IF(_epmOfflineCondition_,"",IF(AA49=0,"",IFERROR(AA49/_xll.EVGTS($B$1,1,_xll.EVPRO($B$1,$H49,"COSBASIS"),$B$3,$B$5,$B$6,$B$7,$B$9,AA$16,AA$17,AA$11),"")))</f>
        <v/>
      </c>
      <c r="AC49" s="140"/>
      <c r="AD49" s="143"/>
      <c r="AE49" s="144" t="str">
        <f>IF(_epmOfflineCondition_,"",IF(AD49=0,"",IFERROR(AD49/_xll.EVGTS($B$1,1,_xll.EVPRO($B$1,$H49,"COSBASIS"),$B$3,$B$5,$B$6,$B$7,$B$9,AD$16,AD$17,AD$18),"")))</f>
        <v/>
      </c>
      <c r="AF49" s="145">
        <f t="shared" si="14"/>
        <v>0</v>
      </c>
      <c r="AG49" s="143"/>
      <c r="AH49" s="144" t="str">
        <f>IF(_epmOfflineCondition_,"",IF(AG49=0,"",IFERROR(AG49/_xll.EVGTS($B$1,1,_xll.EVPRO($B$1,$H49,"COSBASIS"),$B$3,$B$5,$B$6,$B$7,$B$9,AG$16,AG$17,AG$18),"")))</f>
        <v/>
      </c>
      <c r="AI49" s="145">
        <f t="shared" si="15"/>
        <v>0</v>
      </c>
      <c r="AJ49" s="440">
        <f t="shared" si="16"/>
        <v>0</v>
      </c>
      <c r="AK49" s="441">
        <f t="shared" si="17"/>
        <v>0</v>
      </c>
      <c r="AL49" s="442">
        <f t="shared" si="18"/>
        <v>0</v>
      </c>
      <c r="AM49" s="443">
        <f t="shared" si="19"/>
        <v>0</v>
      </c>
      <c r="AN49" s="444">
        <f t="shared" si="20"/>
        <v>0</v>
      </c>
      <c r="AO49" s="11"/>
    </row>
    <row r="50" spans="1:41" x14ac:dyDescent="0.35">
      <c r="A50" s="65" t="s">
        <v>6</v>
      </c>
      <c r="B50" s="66"/>
      <c r="C50" s="11"/>
      <c r="D50" s="11"/>
      <c r="E50" s="11"/>
      <c r="F50" s="384"/>
      <c r="G50" s="11"/>
      <c r="H50" s="88" t="s">
        <v>419</v>
      </c>
      <c r="I50" s="122" t="str">
        <f>IF(_epmOfflineCondition_,"N",_xll.EVPRO($B$1,$H50,"STYLE"))</f>
        <v>N</v>
      </c>
      <c r="J50" s="122" t="str">
        <f>IF(_epmOfflineCondition_,"N",_xll.EVPRO($B$1,$H50,"CALC"))</f>
        <v>N</v>
      </c>
      <c r="K50" s="179" t="str">
        <f t="shared" si="12"/>
        <v/>
      </c>
      <c r="L50" s="90" t="str">
        <f>IF(_epmOfflineCondition_,"569500",_xll.EVPRO($B$1,H50,"JDEID"))</f>
        <v>569500</v>
      </c>
      <c r="M50" s="90" t="str">
        <f>IF(_epmOfflineCondition_,"302055",IF(AND(I50="N",J50="N"),_xll.EVPRO($B$1,H50,"PSFTID"),""))</f>
        <v>302055</v>
      </c>
      <c r="N50" s="90" t="str">
        <f>IF(_epmOfflineCondition_,"Wine Retail COS",IF(_xll.EVDES(H50,$B$1)="#NODATA","",_xll.EVDES(H50,$B$1)))</f>
        <v>Wine Retail COS</v>
      </c>
      <c r="O50" s="143"/>
      <c r="P50" s="143"/>
      <c r="Q50" s="143"/>
      <c r="R50" s="143"/>
      <c r="S50" s="143"/>
      <c r="T50" s="143"/>
      <c r="U50" s="143"/>
      <c r="V50" s="143"/>
      <c r="W50" s="143"/>
      <c r="X50" s="143"/>
      <c r="Y50" s="143"/>
      <c r="Z50" s="143"/>
      <c r="AA50" s="143">
        <f t="shared" si="13"/>
        <v>0</v>
      </c>
      <c r="AB50" s="144" t="str">
        <f>IF(_epmOfflineCondition_,"",IF(AA50=0,"",IFERROR(AA50/_xll.EVGTS($B$1,1,_xll.EVPRO($B$1,$H50,"COSBASIS"),$B$3,$B$5,$B$6,$B$7,$B$9,AA$16,AA$17,AA$11),"")))</f>
        <v/>
      </c>
      <c r="AC50" s="140"/>
      <c r="AD50" s="143"/>
      <c r="AE50" s="144" t="str">
        <f>IF(_epmOfflineCondition_,"",IF(AD50=0,"",IFERROR(AD50/_xll.EVGTS($B$1,1,_xll.EVPRO($B$1,$H50,"COSBASIS"),$B$3,$B$5,$B$6,$B$7,$B$9,AD$16,AD$17,AD$18),"")))</f>
        <v/>
      </c>
      <c r="AF50" s="145">
        <f t="shared" si="14"/>
        <v>0</v>
      </c>
      <c r="AG50" s="143"/>
      <c r="AH50" s="144" t="str">
        <f>IF(_epmOfflineCondition_,"",IF(AG50=0,"",IFERROR(AG50/_xll.EVGTS($B$1,1,_xll.EVPRO($B$1,$H50,"COSBASIS"),$B$3,$B$5,$B$6,$B$7,$B$9,AG$16,AG$17,AG$18),"")))</f>
        <v/>
      </c>
      <c r="AI50" s="145">
        <f t="shared" si="15"/>
        <v>0</v>
      </c>
      <c r="AJ50" s="440">
        <f t="shared" si="16"/>
        <v>0</v>
      </c>
      <c r="AK50" s="441">
        <f t="shared" si="17"/>
        <v>0</v>
      </c>
      <c r="AL50" s="442">
        <f t="shared" si="18"/>
        <v>0</v>
      </c>
      <c r="AM50" s="443">
        <f t="shared" si="19"/>
        <v>0</v>
      </c>
      <c r="AN50" s="444">
        <f t="shared" si="20"/>
        <v>0</v>
      </c>
      <c r="AO50" s="11"/>
    </row>
    <row r="51" spans="1:41" x14ac:dyDescent="0.35">
      <c r="A51" s="65" t="s">
        <v>7</v>
      </c>
      <c r="B51" s="66" t="str">
        <f>IF(_epmOfflineCondition_,"'FB_Retail'!$A$65:$F$68",_xll.EVRNG(A65:F68))</f>
        <v>'FB_Retail'!$A$65:$F$68</v>
      </c>
      <c r="C51" s="11"/>
      <c r="D51" s="11"/>
      <c r="E51" s="11"/>
      <c r="F51" s="384"/>
      <c r="G51" s="11"/>
      <c r="H51" s="88" t="s">
        <v>420</v>
      </c>
      <c r="I51" s="122" t="str">
        <f>IF(_epmOfflineCondition_,"N",_xll.EVPRO($B$1,$H51,"STYLE"))</f>
        <v>N</v>
      </c>
      <c r="J51" s="122" t="str">
        <f>IF(_epmOfflineCondition_,"N",_xll.EVPRO($B$1,$H51,"CALC"))</f>
        <v>N</v>
      </c>
      <c r="K51" s="179" t="str">
        <f t="shared" si="12"/>
        <v/>
      </c>
      <c r="L51" s="90" t="str">
        <f>IF(_epmOfflineCondition_,"569600",_xll.EVPRO($B$1,H51,"JDEID"))</f>
        <v>569600</v>
      </c>
      <c r="M51" s="90" t="str">
        <f>IF(_epmOfflineCondition_,"306099",IF(AND(I51="N",J51="N"),_xll.EVPRO($B$1,H51,"PSFTID"),""))</f>
        <v>306099</v>
      </c>
      <c r="N51" s="90" t="str">
        <f>IF(_epmOfflineCondition_,"Giftware Retail COS",IF(_xll.EVDES(H51,$B$1)="#NODATA","",_xll.EVDES(H51,$B$1)))</f>
        <v>Giftware Retail COS</v>
      </c>
      <c r="O51" s="143"/>
      <c r="P51" s="143"/>
      <c r="Q51" s="143"/>
      <c r="R51" s="143"/>
      <c r="S51" s="143"/>
      <c r="T51" s="143"/>
      <c r="U51" s="143"/>
      <c r="V51" s="143"/>
      <c r="W51" s="143"/>
      <c r="X51" s="143"/>
      <c r="Y51" s="143"/>
      <c r="Z51" s="143"/>
      <c r="AA51" s="143">
        <f t="shared" si="13"/>
        <v>0</v>
      </c>
      <c r="AB51" s="144" t="str">
        <f>IF(_epmOfflineCondition_,"",IF(AA51=0,"",IFERROR(AA51/_xll.EVGTS($B$1,1,_xll.EVPRO($B$1,$H51,"COSBASIS"),$B$3,$B$5,$B$6,$B$7,$B$9,AA$16,AA$17,AA$11),"")))</f>
        <v/>
      </c>
      <c r="AC51" s="140"/>
      <c r="AD51" s="143"/>
      <c r="AE51" s="144" t="str">
        <f>IF(_epmOfflineCondition_,"",IF(AD51=0,"",IFERROR(AD51/_xll.EVGTS($B$1,1,_xll.EVPRO($B$1,$H51,"COSBASIS"),$B$3,$B$5,$B$6,$B$7,$B$9,AD$16,AD$17,AD$18),"")))</f>
        <v/>
      </c>
      <c r="AF51" s="145">
        <f t="shared" si="14"/>
        <v>0</v>
      </c>
      <c r="AG51" s="143"/>
      <c r="AH51" s="144" t="str">
        <f>IF(_epmOfflineCondition_,"",IF(AG51=0,"",IFERROR(AG51/_xll.EVGTS($B$1,1,_xll.EVPRO($B$1,$H51,"COSBASIS"),$B$3,$B$5,$B$6,$B$7,$B$9,AG$16,AG$17,AG$18),"")))</f>
        <v/>
      </c>
      <c r="AI51" s="145">
        <f t="shared" si="15"/>
        <v>0</v>
      </c>
      <c r="AJ51" s="440">
        <f t="shared" si="16"/>
        <v>0</v>
      </c>
      <c r="AK51" s="441">
        <f t="shared" si="17"/>
        <v>0</v>
      </c>
      <c r="AL51" s="442">
        <f t="shared" si="18"/>
        <v>0</v>
      </c>
      <c r="AM51" s="443">
        <f t="shared" si="19"/>
        <v>0</v>
      </c>
      <c r="AN51" s="444">
        <f t="shared" si="20"/>
        <v>0</v>
      </c>
      <c r="AO51" s="11"/>
    </row>
    <row r="52" spans="1:41" x14ac:dyDescent="0.35">
      <c r="A52" s="65" t="s">
        <v>47</v>
      </c>
      <c r="B52" s="66" t="str">
        <f>IF(_epmOfflineCondition_,"'FB_Retail'!$A$116:$B$137",_xll.EVRNG($A$116:$B$137))</f>
        <v>'FB_Retail'!$A$116:$B$137</v>
      </c>
      <c r="C52" s="11"/>
      <c r="D52" s="11"/>
      <c r="E52" s="11"/>
      <c r="F52" s="11"/>
      <c r="G52" s="11"/>
      <c r="H52" s="88" t="s">
        <v>421</v>
      </c>
      <c r="I52" s="122" t="str">
        <f>IF(_epmOfflineCondition_,"N",_xll.EVPRO($B$1,$H52,"STYLE"))</f>
        <v>N</v>
      </c>
      <c r="J52" s="122" t="str">
        <f>IF(_epmOfflineCondition_,"N",_xll.EVPRO($B$1,$H52,"CALC"))</f>
        <v>N</v>
      </c>
      <c r="K52" s="179" t="str">
        <f t="shared" si="12"/>
        <v/>
      </c>
      <c r="L52" s="90" t="str">
        <f>IF(_epmOfflineCondition_,"569700",_xll.EVPRO($B$1,H52,"JDEID"))</f>
        <v>569700</v>
      </c>
      <c r="M52" s="90" t="str">
        <f>IF(_epmOfflineCondition_,"NA",IF(AND(I52="N",J52="N"),_xll.EVPRO($B$1,H52,"PSFTID"),""))</f>
        <v>NA</v>
      </c>
      <c r="N52" s="90" t="str">
        <f>IF(_epmOfflineCondition_,"Books Retail COS",IF(_xll.EVDES(H52,$B$1)="#NODATA","",_xll.EVDES(H52,$B$1)))</f>
        <v>Books Retail COS</v>
      </c>
      <c r="O52" s="143"/>
      <c r="P52" s="143"/>
      <c r="Q52" s="143"/>
      <c r="R52" s="143"/>
      <c r="S52" s="143"/>
      <c r="T52" s="143"/>
      <c r="U52" s="143"/>
      <c r="V52" s="143"/>
      <c r="W52" s="143"/>
      <c r="X52" s="143"/>
      <c r="Y52" s="143"/>
      <c r="Z52" s="143"/>
      <c r="AA52" s="143">
        <f t="shared" si="13"/>
        <v>0</v>
      </c>
      <c r="AB52" s="144" t="str">
        <f>IF(_epmOfflineCondition_,"",IF(AA52=0,"",IFERROR(AA52/_xll.EVGTS($B$1,1,_xll.EVPRO($B$1,$H52,"COSBASIS"),$B$3,$B$5,$B$6,$B$7,$B$9,AA$16,AA$17,AA$11),"")))</f>
        <v/>
      </c>
      <c r="AC52" s="140"/>
      <c r="AD52" s="143"/>
      <c r="AE52" s="144" t="str">
        <f>IF(_epmOfflineCondition_,"",IF(AD52=0,"",IFERROR(AD52/_xll.EVGTS($B$1,1,_xll.EVPRO($B$1,$H52,"COSBASIS"),$B$3,$B$5,$B$6,$B$7,$B$9,AD$16,AD$17,AD$18),"")))</f>
        <v/>
      </c>
      <c r="AF52" s="145">
        <f t="shared" si="14"/>
        <v>0</v>
      </c>
      <c r="AG52" s="143"/>
      <c r="AH52" s="144" t="str">
        <f>IF(_epmOfflineCondition_,"",IF(AG52=0,"",IFERROR(AG52/_xll.EVGTS($B$1,1,_xll.EVPRO($B$1,$H52,"COSBASIS"),$B$3,$B$5,$B$6,$B$7,$B$9,AG$16,AG$17,AG$18),"")))</f>
        <v/>
      </c>
      <c r="AI52" s="145">
        <f t="shared" si="15"/>
        <v>0</v>
      </c>
      <c r="AJ52" s="440">
        <f t="shared" si="16"/>
        <v>0</v>
      </c>
      <c r="AK52" s="441">
        <f t="shared" si="17"/>
        <v>0</v>
      </c>
      <c r="AL52" s="442">
        <f t="shared" si="18"/>
        <v>0</v>
      </c>
      <c r="AM52" s="443">
        <f t="shared" si="19"/>
        <v>0</v>
      </c>
      <c r="AN52" s="444">
        <f t="shared" si="20"/>
        <v>0</v>
      </c>
      <c r="AO52" s="11"/>
    </row>
    <row r="53" spans="1:41" x14ac:dyDescent="0.35">
      <c r="A53" s="65" t="s">
        <v>8</v>
      </c>
      <c r="B53" s="66"/>
      <c r="C53" s="11"/>
      <c r="D53" s="11"/>
      <c r="E53" s="11"/>
      <c r="F53" s="11"/>
      <c r="G53" s="11"/>
      <c r="H53" s="88" t="s">
        <v>422</v>
      </c>
      <c r="I53" s="122" t="str">
        <f>IF(_epmOfflineCondition_,"N",_xll.EVPRO($B$1,$H53,"STYLE"))</f>
        <v>N</v>
      </c>
      <c r="J53" s="122" t="str">
        <f>IF(_epmOfflineCondition_,"N",_xll.EVPRO($B$1,$H53,"CALC"))</f>
        <v>N</v>
      </c>
      <c r="K53" s="179" t="str">
        <f t="shared" si="12"/>
        <v/>
      </c>
      <c r="L53" s="90" t="str">
        <f>IF(_epmOfflineCondition_,"569800",_xll.EVPRO($B$1,H53,"JDEID"))</f>
        <v>569800</v>
      </c>
      <c r="M53" s="90" t="str">
        <f>IF(_epmOfflineCondition_,"NA",IF(AND(I53="N",J53="N"),_xll.EVPRO($B$1,H53,"PSFTID"),""))</f>
        <v>NA</v>
      </c>
      <c r="N53" s="90" t="str">
        <f>IF(_epmOfflineCondition_,"Glassware Retail COS",IF(_xll.EVDES(H53,$B$1)="#NODATA","",_xll.EVDES(H53,$B$1)))</f>
        <v>Glassware Retail COS</v>
      </c>
      <c r="O53" s="217"/>
      <c r="P53" s="217"/>
      <c r="Q53" s="217"/>
      <c r="R53" s="217"/>
      <c r="S53" s="217"/>
      <c r="T53" s="217"/>
      <c r="U53" s="217"/>
      <c r="V53" s="217"/>
      <c r="W53" s="217"/>
      <c r="X53" s="217"/>
      <c r="Y53" s="217"/>
      <c r="Z53" s="217"/>
      <c r="AA53" s="217">
        <f t="shared" si="13"/>
        <v>0</v>
      </c>
      <c r="AB53" s="219" t="str">
        <f>IF(_epmOfflineCondition_,"",IF(AA53=0,"",IFERROR(AA53/_xll.EVGTS($B$1,1,_xll.EVPRO($B$1,$H53,"COSBASIS"),$B$3,$B$5,$B$6,$B$7,$B$9,AA$16,AA$17,AA$11),"")))</f>
        <v/>
      </c>
      <c r="AC53" s="140"/>
      <c r="AD53" s="217"/>
      <c r="AE53" s="219" t="str">
        <f>IF(_epmOfflineCondition_,"",IF(AD53=0,"",IFERROR(AD53/_xll.EVGTS($B$1,1,_xll.EVPRO($B$1,$H53,"COSBASIS"),$B$3,$B$5,$B$6,$B$7,$B$9,AD$16,AD$17,AD$18),"")))</f>
        <v/>
      </c>
      <c r="AF53" s="220">
        <f t="shared" si="14"/>
        <v>0</v>
      </c>
      <c r="AG53" s="217"/>
      <c r="AH53" s="219" t="str">
        <f>IF(_epmOfflineCondition_,"",IF(AG53=0,"",IFERROR(AG53/_xll.EVGTS($B$1,1,_xll.EVPRO($B$1,$H53,"COSBASIS"),$B$3,$B$5,$B$6,$B$7,$B$9,AG$16,AG$17,AG$18),"")))</f>
        <v/>
      </c>
      <c r="AI53" s="220">
        <f t="shared" si="15"/>
        <v>0</v>
      </c>
      <c r="AJ53" s="449">
        <f t="shared" si="16"/>
        <v>0</v>
      </c>
      <c r="AK53" s="450">
        <f t="shared" si="17"/>
        <v>0</v>
      </c>
      <c r="AL53" s="451">
        <f t="shared" si="18"/>
        <v>0</v>
      </c>
      <c r="AM53" s="452">
        <f t="shared" si="19"/>
        <v>0</v>
      </c>
      <c r="AN53" s="453">
        <f t="shared" si="20"/>
        <v>0</v>
      </c>
      <c r="AO53" s="11"/>
    </row>
    <row r="54" spans="1:41" x14ac:dyDescent="0.35">
      <c r="A54" s="11"/>
      <c r="B54" s="11"/>
      <c r="C54" s="11"/>
      <c r="D54" s="11"/>
      <c r="E54" s="11"/>
      <c r="F54" s="11"/>
      <c r="G54" s="11"/>
      <c r="H54" s="88" t="s">
        <v>289</v>
      </c>
      <c r="I54" s="188" t="str">
        <f>IF(_epmOfflineCondition_,"T3",_xll.EVPRO($B$1,$H54,"STYLE"))</f>
        <v>T3</v>
      </c>
      <c r="J54" s="188" t="str">
        <f>IF(_epmOfflineCondition_,"Y",_xll.EVPRO($B$1,$H54,"CALC"))</f>
        <v>Y</v>
      </c>
      <c r="K54" s="189" t="str">
        <f t="shared" si="12"/>
        <v/>
      </c>
      <c r="L54" s="190" t="str">
        <f>IF(_epmOfflineCondition_,"500001",_xll.EVPRO($B$1,H54,"JDEID"))</f>
        <v>500001</v>
      </c>
      <c r="M54" s="190" t="str">
        <f>IF(_epmOfflineCondition_,"",IF(AND(I54="N",J54="N"),_xll.EVPRO($B$1,H54,"PSFTID"),""))</f>
        <v/>
      </c>
      <c r="N54" s="190" t="str">
        <f>IF(_epmOfflineCondition_,"Total Cost of Sales",IF(_xll.EVDES(H54,$B$1)="#NODATA","",_xll.EVDES(H54,$B$1)))</f>
        <v>Total Cost of Sales</v>
      </c>
      <c r="O54" s="225"/>
      <c r="P54" s="225"/>
      <c r="Q54" s="225"/>
      <c r="R54" s="225"/>
      <c r="S54" s="225"/>
      <c r="T54" s="225"/>
      <c r="U54" s="225"/>
      <c r="V54" s="225"/>
      <c r="W54" s="225"/>
      <c r="X54" s="225"/>
      <c r="Y54" s="225"/>
      <c r="Z54" s="225"/>
      <c r="AA54" s="225">
        <f t="shared" si="13"/>
        <v>0</v>
      </c>
      <c r="AB54" s="226" t="str">
        <f>IF(_epmOfflineCondition_,"",IF(AA54=0,"",IFERROR(AA54/_xll.EVGTS($B$1,1,_xll.EVPRO($B$1,$H54,"COSBASIS"),$B$3,$B$5,$B$6,$B$7,$B$9,AA$16,AA$17,AA$11),"")))</f>
        <v/>
      </c>
      <c r="AC54" s="227"/>
      <c r="AD54" s="225"/>
      <c r="AE54" s="226" t="str">
        <f>IF(_epmOfflineCondition_,"",IF(AD54=0,"",IFERROR(AD54/_xll.EVGTS($B$1,1,_xll.EVPRO($B$1,$H54,"COSBASIS"),$B$3,$B$5,$B$6,$B$7,$B$9,AD$16,AD$17,AD$18),"")))</f>
        <v/>
      </c>
      <c r="AF54" s="228">
        <f t="shared" si="14"/>
        <v>0</v>
      </c>
      <c r="AG54" s="225"/>
      <c r="AH54" s="226" t="str">
        <f>IF(_epmOfflineCondition_,"",IF(AG54=0,"",IFERROR(AG54/_xll.EVGTS($B$1,1,_xll.EVPRO($B$1,$H54,"COSBASIS"),$B$3,$B$5,$B$6,$B$7,$B$9,AG$16,AG$17,AG$18),"")))</f>
        <v/>
      </c>
      <c r="AI54" s="228">
        <f t="shared" si="15"/>
        <v>0</v>
      </c>
      <c r="AJ54" s="229">
        <f t="shared" si="16"/>
        <v>0</v>
      </c>
      <c r="AK54" s="230">
        <f t="shared" si="17"/>
        <v>0</v>
      </c>
      <c r="AL54" s="232">
        <f t="shared" si="18"/>
        <v>0</v>
      </c>
      <c r="AM54" s="427">
        <f t="shared" si="19"/>
        <v>0</v>
      </c>
      <c r="AN54" s="456">
        <f t="shared" si="20"/>
        <v>0</v>
      </c>
      <c r="AO54" s="11"/>
    </row>
    <row r="55" spans="1:41" x14ac:dyDescent="0.35">
      <c r="A55" s="62" t="s">
        <v>9</v>
      </c>
      <c r="B55" s="63" t="s">
        <v>10</v>
      </c>
      <c r="C55" s="11"/>
      <c r="D55" s="11"/>
      <c r="E55" s="11"/>
      <c r="F55" s="11"/>
      <c r="G55" s="11"/>
      <c r="H55" s="185" t="s">
        <v>175</v>
      </c>
      <c r="I55" s="89" t="str">
        <f>IF(_epmOfflineCondition_,"B1",_xll.EVPRO($B$1,$H55,"STYLE"))</f>
        <v>B1</v>
      </c>
      <c r="J55" s="89" t="str">
        <f>IF(_epmOfflineCondition_,"Y",_xll.EVPRO($B$1,$H55,"CALC"))</f>
        <v>Y</v>
      </c>
      <c r="K55" s="265" t="str">
        <f t="shared" si="12"/>
        <v/>
      </c>
      <c r="L55" s="265"/>
      <c r="M55" s="265"/>
      <c r="N55" s="106" t="str">
        <f>IF(_epmOfflineCondition_,"BLANKROW",IF(_xll.EVDES(H55,$B$1)="#NODATA","",_xll.EVDES(H55,$B$1)))</f>
        <v>BLANKROW</v>
      </c>
      <c r="O55" s="205"/>
      <c r="P55" s="205"/>
      <c r="Q55" s="205"/>
      <c r="R55" s="205"/>
      <c r="S55" s="205"/>
      <c r="T55" s="205"/>
      <c r="U55" s="205"/>
      <c r="V55" s="205"/>
      <c r="W55" s="205"/>
      <c r="X55" s="205"/>
      <c r="Y55" s="205"/>
      <c r="Z55" s="205"/>
      <c r="AA55" s="205"/>
      <c r="AB55" s="206" t="str">
        <f>IF(_epmOfflineCondition_,"",IF(O55=0,"",IFERROR(O55/_xll.EVGTS($B$1,1,INDEX($C$143:$C$166,MATCH($H55,$A$143:$A$166,0)),$B$3,$B$5,$B$6,$B$7,$B$9,O$16,O$17,O$18),"")))</f>
        <v/>
      </c>
      <c r="AC55" s="11"/>
      <c r="AD55" s="205"/>
      <c r="AE55" s="206" t="str">
        <f>IF(_epmOfflineCondition_,"",IF(AD55=0,"",IFERROR(AD55/_xll.EVGTS($B$1,1,INDEX($C$143:$C$166,MATCH($H55,$A$143:$A$166,0)),$B$3,$B$5,$B$6,$B$7,$B$9,AD$16,AD$17,AD$18),"")))</f>
        <v/>
      </c>
      <c r="AF55" s="207" t="str">
        <f t="shared" si="14"/>
        <v/>
      </c>
      <c r="AG55" s="205"/>
      <c r="AH55" s="206" t="str">
        <f>IF(_epmOfflineCondition_,"",IF(AG55=0,"",IFERROR(AG55/_xll.EVGTS($B$1,1,INDEX($C$143:$C$166,MATCH($H55,$A$143:$A$166,0)),$B$3,$B$5,$B$6,$B$7,$B$9,AG$16,AG$17,AG$18),"")))</f>
        <v/>
      </c>
      <c r="AI55" s="207" t="str">
        <f t="shared" si="15"/>
        <v/>
      </c>
      <c r="AJ55" s="523">
        <f t="shared" si="16"/>
        <v>0</v>
      </c>
      <c r="AK55" s="524">
        <f t="shared" si="17"/>
        <v>0</v>
      </c>
      <c r="AL55" s="525">
        <f t="shared" si="18"/>
        <v>0</v>
      </c>
      <c r="AM55" s="526">
        <f t="shared" si="19"/>
        <v>0</v>
      </c>
      <c r="AN55" s="527">
        <f t="shared" si="20"/>
        <v>0</v>
      </c>
      <c r="AO55" s="11"/>
    </row>
    <row r="56" spans="1:41" x14ac:dyDescent="0.35">
      <c r="A56" s="65" t="s">
        <v>11</v>
      </c>
      <c r="B56" s="66" t="s">
        <v>21</v>
      </c>
      <c r="C56" s="11"/>
      <c r="D56" s="11"/>
      <c r="E56" s="11"/>
      <c r="F56" s="11"/>
      <c r="G56" s="76"/>
      <c r="H56" s="185" t="s">
        <v>292</v>
      </c>
      <c r="I56" s="89" t="str">
        <f>IF(_epmOfflineCondition_,"T3",_xll.EVPRO($B$1,$H56,"STYLE"))</f>
        <v>T3</v>
      </c>
      <c r="J56" s="89" t="str">
        <f>IF(_epmOfflineCondition_,"Y",_xll.EVPRO($B$1,$H56,"CALC"))</f>
        <v>Y</v>
      </c>
      <c r="K56" s="265" t="str">
        <f t="shared" si="12"/>
        <v/>
      </c>
      <c r="L56" s="265"/>
      <c r="M56" s="265"/>
      <c r="N56" s="106" t="str">
        <f>IF(_epmOfflineCondition_,"Gross Profit",IF(_xll.EVDES(H56,$B$1)="#NODATA","",_xll.EVDES(H56,$B$1)))</f>
        <v>Gross Profit</v>
      </c>
      <c r="O56" s="123">
        <f t="shared" ref="O56:Z56" si="21">SUMIF($H$34:$H$54,"400000",O34:O54)-SUMIF($H$34:$H$54,"500001",O34:O54)</f>
        <v>0</v>
      </c>
      <c r="P56" s="123">
        <f t="shared" si="21"/>
        <v>0</v>
      </c>
      <c r="Q56" s="123">
        <f t="shared" si="21"/>
        <v>0</v>
      </c>
      <c r="R56" s="123">
        <f t="shared" si="21"/>
        <v>0</v>
      </c>
      <c r="S56" s="123">
        <f t="shared" si="21"/>
        <v>0</v>
      </c>
      <c r="T56" s="123">
        <f t="shared" si="21"/>
        <v>0</v>
      </c>
      <c r="U56" s="123">
        <f t="shared" si="21"/>
        <v>0</v>
      </c>
      <c r="V56" s="123">
        <f t="shared" si="21"/>
        <v>0</v>
      </c>
      <c r="W56" s="123">
        <f t="shared" si="21"/>
        <v>0</v>
      </c>
      <c r="X56" s="123">
        <f t="shared" si="21"/>
        <v>0</v>
      </c>
      <c r="Y56" s="123">
        <f t="shared" si="21"/>
        <v>0</v>
      </c>
      <c r="Z56" s="123">
        <f t="shared" si="21"/>
        <v>0</v>
      </c>
      <c r="AA56" s="123">
        <f>IF($I56="B1","",SUM(O56:Z56))</f>
        <v>0</v>
      </c>
      <c r="AB56" s="192" t="str">
        <f>IF(AA56=0,"",IFERROR(AA56/AA$19,""))</f>
        <v/>
      </c>
      <c r="AC56" s="11"/>
      <c r="AD56" s="123">
        <f>SUMIF($H$34:$H$54,"400000",AD34:AD54)-SUMIF($H$34:$H$54,"500001",AD34:AD54)</f>
        <v>0</v>
      </c>
      <c r="AE56" s="192" t="str">
        <f>IF(AD56=0,"",IFERROR(AD56/AD$19,""))</f>
        <v/>
      </c>
      <c r="AF56" s="125">
        <f t="shared" si="14"/>
        <v>0</v>
      </c>
      <c r="AG56" s="123">
        <f>SUMIF($H$34:$H$54,"400000",AG34:AG54)-SUMIF($H$34:$H$54,"500001",AG34:AG54)</f>
        <v>0</v>
      </c>
      <c r="AH56" s="192" t="str">
        <f>IF(AG56=0,"",IFERROR(AG56/AG$19,""))</f>
        <v/>
      </c>
      <c r="AI56" s="125">
        <f t="shared" si="15"/>
        <v>0</v>
      </c>
      <c r="AJ56" s="388">
        <f t="shared" si="16"/>
        <v>0</v>
      </c>
      <c r="AK56" s="389">
        <f t="shared" si="17"/>
        <v>0</v>
      </c>
      <c r="AL56" s="390">
        <f t="shared" si="18"/>
        <v>0</v>
      </c>
      <c r="AM56" s="391">
        <f t="shared" si="19"/>
        <v>0</v>
      </c>
      <c r="AN56" s="544">
        <f t="shared" si="20"/>
        <v>0</v>
      </c>
      <c r="AO56" s="11"/>
    </row>
    <row r="57" spans="1:41" x14ac:dyDescent="0.35">
      <c r="A57" s="65" t="s">
        <v>12</v>
      </c>
      <c r="B57" s="66" t="s">
        <v>22</v>
      </c>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393"/>
      <c r="AE57" s="204"/>
      <c r="AF57" s="118"/>
      <c r="AG57" s="204"/>
      <c r="AH57" s="204"/>
      <c r="AI57" s="118"/>
      <c r="AJ57" s="11"/>
      <c r="AK57" s="11"/>
      <c r="AL57" s="11"/>
      <c r="AM57" s="11"/>
      <c r="AN57" s="11"/>
      <c r="AO57" s="11"/>
    </row>
    <row r="58" spans="1:41" x14ac:dyDescent="0.35">
      <c r="A58" s="65" t="s">
        <v>13</v>
      </c>
      <c r="B58" s="66" t="str">
        <f>"DEP(569000) AND "&amp;$E$6&amp;"=Y,500001"</f>
        <v>DEP(569000) AND D2149=Y,500001</v>
      </c>
      <c r="C58" s="11"/>
      <c r="D58" s="11"/>
      <c r="E58" s="11"/>
      <c r="F58" s="11"/>
      <c r="G58" s="11"/>
      <c r="H58" s="11" t="s">
        <v>73</v>
      </c>
      <c r="I58" s="59" t="str">
        <f>IF(_epmOfflineCondition_,"B1",_xll.EVPRO($B$1,$H58,"STYLE"))</f>
        <v>B1</v>
      </c>
      <c r="J58" s="59" t="str">
        <f>IF(_epmOfflineCondition_,"Y",_xll.EVPRO($B$1,$H58,"CALC"))</f>
        <v>Y</v>
      </c>
      <c r="K58" s="11"/>
      <c r="L58" s="11"/>
      <c r="M58" s="11"/>
      <c r="N58" s="105" t="str">
        <f>IF(_epmOfflineCondition_,"Labor &amp; Related Expenses",IF(_xll.EVDES(H58,$B$1)="#NODATA","",_xll.EVDES(H58,$B$1)))</f>
        <v>Labor &amp; Related Expenses</v>
      </c>
      <c r="O58" s="203"/>
      <c r="P58" s="204"/>
      <c r="Q58" s="204"/>
      <c r="R58" s="204"/>
      <c r="S58" s="204"/>
      <c r="T58" s="204"/>
      <c r="U58" s="204"/>
      <c r="V58" s="204"/>
      <c r="W58" s="204"/>
      <c r="X58" s="204"/>
      <c r="Y58" s="204"/>
      <c r="Z58" s="204"/>
      <c r="AA58" s="204"/>
      <c r="AB58" s="410"/>
      <c r="AC58" s="11"/>
      <c r="AD58" s="411"/>
      <c r="AE58" s="412"/>
      <c r="AF58" s="118"/>
      <c r="AG58" s="204"/>
      <c r="AH58" s="412"/>
      <c r="AI58" s="118"/>
      <c r="AJ58" s="11"/>
      <c r="AK58" s="11"/>
      <c r="AL58" s="11"/>
      <c r="AM58" s="11"/>
      <c r="AN58" s="11"/>
      <c r="AO58" s="11"/>
    </row>
    <row r="59" spans="1:41" x14ac:dyDescent="0.35">
      <c r="A59" s="65" t="s">
        <v>14</v>
      </c>
      <c r="B59" s="66"/>
      <c r="C59" s="11"/>
      <c r="D59" s="11"/>
      <c r="E59" s="11"/>
      <c r="F59" s="11"/>
      <c r="G59" s="11"/>
      <c r="H59" s="11" t="s">
        <v>74</v>
      </c>
      <c r="I59" s="59" t="str">
        <f>IF(_epmOfflineCondition_,"B1",_xll.EVPRO($B$1,$H59,"STYLE"))</f>
        <v>B1</v>
      </c>
      <c r="J59" s="59" t="str">
        <f>IF(_epmOfflineCondition_,"Y",_xll.EVPRO($B$1,$H59,"CALC"))</f>
        <v>Y</v>
      </c>
      <c r="K59" s="11"/>
      <c r="L59" s="11"/>
      <c r="M59" s="11"/>
      <c r="N59" s="53" t="str">
        <f>IF(_epmOfflineCondition_,"Salaries &amp; Wages",IF(_xll.EVDES(H59,$B$1)="#NODATA","",_xll.EVDES(H59,$B$1)))</f>
        <v>Salaries &amp; Wages</v>
      </c>
      <c r="O59" s="119"/>
      <c r="P59" s="120"/>
      <c r="Q59" s="120"/>
      <c r="R59" s="120"/>
      <c r="S59" s="120"/>
      <c r="T59" s="120"/>
      <c r="U59" s="120"/>
      <c r="V59" s="120"/>
      <c r="W59" s="120"/>
      <c r="X59" s="120"/>
      <c r="Y59" s="120"/>
      <c r="Z59" s="120"/>
      <c r="AA59" s="120"/>
      <c r="AB59" s="121"/>
      <c r="AC59" s="11"/>
      <c r="AD59" s="119"/>
      <c r="AE59" s="120"/>
      <c r="AF59" s="121"/>
      <c r="AG59" s="120"/>
      <c r="AH59" s="120"/>
      <c r="AI59" s="121"/>
      <c r="AJ59" s="11"/>
      <c r="AK59" s="11"/>
      <c r="AL59" s="11"/>
      <c r="AM59" s="11"/>
      <c r="AN59" s="11"/>
      <c r="AO59" s="11"/>
    </row>
    <row r="60" spans="1:41" hidden="1" x14ac:dyDescent="0.35">
      <c r="A60" s="65" t="s">
        <v>15</v>
      </c>
      <c r="B60" s="66"/>
      <c r="C60" s="11"/>
      <c r="D60" s="11"/>
      <c r="E60" s="11"/>
      <c r="F60" s="11"/>
      <c r="G60" s="11"/>
      <c r="H60" s="88" t="s">
        <v>667</v>
      </c>
      <c r="I60" s="122" t="str">
        <f>IF(_epmOfflineCondition_,"",_xll.EVPRO($B$1,$H60,"STYLE"))</f>
        <v/>
      </c>
      <c r="J60" s="122" t="str">
        <f>IF(_epmOfflineCondition_,"",_xll.EVPRO($B$1,$H60,"CALC"))</f>
        <v/>
      </c>
      <c r="K60" s="179" t="str">
        <f>IF(AND(I60&gt;="T3"),"&gt;","")</f>
        <v/>
      </c>
      <c r="L60" s="90" t="str">
        <f>IF(_epmOfflineCondition_,"",_xll.EVPRO($B$1,H60,"JDEID"))</f>
        <v/>
      </c>
      <c r="M60" s="90" t="str">
        <f>IF(_epmOfflineCondition_,"",IF(AND(I60="N",J60="N"),_xll.EVPRO($B$1,H60,"PSFTID"),""))</f>
        <v/>
      </c>
      <c r="N60" s="90" t="str">
        <f>IF(_epmOfflineCondition_,"",IF(_xll.EVDES(H60,$B$1)="#NODATA","",_xll.EVDES(H60,$B$1)))</f>
        <v/>
      </c>
      <c r="O60" s="210"/>
      <c r="P60" s="210"/>
      <c r="Q60" s="210"/>
      <c r="R60" s="210"/>
      <c r="S60" s="210"/>
      <c r="T60" s="210"/>
      <c r="U60" s="210"/>
      <c r="V60" s="210"/>
      <c r="W60" s="210"/>
      <c r="X60" s="210"/>
      <c r="Y60" s="210"/>
      <c r="Z60" s="210"/>
      <c r="AA60" s="210">
        <f>IF($I60="B1","",SUM(O60:Z60))</f>
        <v>0</v>
      </c>
      <c r="AB60" s="211" t="str">
        <f>IF(AA60=0,"",IFERROR(AA60/AA$19,""))</f>
        <v/>
      </c>
      <c r="AC60" s="140"/>
      <c r="AD60" s="210"/>
      <c r="AE60" s="211" t="str">
        <f>IF(AD60=0,"",IFERROR(AD60/AD$19,""))</f>
        <v/>
      </c>
      <c r="AF60" s="253">
        <f>IF(AND($AA60="",AD60=""),"",$AA60-AD60)</f>
        <v>0</v>
      </c>
      <c r="AG60" s="210"/>
      <c r="AH60" s="211" t="str">
        <f>IF(AG60=0,"",IFERROR(AG60/AG$19,""))</f>
        <v/>
      </c>
      <c r="AI60" s="253">
        <f>IF(AND($AA60="",AG60=""),"",$AA60-AG60)</f>
        <v>0</v>
      </c>
      <c r="AJ60" s="440">
        <f>IFERROR(AA60/AA$20,0)</f>
        <v>0</v>
      </c>
      <c r="AK60" s="441">
        <f>IFERROR(AD60/AD$20,0)</f>
        <v>0</v>
      </c>
      <c r="AL60" s="442">
        <f>IFERROR(AG60/AG$20,0)</f>
        <v>0</v>
      </c>
      <c r="AM60" s="443">
        <f>+IFERROR(ROUND(($AB60-AE60)*100,2)&amp;" pts.",0)</f>
        <v>0</v>
      </c>
      <c r="AN60" s="444">
        <f>+IFERROR(ROUND(($AB60-AH60)*100,2)&amp;" pts.",0)</f>
        <v>0</v>
      </c>
      <c r="AO60" s="11"/>
    </row>
    <row r="61" spans="1:41" hidden="1" x14ac:dyDescent="0.35">
      <c r="A61" s="65" t="s">
        <v>16</v>
      </c>
      <c r="B61" s="66"/>
      <c r="C61" s="11"/>
      <c r="D61" s="11"/>
      <c r="E61" s="11"/>
      <c r="F61" s="11"/>
      <c r="G61" s="11"/>
      <c r="H61" s="88"/>
      <c r="I61" s="122" t="str">
        <f>IF(_epmOfflineCondition_,"",_xll.EVPRO($B$1,$H61,"STYLE"))</f>
        <v/>
      </c>
      <c r="J61" s="122" t="str">
        <f>IF(_epmOfflineCondition_,"",_xll.EVPRO($B$1,$H61,"CALC"))</f>
        <v/>
      </c>
      <c r="K61" s="179" t="str">
        <f>IF(AND(I61&gt;="T3"),"&gt;","")</f>
        <v/>
      </c>
      <c r="L61" s="90" t="str">
        <f>IF(_epmOfflineCondition_,"",_xll.EVPRO($B$1,H61,"JDEID"))</f>
        <v/>
      </c>
      <c r="M61" s="90" t="str">
        <f>IF(_epmOfflineCondition_,"",IF(AND(I61="N",J61="N"),_xll.EVPRO($B$1,H61,"PSFTID"),""))</f>
        <v/>
      </c>
      <c r="N61" s="90" t="str">
        <f>IF(_epmOfflineCondition_,"",IF(_xll.EVDES(H61,$B$1)="#NODATA","",_xll.EVDES(H61,$B$1)))</f>
        <v/>
      </c>
      <c r="O61" s="210"/>
      <c r="P61" s="210"/>
      <c r="Q61" s="210"/>
      <c r="R61" s="210"/>
      <c r="S61" s="210"/>
      <c r="T61" s="210"/>
      <c r="U61" s="210"/>
      <c r="V61" s="210"/>
      <c r="W61" s="210"/>
      <c r="X61" s="210"/>
      <c r="Y61" s="210"/>
      <c r="Z61" s="210"/>
      <c r="AA61" s="210">
        <f>IF($I61="B1","",SUM(O61:Z61))</f>
        <v>0</v>
      </c>
      <c r="AB61" s="211" t="str">
        <f>IF(AA61=0,"",IFERROR(AA61/AA$19,""))</f>
        <v/>
      </c>
      <c r="AC61" s="140"/>
      <c r="AD61" s="210"/>
      <c r="AE61" s="211" t="str">
        <f>IF(AD61=0,"",IFERROR(AD61/AD$19,""))</f>
        <v/>
      </c>
      <c r="AF61" s="253">
        <f>IF(AND($AA61="",AD61=""),"",$AA61-AD61)</f>
        <v>0</v>
      </c>
      <c r="AG61" s="210"/>
      <c r="AH61" s="211" t="str">
        <f>IF(AG61=0,"",IFERROR(AG61/AG$19,""))</f>
        <v/>
      </c>
      <c r="AI61" s="253">
        <f>IF(AND($AA61="",AG61=""),"",$AA61-AG61)</f>
        <v>0</v>
      </c>
      <c r="AJ61" s="440">
        <f>IFERROR(AA61/AA$20,0)</f>
        <v>0</v>
      </c>
      <c r="AK61" s="441">
        <f>IFERROR(AD61/AD$20,0)</f>
        <v>0</v>
      </c>
      <c r="AL61" s="442">
        <f>IFERROR(AG61/AG$20,0)</f>
        <v>0</v>
      </c>
      <c r="AM61" s="443">
        <f>+IFERROR(ROUND(($AB61-AE61)*100,2)&amp;" pts.",0)</f>
        <v>0</v>
      </c>
      <c r="AN61" s="444">
        <f>+IFERROR(ROUND(($AB61-AH61)*100,2)&amp;" pts.",0)</f>
        <v>0</v>
      </c>
      <c r="AO61" s="11"/>
    </row>
    <row r="62" spans="1:41" x14ac:dyDescent="0.35">
      <c r="A62" s="65" t="s">
        <v>17</v>
      </c>
      <c r="B62" s="66"/>
      <c r="C62" s="11"/>
      <c r="D62" s="11"/>
      <c r="E62" s="11"/>
      <c r="F62" s="11"/>
      <c r="G62" s="11"/>
      <c r="H62" s="88" t="s">
        <v>75</v>
      </c>
      <c r="I62" s="89" t="str">
        <f>IF(_epmOfflineCondition_,"B1",_xll.EVPRO($B$1,$H62,"STYLE"))</f>
        <v>B1</v>
      </c>
      <c r="J62" s="89" t="str">
        <f>IF(_epmOfflineCondition_,"Y",_xll.EVPRO($B$1,$H62,"CALC"))</f>
        <v>Y</v>
      </c>
      <c r="K62" s="265" t="str">
        <f>IF(AND(I62&gt;="T3"),"&gt;","")</f>
        <v/>
      </c>
      <c r="L62" s="106" t="str">
        <f>IF(_epmOfflineCondition_,"",_xll.EVPRO($B$1,H62,"JDEID"))</f>
        <v/>
      </c>
      <c r="M62" s="90" t="str">
        <f>IF(_epmOfflineCondition_,"",IF(AND(I62="N",J62="N"),_xll.EVPRO($B$1,H62,"PSFTID"),""))</f>
        <v/>
      </c>
      <c r="N62" s="106" t="str">
        <f>IF(_epmOfflineCondition_,"Non-Management",IF(_xll.EVDES(H62,$B$1)="#NODATA","",_xll.EVDES(H62,$B$1)))</f>
        <v>Non-Management</v>
      </c>
      <c r="O62" s="197"/>
      <c r="P62" s="197"/>
      <c r="Q62" s="197"/>
      <c r="R62" s="197"/>
      <c r="S62" s="197"/>
      <c r="T62" s="197"/>
      <c r="U62" s="197"/>
      <c r="V62" s="197"/>
      <c r="W62" s="197"/>
      <c r="X62" s="197"/>
      <c r="Y62" s="197"/>
      <c r="Z62" s="197"/>
      <c r="AA62" s="197" t="str">
        <f>IF($I62="B1","",SUM(O62:Z62))</f>
        <v/>
      </c>
      <c r="AB62" s="198" t="str">
        <f>IF(AA62=0,"",IFERROR(AA62/AA$19,""))</f>
        <v/>
      </c>
      <c r="AC62" s="11"/>
      <c r="AD62" s="197"/>
      <c r="AE62" s="198" t="str">
        <f>IF(AD62=0,"",IFERROR(AD62/AD$19,""))</f>
        <v/>
      </c>
      <c r="AF62" s="199" t="str">
        <f>IF(AND($AA62="",AD62=""),"",$AA62-AD62)</f>
        <v/>
      </c>
      <c r="AG62" s="197"/>
      <c r="AH62" s="198" t="str">
        <f>IF(AG62=0,"",IFERROR(AG62/AG$19,""))</f>
        <v/>
      </c>
      <c r="AI62" s="199" t="str">
        <f>IF(AND($AA62="",AG62=""),"",$AA62-AG62)</f>
        <v/>
      </c>
      <c r="AJ62" s="397">
        <f>IFERROR(AA62/AA$20,0)</f>
        <v>0</v>
      </c>
      <c r="AK62" s="398">
        <f>IFERROR(AD62/AD$20,0)</f>
        <v>0</v>
      </c>
      <c r="AL62" s="399">
        <f>IFERROR(AG62/AG$20,0)</f>
        <v>0</v>
      </c>
      <c r="AM62" s="400">
        <f>+IFERROR(ROUND(($AB62-AE62)*100,2)&amp;" pts.",0)</f>
        <v>0</v>
      </c>
      <c r="AN62" s="401">
        <f>+IFERROR(ROUND(($AB62-AH62)*100,2)&amp;" pts.",0)</f>
        <v>0</v>
      </c>
      <c r="AO62" s="11"/>
    </row>
    <row r="63" spans="1:41" hidden="1" x14ac:dyDescent="0.35">
      <c r="A63" s="11"/>
      <c r="B63" s="11"/>
      <c r="C63" s="11"/>
      <c r="D63" s="11"/>
      <c r="E63" s="11"/>
      <c r="F63" s="11"/>
      <c r="G63" s="11"/>
      <c r="H63" s="88" t="s">
        <v>667</v>
      </c>
      <c r="I63" s="122" t="str">
        <f>IF(_epmOfflineCondition_,"",_xll.EVPRO($B$1,$H63,"STYLE"))</f>
        <v/>
      </c>
      <c r="J63" s="122" t="str">
        <f>IF(_epmOfflineCondition_,"",_xll.EVPRO($B$1,$H63,"CALC"))</f>
        <v/>
      </c>
      <c r="K63" s="179" t="str">
        <f>IF(AND(I63&gt;="T3"),"&gt;","")</f>
        <v/>
      </c>
      <c r="L63" s="90" t="str">
        <f>IF(_epmOfflineCondition_,"",_xll.EVPRO($B$1,H63,"JDEID"))</f>
        <v/>
      </c>
      <c r="M63" s="90" t="str">
        <f>IF(_epmOfflineCondition_,"",IF(AND(I63="N",J63="N"),_xll.EVPRO($B$1,H63,"PSFTID"),""))</f>
        <v/>
      </c>
      <c r="N63" s="90" t="str">
        <f>IF(_epmOfflineCondition_,"",IF(_xll.EVDES(H63,$B$1)="#NODATA","",_xll.EVDES(H63,$B$1)))</f>
        <v/>
      </c>
      <c r="O63" s="216"/>
      <c r="P63" s="216"/>
      <c r="Q63" s="216"/>
      <c r="R63" s="216"/>
      <c r="S63" s="216"/>
      <c r="T63" s="216"/>
      <c r="U63" s="216"/>
      <c r="V63" s="216"/>
      <c r="W63" s="216"/>
      <c r="X63" s="216"/>
      <c r="Y63" s="216"/>
      <c r="Z63" s="216"/>
      <c r="AA63" s="216">
        <f>IF($I63="B1","",SUM(O63:Z63))</f>
        <v>0</v>
      </c>
      <c r="AB63" s="218" t="str">
        <f>IF(AA63=0,"",IFERROR(AA63/AA$19,""))</f>
        <v/>
      </c>
      <c r="AC63" s="140"/>
      <c r="AD63" s="216"/>
      <c r="AE63" s="218" t="str">
        <f>IF(AD63=0,"",IFERROR(AD63/AD$19,""))</f>
        <v/>
      </c>
      <c r="AF63" s="233">
        <f>IF(AND($AA63="",AD63=""),"",$AA63-AD63)</f>
        <v>0</v>
      </c>
      <c r="AG63" s="216"/>
      <c r="AH63" s="218" t="str">
        <f>IF(AG63=0,"",IFERROR(AG63/AG$19,""))</f>
        <v/>
      </c>
      <c r="AI63" s="233">
        <f>IF(AND($AA63="",AG63=""),"",$AA63-AG63)</f>
        <v>0</v>
      </c>
      <c r="AJ63" s="440">
        <f>IFERROR(AA63/AA$20,0)</f>
        <v>0</v>
      </c>
      <c r="AK63" s="441">
        <f>IFERROR(AD63/AD$20,0)</f>
        <v>0</v>
      </c>
      <c r="AL63" s="442">
        <f>IFERROR(AG63/AG$20,0)</f>
        <v>0</v>
      </c>
      <c r="AM63" s="443">
        <f>+IFERROR(ROUND(($AB63-AE63)*100,2)&amp;" pts.",0)</f>
        <v>0</v>
      </c>
      <c r="AN63" s="444">
        <f>+IFERROR(ROUND(($AB63-AH63)*100,2)&amp;" pts.",0)</f>
        <v>0</v>
      </c>
      <c r="AO63" s="11"/>
    </row>
    <row r="64" spans="1:41" hidden="1" x14ac:dyDescent="0.35">
      <c r="A64" s="97" t="s">
        <v>92</v>
      </c>
      <c r="B64" s="98" t="s">
        <v>93</v>
      </c>
      <c r="C64" s="98" t="s">
        <v>94</v>
      </c>
      <c r="D64" s="98" t="s">
        <v>95</v>
      </c>
      <c r="E64" s="98" t="s">
        <v>96</v>
      </c>
      <c r="F64" s="99" t="s">
        <v>97</v>
      </c>
      <c r="G64" s="11"/>
      <c r="H64" s="88"/>
      <c r="I64" s="122" t="str">
        <f>IF(_epmOfflineCondition_,"",_xll.EVPRO($B$1,$H64,"STYLE"))</f>
        <v/>
      </c>
      <c r="J64" s="122" t="str">
        <f>IF(_epmOfflineCondition_,"",_xll.EVPRO($B$1,$H64,"CALC"))</f>
        <v/>
      </c>
      <c r="K64" s="179" t="str">
        <f>IF(AND(I64&gt;="T3"),"&gt;","")</f>
        <v/>
      </c>
      <c r="L64" s="90" t="str">
        <f>IF(_epmOfflineCondition_,"",_xll.EVPRO($B$1,H64,"JDEID"))</f>
        <v/>
      </c>
      <c r="M64" s="90" t="str">
        <f>IF(_epmOfflineCondition_,"",IF(AND(I64="N",J64="N"),_xll.EVPRO($B$1,H64,"PSFTID"),""))</f>
        <v/>
      </c>
      <c r="N64" s="90" t="str">
        <f>IF(_epmOfflineCondition_,"",IF(_xll.EVDES(H64,$B$1)="#NODATA","",_xll.EVDES(H64,$B$1)))</f>
        <v/>
      </c>
      <c r="O64" s="216"/>
      <c r="P64" s="216"/>
      <c r="Q64" s="216"/>
      <c r="R64" s="216"/>
      <c r="S64" s="216"/>
      <c r="T64" s="216"/>
      <c r="U64" s="216"/>
      <c r="V64" s="216"/>
      <c r="W64" s="216"/>
      <c r="X64" s="216"/>
      <c r="Y64" s="216"/>
      <c r="Z64" s="216"/>
      <c r="AA64" s="216">
        <f>IF($I64="B1","",SUM(O64:Z64))</f>
        <v>0</v>
      </c>
      <c r="AB64" s="218" t="str">
        <f>IF(AA64=0,"",IFERROR(AA64/AA$19,""))</f>
        <v/>
      </c>
      <c r="AC64" s="140"/>
      <c r="AD64" s="216"/>
      <c r="AE64" s="218" t="str">
        <f>IF(AD64=0,"",IFERROR(AD64/AD$19,""))</f>
        <v/>
      </c>
      <c r="AF64" s="233">
        <f>IF(AND($AA64="",AD64=""),"",$AA64-AD64)</f>
        <v>0</v>
      </c>
      <c r="AG64" s="216"/>
      <c r="AH64" s="218" t="str">
        <f>IF(AG64=0,"",IFERROR(AG64/AG$19,""))</f>
        <v/>
      </c>
      <c r="AI64" s="233">
        <f>IF(AND($AA64="",AG64=""),"",$AA64-AG64)</f>
        <v>0</v>
      </c>
      <c r="AJ64" s="440">
        <f>IFERROR(AA64/AA$20,0)</f>
        <v>0</v>
      </c>
      <c r="AK64" s="441">
        <f>IFERROR(AD64/AD$20,0)</f>
        <v>0</v>
      </c>
      <c r="AL64" s="442">
        <f>IFERROR(AG64/AG$20,0)</f>
        <v>0</v>
      </c>
      <c r="AM64" s="443">
        <f>+IFERROR(ROUND(($AB64-AE64)*100,2)&amp;" pts.",0)</f>
        <v>0</v>
      </c>
      <c r="AN64" s="444">
        <f>+IFERROR(ROUND(($AB64-AH64)*100,2)&amp;" pts.",0)</f>
        <v>0</v>
      </c>
      <c r="AO64" s="11"/>
    </row>
    <row r="65" spans="1:41" x14ac:dyDescent="0.35">
      <c r="A65" s="11"/>
      <c r="B65" s="11"/>
      <c r="C65" s="11"/>
      <c r="D65" s="11"/>
      <c r="E65" s="11"/>
      <c r="F65" s="11"/>
      <c r="G65" s="11"/>
      <c r="H65" s="11"/>
      <c r="I65" s="59"/>
      <c r="J65" s="59"/>
      <c r="K65" s="11"/>
      <c r="L65" s="11"/>
      <c r="M65" s="11"/>
      <c r="N65" s="11"/>
      <c r="O65" s="129"/>
      <c r="P65" s="130"/>
      <c r="Q65" s="130"/>
      <c r="R65" s="130"/>
      <c r="S65" s="130"/>
      <c r="T65" s="130"/>
      <c r="U65" s="130"/>
      <c r="V65" s="130"/>
      <c r="W65" s="130"/>
      <c r="X65" s="130"/>
      <c r="Y65" s="130"/>
      <c r="Z65" s="130"/>
      <c r="AA65" s="130"/>
      <c r="AB65" s="131"/>
      <c r="AC65" s="11"/>
      <c r="AD65" s="129"/>
      <c r="AE65" s="130"/>
      <c r="AF65" s="131"/>
      <c r="AG65" s="129"/>
      <c r="AH65" s="130"/>
      <c r="AI65" s="131"/>
      <c r="AJ65" s="11"/>
      <c r="AK65" s="11"/>
      <c r="AL65" s="11"/>
      <c r="AM65" s="11"/>
      <c r="AN65" s="11"/>
      <c r="AO65" s="11"/>
    </row>
    <row r="66" spans="1:41" x14ac:dyDescent="0.35">
      <c r="A66" s="11" t="s">
        <v>105</v>
      </c>
      <c r="B66" s="11"/>
      <c r="C66" s="104" t="s">
        <v>101</v>
      </c>
      <c r="D66" s="11" t="s">
        <v>106</v>
      </c>
      <c r="E66" s="11"/>
      <c r="F66" s="11" t="s">
        <v>98</v>
      </c>
      <c r="G66" s="11"/>
      <c r="H66" s="11" t="s">
        <v>82</v>
      </c>
      <c r="I66" s="59" t="str">
        <f>IF(_epmOfflineCondition_,"B1",_xll.EVPRO($B$1,$H66,"STYLE"))</f>
        <v>B1</v>
      </c>
      <c r="J66" s="59" t="str">
        <f>IF(_epmOfflineCondition_,"Y",_xll.EVPRO($B$1,$H66,"CALC"))</f>
        <v>Y</v>
      </c>
      <c r="K66" s="11"/>
      <c r="L66" s="11"/>
      <c r="M66" s="11"/>
      <c r="N66" s="105" t="str">
        <f>IF(_epmOfflineCondition_,"Other Expenses",IF(_xll.EVDES(H66,$B$1)="#NODATA","",_xll.EVDES(H66,$B$1)))</f>
        <v>Other Expenses</v>
      </c>
      <c r="O66" s="119"/>
      <c r="P66" s="120"/>
      <c r="Q66" s="120"/>
      <c r="R66" s="120"/>
      <c r="S66" s="120"/>
      <c r="T66" s="120"/>
      <c r="U66" s="120"/>
      <c r="V66" s="120"/>
      <c r="W66" s="120"/>
      <c r="X66" s="120"/>
      <c r="Y66" s="120"/>
      <c r="Z66" s="120"/>
      <c r="AA66" s="120"/>
      <c r="AB66" s="121"/>
      <c r="AC66" s="11"/>
      <c r="AD66" s="119"/>
      <c r="AE66" s="120"/>
      <c r="AF66" s="121"/>
      <c r="AG66" s="119"/>
      <c r="AH66" s="120"/>
      <c r="AI66" s="121"/>
      <c r="AJ66" s="11"/>
      <c r="AK66" s="11"/>
      <c r="AL66" s="11"/>
      <c r="AM66" s="11"/>
      <c r="AN66" s="11"/>
      <c r="AO66" s="11"/>
    </row>
    <row r="67" spans="1:41" hidden="1" x14ac:dyDescent="0.35">
      <c r="A67" s="11" t="s">
        <v>108</v>
      </c>
      <c r="B67" s="11"/>
      <c r="C67" s="106" t="s">
        <v>101</v>
      </c>
      <c r="D67" s="11" t="s">
        <v>106</v>
      </c>
      <c r="E67" s="11"/>
      <c r="F67" s="11" t="s">
        <v>98</v>
      </c>
      <c r="G67" s="11"/>
      <c r="H67" s="88" t="s">
        <v>667</v>
      </c>
      <c r="I67" s="122" t="str">
        <f>IF(_epmOfflineCondition_,"",_xll.EVPRO($B$1,$H67,"STYLE"))</f>
        <v/>
      </c>
      <c r="J67" s="122" t="str">
        <f>IF(_epmOfflineCondition_,"",_xll.EVPRO($B$1,$H67,"CALC"))</f>
        <v/>
      </c>
      <c r="K67" s="179" t="str">
        <f>IF(AND(I67&lt;&gt;"B1",J67="Y"),"&gt;","")</f>
        <v/>
      </c>
      <c r="L67" s="90" t="str">
        <f>IF(_epmOfflineCondition_,"",_xll.EVPRO($B$1,H67,"JDEID"))</f>
        <v/>
      </c>
      <c r="M67" s="90" t="str">
        <f>IF(_epmOfflineCondition_,"",IF(AND(I67="N",J67="N"),_xll.EVPRO($B$1,H67,"PSFTID"),""))</f>
        <v/>
      </c>
      <c r="N67" s="90" t="str">
        <f>IF(_epmOfflineCondition_,"",IF(_xll.EVDES(H67,$B$1)="#NODATA","",_xll.EVDES(H67,$B$1)))</f>
        <v/>
      </c>
      <c r="O67" s="143"/>
      <c r="P67" s="143"/>
      <c r="Q67" s="143"/>
      <c r="R67" s="143"/>
      <c r="S67" s="143"/>
      <c r="T67" s="143"/>
      <c r="U67" s="143"/>
      <c r="V67" s="143"/>
      <c r="W67" s="143"/>
      <c r="X67" s="143"/>
      <c r="Y67" s="143"/>
      <c r="Z67" s="143"/>
      <c r="AA67" s="143">
        <f>IF($I67="B1","",SUM(O67:Z67))</f>
        <v>0</v>
      </c>
      <c r="AB67" s="144" t="str">
        <f>IF(AA67=0,"",IFERROR(AA67/AA$19,""))</f>
        <v/>
      </c>
      <c r="AC67" s="140"/>
      <c r="AD67" s="143"/>
      <c r="AE67" s="144" t="str">
        <f>IF(AD67=0,"",IFERROR(AD67/AD$19,""))</f>
        <v/>
      </c>
      <c r="AF67" s="145">
        <f>IF(AND($AA67="",AD67=""),"",$AA67-AD67)</f>
        <v>0</v>
      </c>
      <c r="AG67" s="143"/>
      <c r="AH67" s="144" t="str">
        <f>IF(AG67=0,"",IFERROR(AG67/AG$19,""))</f>
        <v/>
      </c>
      <c r="AI67" s="145">
        <f>IF(AND($AA67="",AG67=""),"",$AA67-AG67)</f>
        <v>0</v>
      </c>
      <c r="AJ67" s="440">
        <f>IFERROR(AA67/AA$20,0)</f>
        <v>0</v>
      </c>
      <c r="AK67" s="441">
        <f>IFERROR(AD67/AD$20,0)</f>
        <v>0</v>
      </c>
      <c r="AL67" s="442">
        <f>IFERROR(AG67/AG$20,0)</f>
        <v>0</v>
      </c>
      <c r="AM67" s="443">
        <f>+IFERROR(ROUND(($AB67-AE67)*100,2)&amp;" pts.",0)</f>
        <v>0</v>
      </c>
      <c r="AN67" s="444">
        <f>+IFERROR(ROUND(($AB67-AH67)*100,2)&amp;" pts.",0)</f>
        <v>0</v>
      </c>
      <c r="AO67" s="11"/>
    </row>
    <row r="68" spans="1:41" hidden="1" x14ac:dyDescent="0.35">
      <c r="A68" s="11" t="s">
        <v>108</v>
      </c>
      <c r="B68" s="11"/>
      <c r="C68" s="196" t="s">
        <v>101</v>
      </c>
      <c r="D68" s="11" t="s">
        <v>107</v>
      </c>
      <c r="E68" s="11"/>
      <c r="F68" s="11" t="s">
        <v>99</v>
      </c>
      <c r="G68" s="11"/>
      <c r="H68" s="88"/>
      <c r="I68" s="122" t="str">
        <f>IF(_epmOfflineCondition_,"",_xll.EVPRO($B$1,$H68,"STYLE"))</f>
        <v/>
      </c>
      <c r="J68" s="122" t="str">
        <f>IF(_epmOfflineCondition_,"",_xll.EVPRO($B$1,$H68,"CALC"))</f>
        <v/>
      </c>
      <c r="K68" s="179" t="str">
        <f>IF(AND(I68&lt;&gt;"B1",J68="Y"),"&gt;","")</f>
        <v/>
      </c>
      <c r="L68" s="90" t="str">
        <f>IF(_epmOfflineCondition_,"",_xll.EVPRO($B$1,H68,"JDEID"))</f>
        <v/>
      </c>
      <c r="M68" s="90" t="str">
        <f>IF(_epmOfflineCondition_,"",IF(AND(I68="N",J68="N"),_xll.EVPRO($B$1,H68,"PSFTID"),""))</f>
        <v/>
      </c>
      <c r="N68" s="90" t="str">
        <f>IF(_epmOfflineCondition_,"",IF(_xll.EVDES(H68,$B$1)="#NODATA","",_xll.EVDES(H68,$B$1)))</f>
        <v/>
      </c>
      <c r="O68" s="143"/>
      <c r="P68" s="143"/>
      <c r="Q68" s="143"/>
      <c r="R68" s="143"/>
      <c r="S68" s="143"/>
      <c r="T68" s="143"/>
      <c r="U68" s="143"/>
      <c r="V68" s="143"/>
      <c r="W68" s="143"/>
      <c r="X68" s="143"/>
      <c r="Y68" s="143"/>
      <c r="Z68" s="143"/>
      <c r="AA68" s="143">
        <f>IF($I68="B1","",SUM(O68:Z68))</f>
        <v>0</v>
      </c>
      <c r="AB68" s="144" t="str">
        <f>IF(AA68=0,"",IFERROR(AA68/AA$19,""))</f>
        <v/>
      </c>
      <c r="AC68" s="140"/>
      <c r="AD68" s="143"/>
      <c r="AE68" s="144" t="str">
        <f>IF(AD68=0,"",IFERROR(AD68/AD$19,""))</f>
        <v/>
      </c>
      <c r="AF68" s="145">
        <f>IF(AND($AA68="",AD68=""),"",$AA68-AD68)</f>
        <v>0</v>
      </c>
      <c r="AG68" s="143"/>
      <c r="AH68" s="144" t="str">
        <f>IF(AG68=0,"",IFERROR(AG68/AG$19,""))</f>
        <v/>
      </c>
      <c r="AI68" s="145">
        <f>IF(AND($AA68="",AG68=""),"",$AA68-AG68)</f>
        <v>0</v>
      </c>
      <c r="AJ68" s="440">
        <f>IFERROR(AA68/AA$20,0)</f>
        <v>0</v>
      </c>
      <c r="AK68" s="441">
        <f>IFERROR(AD68/AD$20,0)</f>
        <v>0</v>
      </c>
      <c r="AL68" s="442">
        <f>IFERROR(AG68/AG$20,0)</f>
        <v>0</v>
      </c>
      <c r="AM68" s="443">
        <f>+IFERROR(ROUND(($AB68-AE68)*100,2)&amp;" pts.",0)</f>
        <v>0</v>
      </c>
      <c r="AN68" s="444">
        <f>+IFERROR(ROUND(($AB68-AH68)*100,2)&amp;" pts.",0)</f>
        <v>0</v>
      </c>
      <c r="AO68" s="11"/>
    </row>
    <row r="69" spans="1:41" x14ac:dyDescent="0.35">
      <c r="A69" s="11"/>
      <c r="B69" s="11"/>
      <c r="C69" s="11"/>
      <c r="D69" s="11"/>
      <c r="E69" s="11"/>
      <c r="F69" s="11"/>
      <c r="G69" s="11"/>
      <c r="H69" s="88" t="s">
        <v>79</v>
      </c>
      <c r="I69" s="136" t="str">
        <f>IF(_epmOfflineCondition_,"T3",_xll.EVPRO($B$1,$H69,"STYLE"))</f>
        <v>T3</v>
      </c>
      <c r="J69" s="136" t="str">
        <f>IF(_epmOfflineCondition_,"Y",_xll.EVPRO($B$1,$H69,"CALC"))</f>
        <v>Y</v>
      </c>
      <c r="K69" s="104"/>
      <c r="L69" s="104"/>
      <c r="M69" s="104"/>
      <c r="N69" s="106" t="str">
        <f>IF(_epmOfflineCondition_,"Total Operations Expense",IF(_xll.EVDES(H69,$B$1)="#NODATA","",_xll.EVDES(H69,$B$1)))</f>
        <v>Total Operations Expense</v>
      </c>
      <c r="O69" s="154"/>
      <c r="P69" s="154"/>
      <c r="Q69" s="154"/>
      <c r="R69" s="154"/>
      <c r="S69" s="154"/>
      <c r="T69" s="154"/>
      <c r="U69" s="154"/>
      <c r="V69" s="154"/>
      <c r="W69" s="154"/>
      <c r="X69" s="154"/>
      <c r="Y69" s="154"/>
      <c r="Z69" s="154"/>
      <c r="AA69" s="154">
        <f>IF($I69="B1","",SUM(O69:Z69))</f>
        <v>0</v>
      </c>
      <c r="AB69" s="155" t="str">
        <f>IF(AA69=0,"",IFERROR(AA69/AA$19,""))</f>
        <v/>
      </c>
      <c r="AC69" s="140"/>
      <c r="AD69" s="154"/>
      <c r="AE69" s="155" t="str">
        <f>IF(AD69=0,"",IFERROR(AD69/AD$19,""))</f>
        <v/>
      </c>
      <c r="AF69" s="156">
        <f>IF(AND($AA69="",AD69=""),"",$AA69-AD69)</f>
        <v>0</v>
      </c>
      <c r="AG69" s="154"/>
      <c r="AH69" s="155" t="str">
        <f>IF(AG69=0,"",IFERROR(AG69/AG$19,""))</f>
        <v/>
      </c>
      <c r="AI69" s="156">
        <f>IF(AND($AA69="",AG69=""),"",$AA69-AG69)</f>
        <v>0</v>
      </c>
      <c r="AJ69" s="466">
        <f>IFERROR(AA69/AA$20,0)</f>
        <v>0</v>
      </c>
      <c r="AK69" s="467">
        <f>IFERROR(AD69/AD$20,0)</f>
        <v>0</v>
      </c>
      <c r="AL69" s="468">
        <f>IFERROR(AG69/AG$20,0)</f>
        <v>0</v>
      </c>
      <c r="AM69" s="469">
        <f>+IFERROR(ROUND(($AB69-AE69)*100,2)&amp;" pts.",0)</f>
        <v>0</v>
      </c>
      <c r="AN69" s="555">
        <f>+IFERROR(ROUND(($AB69-AH69)*100,2)&amp;" pts.",0)</f>
        <v>0</v>
      </c>
      <c r="AO69" s="11"/>
    </row>
    <row r="70" spans="1:41" x14ac:dyDescent="0.35">
      <c r="A70" s="11"/>
      <c r="B70" s="11"/>
      <c r="C70" s="208"/>
      <c r="D70" s="11"/>
      <c r="E70" s="11"/>
      <c r="F70" s="11"/>
      <c r="G70" s="11"/>
      <c r="H70" s="11"/>
      <c r="I70" s="59"/>
      <c r="J70" s="59"/>
      <c r="K70" s="11"/>
      <c r="L70" s="11"/>
      <c r="M70" s="11"/>
      <c r="N70" s="11"/>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1"/>
    </row>
    <row r="71" spans="1:41" x14ac:dyDescent="0.35">
      <c r="A71" s="61" t="str">
        <f>IF(_epmOfflineCondition_,"Evdre:Ok",_xll.EVDRE($B$1,A74:B81,A84:B90))</f>
        <v>Evdre:Ok</v>
      </c>
      <c r="B71" s="11"/>
      <c r="C71" s="11"/>
      <c r="D71" s="11"/>
      <c r="E71" s="11"/>
      <c r="F71" s="11"/>
      <c r="G71" s="11"/>
      <c r="H71" s="88" t="s">
        <v>80</v>
      </c>
      <c r="I71" s="136" t="str">
        <f>IF(_epmOfflineCondition_,"T3",_xll.EVPRO($B$1,$H71,"STYLE"))</f>
        <v>T3</v>
      </c>
      <c r="J71" s="136" t="str">
        <f>IF(_epmOfflineCondition_,"Y",_xll.EVPRO($B$1,$H71,"CALC"))</f>
        <v>Y</v>
      </c>
      <c r="K71" s="106"/>
      <c r="L71" s="106"/>
      <c r="M71" s="106"/>
      <c r="N71" s="106" t="str">
        <f>IF(_epmOfflineCondition_,"Total Expenses",IF(_xll.EVDES(H71,$B$1)="#NODATA","",_xll.EVDES(H71,$B$1)))</f>
        <v>Total Expenses</v>
      </c>
      <c r="O71" s="238"/>
      <c r="P71" s="238"/>
      <c r="Q71" s="238"/>
      <c r="R71" s="238"/>
      <c r="S71" s="238"/>
      <c r="T71" s="238"/>
      <c r="U71" s="238"/>
      <c r="V71" s="238"/>
      <c r="W71" s="238"/>
      <c r="X71" s="238"/>
      <c r="Y71" s="238"/>
      <c r="Z71" s="238"/>
      <c r="AA71" s="238">
        <f>IF($I71="B1","",SUM(O71:Z71))</f>
        <v>0</v>
      </c>
      <c r="AB71" s="239" t="str">
        <f>IF(AA71=0,"",IFERROR(AA71/AA$19,""))</f>
        <v/>
      </c>
      <c r="AC71" s="140"/>
      <c r="AD71" s="238"/>
      <c r="AE71" s="239" t="str">
        <f>IF(AD71=0,"",IFERROR(AD71/AD$19,""))</f>
        <v/>
      </c>
      <c r="AF71" s="254">
        <f>IF(AND($AA71="",AD71=""),"",$AA71-AD71)</f>
        <v>0</v>
      </c>
      <c r="AG71" s="255"/>
      <c r="AH71" s="256" t="str">
        <f>IF(AG71=0,"",IFERROR(AG71/AG$19,""))</f>
        <v/>
      </c>
      <c r="AI71" s="254">
        <f>IF(AND($AA71="",AG71=""),"",$AA71-AG71)</f>
        <v>0</v>
      </c>
      <c r="AJ71" s="472">
        <f>IFERROR(AA71/AA$20,0)</f>
        <v>0</v>
      </c>
      <c r="AK71" s="473">
        <f>IFERROR(AD71/AD$20,0)</f>
        <v>0</v>
      </c>
      <c r="AL71" s="474">
        <f>IFERROR(AG71/AG$20,0)</f>
        <v>0</v>
      </c>
      <c r="AM71" s="475">
        <f>+IFERROR(ROUND(($AB71-AE71)*100,2)&amp;" pts.",0)</f>
        <v>0</v>
      </c>
      <c r="AN71" s="556">
        <f>+IFERROR(ROUND(($AB71-AH71)*100,2)&amp;" pts.",0)</f>
        <v>0</v>
      </c>
      <c r="AO71" s="11"/>
    </row>
    <row r="72" spans="1:41" ht="15" thickBot="1" x14ac:dyDescent="0.4">
      <c r="A72" s="11"/>
      <c r="B72" s="11"/>
      <c r="C72" s="11"/>
      <c r="D72" s="11"/>
      <c r="E72" s="11"/>
      <c r="F72" s="11"/>
      <c r="G72" s="11"/>
      <c r="H72" s="88" t="s">
        <v>81</v>
      </c>
      <c r="I72" s="136" t="str">
        <f>IF(_epmOfflineCondition_,"T3",_xll.EVPRO($B$1,$H72,"STYLE"))</f>
        <v>T3</v>
      </c>
      <c r="J72" s="136" t="str">
        <f>IF(_epmOfflineCondition_,"Y",_xll.EVPRO($B$1,$H72,"CALC"))</f>
        <v>Y</v>
      </c>
      <c r="K72" s="106"/>
      <c r="L72" s="106"/>
      <c r="M72" s="106"/>
      <c r="N72" s="106" t="str">
        <f>IF(_epmOfflineCondition_,"Department Profit (Loss)",IF(_xll.EVDES(H72,$B$1)="#NODATA","",_xll.EVDES(H72,$B$1)))</f>
        <v>Department Profit (Loss)</v>
      </c>
      <c r="O72" s="169"/>
      <c r="P72" s="169"/>
      <c r="Q72" s="169"/>
      <c r="R72" s="169"/>
      <c r="S72" s="169"/>
      <c r="T72" s="169"/>
      <c r="U72" s="169"/>
      <c r="V72" s="169"/>
      <c r="W72" s="169"/>
      <c r="X72" s="169"/>
      <c r="Y72" s="169"/>
      <c r="Z72" s="169"/>
      <c r="AA72" s="169">
        <f>IF($I72="B1","",SUM(O72:Z72))</f>
        <v>0</v>
      </c>
      <c r="AB72" s="170" t="str">
        <f>IF(AA72=0,"",IFERROR(AA72/AA$19,""))</f>
        <v/>
      </c>
      <c r="AC72" s="140"/>
      <c r="AD72" s="169"/>
      <c r="AE72" s="170" t="str">
        <f>IF(AD72=0,"",IFERROR(AD72/AD$19,""))</f>
        <v/>
      </c>
      <c r="AF72" s="171">
        <f>IF(AND($AA72="",AD72=""),"",$AA72-AD72)</f>
        <v>0</v>
      </c>
      <c r="AG72" s="169"/>
      <c r="AH72" s="170" t="str">
        <f>IF(AG72=0,"",IFERROR(AG72/AG$19,""))</f>
        <v/>
      </c>
      <c r="AI72" s="171">
        <f>IF(AND($AA72="",AG72=""),"",$AA72-AG72)</f>
        <v>0</v>
      </c>
      <c r="AJ72" s="477">
        <f>IFERROR(AA72/AA$20,0)</f>
        <v>0</v>
      </c>
      <c r="AK72" s="478">
        <f>IFERROR(AD72/AD$20,0)</f>
        <v>0</v>
      </c>
      <c r="AL72" s="479">
        <f>IFERROR(AG72/AG$20,0)</f>
        <v>0</v>
      </c>
      <c r="AM72" s="480">
        <f>+IFERROR(ROUND(($AB72-AE72)*100,2)&amp;" pts.",0)</f>
        <v>0</v>
      </c>
      <c r="AN72" s="557">
        <f>+IFERROR(ROUND(($AB72-AH72)*100,2)&amp;" pts.",0)</f>
        <v>0</v>
      </c>
      <c r="AO72" s="11"/>
    </row>
    <row r="73" spans="1:41" ht="15" thickTop="1" x14ac:dyDescent="0.35">
      <c r="A73" s="62" t="s">
        <v>0</v>
      </c>
      <c r="B73" s="63" t="s">
        <v>1</v>
      </c>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2</v>
      </c>
      <c r="B74" s="66" t="str">
        <f>IF(_epmOfflineCondition_,"'FB_Retail'!$B$2:$B$10",_xll.EVRNG($B$2:$B$10))</f>
        <v>'FB_Retail'!$B$2:$B$10</v>
      </c>
      <c r="C74" s="11"/>
      <c r="D74" s="11"/>
      <c r="E74" s="11"/>
      <c r="F74" s="11"/>
      <c r="G74" s="11"/>
      <c r="H74" s="11"/>
      <c r="I74" s="59"/>
      <c r="J74" s="59"/>
      <c r="K74" s="11"/>
      <c r="L74" s="11"/>
      <c r="M74" s="11"/>
      <c r="N74" s="104" t="str">
        <f>N71&amp;" - Check"</f>
        <v>Total Expenses - Check</v>
      </c>
      <c r="O74" s="209">
        <f t="shared" ref="O74:AA74" si="22">SUMIF($H$34:$H$72,"600000",O$34:O$72)+SUMIF($H$34:$H$72,"700000",O$34:O$72)-SUMIF($H$34:$H$72,"TOTDEPTEXP",O$34:O$72)</f>
        <v>0</v>
      </c>
      <c r="P74" s="209">
        <f t="shared" si="22"/>
        <v>0</v>
      </c>
      <c r="Q74" s="209">
        <f t="shared" si="22"/>
        <v>0</v>
      </c>
      <c r="R74" s="209">
        <f t="shared" si="22"/>
        <v>0</v>
      </c>
      <c r="S74" s="209">
        <f t="shared" si="22"/>
        <v>0</v>
      </c>
      <c r="T74" s="209">
        <f t="shared" si="22"/>
        <v>0</v>
      </c>
      <c r="U74" s="209">
        <f t="shared" si="22"/>
        <v>0</v>
      </c>
      <c r="V74" s="209">
        <f t="shared" si="22"/>
        <v>0</v>
      </c>
      <c r="W74" s="209">
        <f t="shared" si="22"/>
        <v>0</v>
      </c>
      <c r="X74" s="209">
        <f t="shared" si="22"/>
        <v>0</v>
      </c>
      <c r="Y74" s="209">
        <f t="shared" si="22"/>
        <v>0</v>
      </c>
      <c r="Z74" s="209">
        <f t="shared" si="22"/>
        <v>0</v>
      </c>
      <c r="AA74" s="209">
        <f t="shared" si="22"/>
        <v>0</v>
      </c>
      <c r="AB74" s="100"/>
      <c r="AC74" s="11"/>
      <c r="AD74" s="209">
        <f>SUMIF($H$34:$H$72,"600000",AD$34:AD$72)+SUMIF($H$34:$H$72,"700000",AD$34:AD$72)-SUMIF($H$34:$H$72,"TOTDEPTEXP",AD$34:AD$72)</f>
        <v>0</v>
      </c>
      <c r="AE74" s="100"/>
      <c r="AF74" s="91"/>
      <c r="AG74" s="209">
        <f>SUMIF($H$34:$H$72,"600000",AG$34:AG$72)+SUMIF($H$34:$H$72,"700000",AG$34:AG$72)-SUMIF($H$34:$H$72,"TOTDEPTEXP",AG$34:AG$72)</f>
        <v>0</v>
      </c>
      <c r="AH74" s="100"/>
      <c r="AI74" s="91"/>
      <c r="AJ74" s="11"/>
      <c r="AK74" s="11"/>
      <c r="AL74" s="11"/>
      <c r="AM74" s="11"/>
      <c r="AN74" s="11"/>
      <c r="AO74" s="11"/>
    </row>
    <row r="75" spans="1:41" x14ac:dyDescent="0.35">
      <c r="A75" s="65" t="s">
        <v>3</v>
      </c>
      <c r="B75" s="66" t="str">
        <f>IF(_epmOfflineCondition_,"'FB_Retail'!$O$16:$AN$18",_xll.EVRNG($O$16:$AN$18))</f>
        <v>'FB_Retail'!$O$16:$AN$18</v>
      </c>
      <c r="C75" s="11"/>
      <c r="D75" s="11"/>
      <c r="E75" s="11"/>
      <c r="F75" s="11"/>
      <c r="G75" s="11"/>
      <c r="H75" s="11"/>
      <c r="I75" s="59"/>
      <c r="J75" s="59"/>
      <c r="K75" s="11"/>
      <c r="L75" s="11"/>
      <c r="M75" s="11"/>
      <c r="N75" s="104" t="str">
        <f>N72&amp;" - Check"</f>
        <v>Department Profit (Loss) - Check</v>
      </c>
      <c r="O75" s="209">
        <f t="shared" ref="O75:AA75" si="23">SUMIF($H$34:$H$72,"KPI_GP",O$34:O$72)-SUMIF($H$34:$H$72,"TOTDEPTEXP",O$34:O$72)-SUMIF($H$34:$H$72,"TOTDEPTPL",O$34:O$72)</f>
        <v>0</v>
      </c>
      <c r="P75" s="209">
        <f t="shared" si="23"/>
        <v>0</v>
      </c>
      <c r="Q75" s="209">
        <f t="shared" si="23"/>
        <v>0</v>
      </c>
      <c r="R75" s="209">
        <f t="shared" si="23"/>
        <v>0</v>
      </c>
      <c r="S75" s="209">
        <f t="shared" si="23"/>
        <v>0</v>
      </c>
      <c r="T75" s="209">
        <f t="shared" si="23"/>
        <v>0</v>
      </c>
      <c r="U75" s="209">
        <f t="shared" si="23"/>
        <v>0</v>
      </c>
      <c r="V75" s="209">
        <f t="shared" si="23"/>
        <v>0</v>
      </c>
      <c r="W75" s="209">
        <f t="shared" si="23"/>
        <v>0</v>
      </c>
      <c r="X75" s="209">
        <f t="shared" si="23"/>
        <v>0</v>
      </c>
      <c r="Y75" s="209">
        <f t="shared" si="23"/>
        <v>0</v>
      </c>
      <c r="Z75" s="209">
        <f t="shared" si="23"/>
        <v>0</v>
      </c>
      <c r="AA75" s="209">
        <f t="shared" si="23"/>
        <v>0</v>
      </c>
      <c r="AB75" s="100"/>
      <c r="AC75" s="11"/>
      <c r="AD75" s="209">
        <f>SUMIF($H$34:$H$72,"KPI_GP",AD$34:AD$72)-SUMIF($H$34:$H$72,"TOTDEPTEXP",AD$34:AD$72)-SUMIF($H$34:$H$72,"TOTDEPTPL",AD$34:AD$72)</f>
        <v>0</v>
      </c>
      <c r="AE75" s="100"/>
      <c r="AF75" s="91"/>
      <c r="AG75" s="209">
        <f>SUMIF($H$34:$H$72,"KPI_GP",AG$34:AG$72)-SUMIF($H$34:$H$72,"TOTDEPTEXP",AG$34:AG$72)-SUMIF($H$34:$H$72,"TOTDEPTPL",AG$34:AG$72)</f>
        <v>0</v>
      </c>
      <c r="AH75" s="100"/>
      <c r="AI75" s="91"/>
      <c r="AJ75" s="11"/>
      <c r="AK75" s="11"/>
      <c r="AL75" s="11"/>
      <c r="AM75" s="11"/>
      <c r="AN75" s="11"/>
      <c r="AO75" s="11"/>
    </row>
    <row r="76" spans="1:41" x14ac:dyDescent="0.35">
      <c r="A76" s="65" t="s">
        <v>4</v>
      </c>
      <c r="B76" s="66" t="str">
        <f>IF(_epmOfflineCondition_,"'FB_Retail'!$H$60:$H$61,'FB_Retail'!$H$63:$H$64,'FB_Retail'!$H$67:$H$68",_xll.EVRNG(H60:H61,H63:H64,H67:H68))</f>
        <v>'FB_Retail'!$H$60:$H$61,'FB_Retail'!$H$63:$H$64,'FB_Retail'!$H$67:$H$68</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5</v>
      </c>
      <c r="B77" s="66"/>
      <c r="C77" s="11"/>
      <c r="D77" s="11"/>
      <c r="E77" s="11"/>
      <c r="F77" s="11"/>
      <c r="G77" s="11"/>
      <c r="H77" s="11"/>
      <c r="I77" s="59"/>
      <c r="J77" s="59"/>
      <c r="K77" s="11"/>
      <c r="L77" s="11"/>
      <c r="M77" s="11"/>
      <c r="N77" s="11"/>
      <c r="O77" s="137"/>
      <c r="P77" s="137"/>
      <c r="Q77" s="137"/>
      <c r="R77" s="137"/>
      <c r="S77" s="137"/>
      <c r="T77" s="137"/>
      <c r="U77" s="137"/>
      <c r="V77" s="137"/>
      <c r="W77" s="137"/>
      <c r="X77" s="137"/>
      <c r="Y77" s="137"/>
      <c r="Z77" s="137"/>
      <c r="AA77" s="137"/>
      <c r="AB77" s="11"/>
      <c r="AC77" s="11"/>
      <c r="AD77" s="137"/>
      <c r="AE77" s="11"/>
      <c r="AF77" s="11"/>
      <c r="AG77" s="137"/>
      <c r="AH77" s="11"/>
      <c r="AI77" s="11"/>
      <c r="AJ77" s="11"/>
      <c r="AK77" s="11"/>
      <c r="AL77" s="11"/>
      <c r="AM77" s="11"/>
      <c r="AN77" s="11"/>
      <c r="AO77" s="11"/>
    </row>
    <row r="78" spans="1:41" x14ac:dyDescent="0.35">
      <c r="A78" s="65" t="s">
        <v>6</v>
      </c>
      <c r="B78" s="66"/>
      <c r="C78" s="11"/>
      <c r="D78" s="11"/>
      <c r="E78" s="11"/>
      <c r="F78" s="11"/>
      <c r="G78" s="11"/>
      <c r="H78" s="11"/>
      <c r="I78" s="59"/>
      <c r="J78" s="59"/>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7</v>
      </c>
      <c r="B79" s="66" t="str">
        <f>IF(_epmOfflineCondition_,"'FB_Retail'!$A$93:$F$99",_xll.EVRNG(A93:F99))</f>
        <v>'FB_Retail'!$A$93:$F$99</v>
      </c>
      <c r="C79" s="11"/>
      <c r="D79" s="11"/>
      <c r="E79" s="11"/>
      <c r="F79" s="11"/>
      <c r="G79" s="11"/>
      <c r="H79" s="11"/>
      <c r="I79" s="59"/>
      <c r="J79" s="59"/>
      <c r="K79" s="11"/>
      <c r="L79" s="11"/>
      <c r="M79" s="11"/>
      <c r="N79" s="11"/>
      <c r="O79" s="137"/>
      <c r="P79" s="137"/>
      <c r="Q79" s="137"/>
      <c r="R79" s="137"/>
      <c r="S79" s="137"/>
      <c r="T79" s="137"/>
      <c r="U79" s="137"/>
      <c r="V79" s="137"/>
      <c r="W79" s="137"/>
      <c r="X79" s="137"/>
      <c r="Y79" s="137"/>
      <c r="Z79" s="137"/>
      <c r="AA79" s="137"/>
      <c r="AB79" s="11"/>
      <c r="AC79" s="11"/>
      <c r="AD79" s="137"/>
      <c r="AE79" s="11"/>
      <c r="AF79" s="11"/>
      <c r="AG79" s="137"/>
      <c r="AH79" s="11"/>
      <c r="AI79" s="11"/>
      <c r="AJ79" s="11"/>
      <c r="AK79" s="11"/>
      <c r="AL79" s="11"/>
      <c r="AM79" s="11"/>
      <c r="AN79" s="11"/>
      <c r="AO79" s="11"/>
    </row>
    <row r="80" spans="1:41" x14ac:dyDescent="0.35">
      <c r="A80" s="65" t="s">
        <v>47</v>
      </c>
      <c r="B80" s="66" t="str">
        <f>IF(_epmOfflineCondition_,"'FB_Retail'!$A$116:$B$137",_xll.EVRNG($A$116:$B$137))</f>
        <v>'FB_Retail'!$A$116:$B$137</v>
      </c>
      <c r="C80" s="11"/>
      <c r="D80" s="11"/>
      <c r="E80" s="11"/>
      <c r="F80" s="11"/>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8</v>
      </c>
      <c r="B81" s="66"/>
      <c r="C81" s="11"/>
      <c r="D81" s="11"/>
      <c r="E81" s="11"/>
      <c r="F81" s="11"/>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208"/>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1" t="str">
        <f>IF(_epmOfflineCondition_,"Evdre:Ok",_xll.EVDRE($B$1,A105:B112))</f>
        <v>Evdre:Ok</v>
      </c>
      <c r="B102" s="11" t="s">
        <v>736</v>
      </c>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76"/>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0</v>
      </c>
      <c r="B104" s="63" t="s">
        <v>1</v>
      </c>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v>
      </c>
      <c r="B105" s="66" t="str">
        <f>IF(_epmOfflineCondition_,"'FB_Retail'!$B$2:$B$10",_xll.EVRNG($B$2:$B$10))</f>
        <v>'FB_Retail'!$B$2:$B$10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3</v>
      </c>
      <c r="B106" s="66" t="str">
        <f>IF(_epmOfflineCondition_,"'FB_Retail'!$O$16:$AN$18",_xll.EVRNG($O$16:$AN$18))</f>
        <v>'FB_Retail'!$O$16:$AN$18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4</v>
      </c>
      <c r="B107" s="66" t="str">
        <f>IF(_epmOfflineCondition_,"'FB_Retail'!$H$69:$H$72",_xll.EVRNG(H69:H72))</f>
        <v>'FB_Retail'!$H$69:$H$72</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6</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47</v>
      </c>
      <c r="B111" s="66" t="str">
        <f>IF(_epmOfflineCondition_,"'FB_Retail'!$A$116:$B$137",_xll.EVRNG($A$116:$B$137))</f>
        <v>'FB_Retail'!$A$116:$B$137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267"/>
      <c r="J145" s="11"/>
      <c r="K145" s="267"/>
      <c r="L145" s="267"/>
      <c r="M145" s="267"/>
      <c r="N145" s="11"/>
      <c r="O145" s="267"/>
      <c r="P145" s="267"/>
      <c r="Q145" s="267"/>
      <c r="R145" s="267"/>
      <c r="S145" s="267"/>
      <c r="T145" s="267"/>
      <c r="U145" s="267"/>
      <c r="V145" s="267"/>
      <c r="W145" s="267"/>
      <c r="X145" s="267"/>
      <c r="Y145" s="267"/>
      <c r="Z145" s="267"/>
      <c r="AA145" s="267"/>
      <c r="AB145" s="11"/>
      <c r="AC145" s="11"/>
      <c r="AD145" s="267"/>
      <c r="AE145" s="11"/>
      <c r="AF145" s="267"/>
      <c r="AG145" s="11"/>
      <c r="AH145" s="267"/>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267"/>
      <c r="J149" s="11"/>
      <c r="K149" s="267"/>
      <c r="L149" s="267"/>
      <c r="M149" s="267"/>
      <c r="N149" s="11"/>
      <c r="O149" s="267"/>
      <c r="P149" s="267"/>
      <c r="Q149" s="267"/>
      <c r="R149" s="267"/>
      <c r="S149" s="267"/>
      <c r="T149" s="267"/>
      <c r="U149" s="267"/>
      <c r="V149" s="267"/>
      <c r="W149" s="267"/>
      <c r="X149" s="267"/>
      <c r="Y149" s="267"/>
      <c r="Z149" s="267"/>
      <c r="AA149" s="267"/>
      <c r="AB149" s="11"/>
      <c r="AC149" s="11"/>
      <c r="AD149" s="267"/>
      <c r="AE149" s="11"/>
      <c r="AF149" s="267"/>
      <c r="AG149" s="11"/>
      <c r="AH149" s="267"/>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3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3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yDMlTiopcVphxr4eX9tbyTQVu/TN/Ijs1ukdfQQs1hYipLGkFJZ6UvTju/5fJ5QSykGn3XievKGb5Pch2n+S/w==" saltValue="bxaertmvLXhXwgC9C8Lb1A==" spinCount="100000" sheet="1" scenarios="1"/>
  <mergeCells count="2">
    <mergeCell ref="AD31:AE31"/>
    <mergeCell ref="AG31:AH31"/>
  </mergeCells>
  <dataValidations disablePrompts="1" count="2">
    <dataValidation type="list" allowBlank="1" sqref="B57 B28 B85" xr:uid="{00000000-0002-0000-2300-000000000000}">
      <formula1>"ACCOUNT,BUSINESSUNIT,CATEGORY,DATASRC,DEPARTMENT,INTCO,MEASURES,RPTCURRENCY,TIME"</formula1>
    </dataValidation>
    <dataValidation type="list" allowBlank="1" sqref="B58 B29 B86" xr:uid="{00000000-0002-0000-23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8920"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38920" r:id="rId7" name="FPMExcelClientSheetOptionstb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0">
    <tabColor theme="9"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36.7265625" style="1" customWidth="1" collapsed="1"/>
    <col min="15" max="26" width="11.7265625" style="1" customWidth="1" outlineLevel="1"/>
    <col min="27" max="27" width="12.7265625" style="1" customWidth="1"/>
    <col min="28" max="28" width="8.4531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423</v>
      </c>
      <c r="C6" s="11" t="str">
        <f>IF(_epmOfflineCondition_,"Minor Operated Departments",_xll.EVDES(B6,$B$1))</f>
        <v>Minor Operated Departments</v>
      </c>
      <c r="D6" s="11"/>
      <c r="E6" s="58" t="str">
        <f>IF(_epmOfflineCondition_,"D1138",_xll.EVPRO($B$1,$B$6,$F$6))</f>
        <v>D1138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IF(_epmOfflineCondition_,"'Minor_Op'!$B$2:$B$10",_xll.EVRNG($B$2:$B$10))</f>
        <v>'Minor_Op'!$B$2:$B$10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IF(_epmOfflineCondition_,"'Minor_Op'!$O$16:$AN$18",_xll.EVRNG($O$16:$AN$18))</f>
        <v>'Minor_Op'!$O$16:$AN$18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IF(SetUp!$O$1=TRUE,"TRAILING12",IF(Z17="CURRENT","ROLLINGFORECAST","PERIODIC"))</f>
        <v>PERIODIC</v>
      </c>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IF(_epmOfflineCondition_,"'Minor_Op'!$H$34:$H$53,'Minor_Op'!$H$56:$H$74",_xll.EVRNG(H34:H53,H56:H74))</f>
        <v>'Minor_Op'!$H$34:$H$53,'Minor_Op'!$H$56:$H$74</v>
      </c>
      <c r="C19" s="11"/>
      <c r="D19" s="11"/>
      <c r="E19" s="11"/>
      <c r="F19" s="11"/>
      <c r="G19" s="67" t="str">
        <f>$B$6</f>
        <v>D1138</v>
      </c>
      <c r="H19" s="67">
        <v>400000</v>
      </c>
      <c r="I19" s="68"/>
      <c r="J19" s="68"/>
      <c r="K19" s="67"/>
      <c r="L19" s="67"/>
      <c r="M19" s="67"/>
      <c r="N19" s="67" t="str">
        <f>IF(_epmOfflineCondition_,"Total Revenue",_xll.EVDES(H19))</f>
        <v>Total Revenue</v>
      </c>
      <c r="O19" s="69">
        <f>IF(_epmOfflineCondition_,2230.89,_xll.EVGTS($B$1,1,$B$3,$B$5,$B$7,$B$9,O$16,O$17,O$18,$G$19,$H$19))</f>
        <v>2230.89</v>
      </c>
      <c r="P19" s="69">
        <f>IF(_epmOfflineCondition_,1586.7,_xll.EVGTS($B$1,1,$B$3,$B$5,$B$7,$B$9,P$16,P$17,P$18,$G$19,$H$19))</f>
        <v>1586.7</v>
      </c>
      <c r="Q19" s="69">
        <f>IF(_epmOfflineCondition_,722.58,_xll.EVGTS($B$1,1,$B$3,$B$5,$B$7,$B$9,Q$16,Q$17,Q$18,$G$19,$H$19))</f>
        <v>722.58</v>
      </c>
      <c r="R19" s="69">
        <f>IF(_epmOfflineCondition_,71.78,_xll.EVGTS($B$1,1,$B$3,$B$5,$B$7,$B$9,R$16,R$17,R$18,$G$19,$H$19))</f>
        <v>71.78</v>
      </c>
      <c r="S19" s="69">
        <f>IF(_epmOfflineCondition_,0,_xll.EVGTS($B$1,1,$B$3,$B$5,$B$7,$B$9,S$16,S$17,S$18,$G$19,$H$19))</f>
        <v>0</v>
      </c>
      <c r="T19" s="69">
        <f>IF(_epmOfflineCondition_,181.69,_xll.EVGTS($B$1,1,$B$3,$B$5,$B$7,$B$9,T$16,T$17,T$18,$G$19,$H$19))</f>
        <v>181.69</v>
      </c>
      <c r="U19" s="69">
        <f>IF(_epmOfflineCondition_,403.74,_xll.EVGTS($B$1,1,$B$3,$B$5,$B$7,$B$9,U$16,U$17,U$18,$G$19,$H$19))</f>
        <v>403.74</v>
      </c>
      <c r="V19" s="69">
        <f>IF(_epmOfflineCondition_,264.17,_xll.EVGTS($B$1,1,$B$3,$B$5,$B$7,$B$9,V$16,V$17,V$18,$G$19,$H$19))</f>
        <v>264.17</v>
      </c>
      <c r="W19" s="69">
        <f>IF(_epmOfflineCondition_,592.71,_xll.EVGTS($B$1,1,$B$3,$B$5,$B$7,$B$9,W$16,W$17,W$18,$G$19,$H$19))</f>
        <v>592.71</v>
      </c>
      <c r="X19" s="69">
        <f>IF(_epmOfflineCondition_,863.46,_xll.EVGTS($B$1,1,$B$3,$B$5,$B$7,$B$9,X$16,X$17,X$18,$G$19,$H$19))</f>
        <v>863.46</v>
      </c>
      <c r="Y19" s="69">
        <f>IF(_epmOfflineCondition_,-32.57,_xll.EVGTS($B$1,1,$B$3,$B$5,$B$7,$B$9,Y$16,Y$17,Y$18,$G$19,$H$19))</f>
        <v>-32.57</v>
      </c>
      <c r="Z19" s="69">
        <f>IF(_epmOfflineCondition_,415.66,_xll.EVGTS($B$1,1,$B$3,$B$5,$B$7,$B$9,Z$16,Z$17,Z$18,$G$19,$H$19))</f>
        <v>415.66</v>
      </c>
      <c r="AA19" s="69">
        <f>SUM(O19:Z19)</f>
        <v>7300.8099999999995</v>
      </c>
      <c r="AB19" s="67"/>
      <c r="AC19" s="67"/>
      <c r="AD19" s="69">
        <f>IF(_epmOfflineCondition_,15495.95,_xll.EVGTS($B$1,1,$B$3,$B$5,$B$7,$B$9,AD$16,AD$17,AD$18,$G$19,$H$19))</f>
        <v>15495.95</v>
      </c>
      <c r="AE19" s="67"/>
      <c r="AF19" s="67"/>
      <c r="AG19" s="69">
        <f>IF(_epmOfflineCondition_,13739.35,_xll.EVGTS($B$1,1,$B$3,$B$5,$B$7,$B$9,AG$16,AG$17,AG$18,$G$19,$H$19))</f>
        <v>13739.35</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IF(_epmOfflineCondition_,"'Minor_Op'!$A$58:$F$62",_xll.EVRNG(A58:F62))</f>
        <v>'Minor_Op'!$A$58:$F$62</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IF(_epmOfflineCondition_,"'Minor_Op'!$A$79:$B$100",_xll.EVRNG($A$79:$B$100))</f>
        <v>'Minor_Op'!$A$79:$B$100</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IF(_epmOfflineCondition_,"Minor Operated Departments",IF(_xll.EVDES(B6,$B$1)="#NODATA","",_xll.EVDES(B6,$B$1)))</f>
        <v>Minor Operated Departments</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"DEP(450000) AND "&amp;$E$6&amp;"=Y,400000|DEP(550000) AND "&amp;$E$6&amp;"=Y,500001"</f>
        <v>DEP(450000) AND D1138=Y,400000|DEP(550000) AND D1138=Y,500001</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424</v>
      </c>
      <c r="I34" s="122" t="str">
        <f>IF(_epmOfflineCondition_,"T5",_xll.EVPRO($B$1,$H34,"STYLE"))</f>
        <v>T5</v>
      </c>
      <c r="J34" s="122" t="str">
        <f>IF(_epmOfflineCondition_,"Y",_xll.EVPRO($B$1,$H34,"CALC"))</f>
        <v>Y</v>
      </c>
      <c r="K34" s="179" t="str">
        <f t="shared" ref="K34:K53" si="0">IF(AND(I34&gt;="T5"),"&gt;","")</f>
        <v>&gt;</v>
      </c>
      <c r="L34" s="90" t="str">
        <f>IF(_epmOfflineCondition_,"410000",_xll.EVPRO($B$1,H34,"JDEID"))</f>
        <v>410000</v>
      </c>
      <c r="M34" s="90" t="str">
        <f>IF(_epmOfflineCondition_,"",IF(AND(I34="N",J34="N"),_xll.EVPRO($B$1,H34,"PSFTID"),""))</f>
        <v/>
      </c>
      <c r="N34" s="90" t="str">
        <f>IF(_epmOfflineCondition_,"Total Guest Communication Rev",IF(_xll.EVDES(H34,$B$1)="#NODATA","",_xll.EVDES(H34,$B$1)))</f>
        <v>Total Guest Communication Rev</v>
      </c>
      <c r="O34" s="143">
        <v>156.16</v>
      </c>
      <c r="P34" s="143">
        <v>155.4</v>
      </c>
      <c r="Q34" s="143">
        <v>90.58</v>
      </c>
      <c r="R34" s="143">
        <v>-4.67</v>
      </c>
      <c r="S34" s="143"/>
      <c r="T34" s="143">
        <v>156.69</v>
      </c>
      <c r="U34" s="143">
        <v>-31.26</v>
      </c>
      <c r="V34" s="143">
        <v>101.92</v>
      </c>
      <c r="W34" s="143">
        <v>412.71</v>
      </c>
      <c r="X34" s="143">
        <v>434.56</v>
      </c>
      <c r="Y34" s="143">
        <v>-32.57</v>
      </c>
      <c r="Z34" s="143">
        <v>228.11</v>
      </c>
      <c r="AA34" s="250">
        <f t="shared" ref="AA34:AA53" si="1">IF($I34="B1","",SUM(O34:Z34))</f>
        <v>1667.63</v>
      </c>
      <c r="AB34" s="144">
        <f t="shared" ref="AB34:AB53" si="2">IF(AA34=0,"",IFERROR(AA34/AA$19,""))</f>
        <v>0.22841712084001642</v>
      </c>
      <c r="AC34" s="140"/>
      <c r="AD34" s="143">
        <v>2645.65</v>
      </c>
      <c r="AE34" s="144">
        <f t="shared" ref="AE34:AE53" si="3">IF(AD34=0,"",IFERROR(AD34/AD$19,""))</f>
        <v>0.17073170731707316</v>
      </c>
      <c r="AF34" s="145">
        <f t="shared" ref="AF34:AF53" si="4">IF(AND($AA34="",AD34=""),"",$AA34-AD34)</f>
        <v>-978.02</v>
      </c>
      <c r="AG34" s="143">
        <v>2369.67</v>
      </c>
      <c r="AH34" s="144">
        <f t="shared" ref="AH34:AH53" si="5">IF(AG34=0,"",IFERROR(AG34/AG$19,""))</f>
        <v>0.17247322471587084</v>
      </c>
      <c r="AI34" s="145">
        <f t="shared" ref="AI34:AI53" si="6">IF(AND($AA34="",AG34=""),"",$AA34-AG34)</f>
        <v>-702.04</v>
      </c>
      <c r="AJ34" s="440">
        <f t="shared" ref="AJ34:AJ53" si="7">IFERROR(AA34/AA$20,0)</f>
        <v>8.3173566084788042E-2</v>
      </c>
      <c r="AK34" s="441">
        <f t="shared" ref="AK34:AK53" si="8">IFERROR(AD34/AD$20,0)</f>
        <v>7.0000000000000007E-2</v>
      </c>
      <c r="AL34" s="442">
        <f t="shared" ref="AL34:AL53" si="9">IFERROR(AG34/AG$20,0)</f>
        <v>7.2065871905601847E-2</v>
      </c>
      <c r="AM34" s="443" t="str">
        <f t="shared" ref="AM34:AM53" si="10">+IFERROR(ROUND(($AB34-AE34)*100,2)&amp;" pts.",0)</f>
        <v>5.77 pts.</v>
      </c>
      <c r="AN34" s="444" t="str">
        <f t="shared" ref="AN34:AN53" si="11">+IFERROR(ROUND(($AB34-AH34)*100,2)&amp;" pts.",0)</f>
        <v>5.59 pts.</v>
      </c>
      <c r="AO34" s="11"/>
    </row>
    <row r="35" spans="1:41" x14ac:dyDescent="0.35">
      <c r="A35" s="11"/>
      <c r="B35" s="11"/>
      <c r="C35" s="11"/>
      <c r="D35" s="11"/>
      <c r="E35" s="11"/>
      <c r="F35" s="11"/>
      <c r="G35" s="11"/>
      <c r="H35" s="88" t="s">
        <v>425</v>
      </c>
      <c r="I35" s="122" t="str">
        <f>IF(_epmOfflineCondition_,"T5",_xll.EVPRO($B$1,$H35,"STYLE"))</f>
        <v>T5</v>
      </c>
      <c r="J35" s="122" t="str">
        <f>IF(_epmOfflineCondition_,"Y",_xll.EVPRO($B$1,$H35,"CALC"))</f>
        <v>Y</v>
      </c>
      <c r="K35" s="179" t="str">
        <f t="shared" si="0"/>
        <v>&gt;</v>
      </c>
      <c r="L35" s="90" t="str">
        <f>IF(_epmOfflineCondition_,"450100",_xll.EVPRO($B$1,H35,"JDEID"))</f>
        <v>450100</v>
      </c>
      <c r="M35" s="90" t="str">
        <f>IF(_epmOfflineCondition_,"",IF(AND(I35="N",J35="N"),_xll.EVPRO($B$1,H35,"PSFTID"),""))</f>
        <v/>
      </c>
      <c r="N35" s="90" t="str">
        <f>IF(_epmOfflineCondition_,"In Room Movies",IF(_xll.EVDES(H35,$B$1)="#NODATA","",_xll.EVDES(H35,$B$1)))</f>
        <v>In Room Movies</v>
      </c>
      <c r="O35" s="143"/>
      <c r="P35" s="143"/>
      <c r="Q35" s="143"/>
      <c r="R35" s="143"/>
      <c r="S35" s="143"/>
      <c r="T35" s="143"/>
      <c r="U35" s="143"/>
      <c r="V35" s="143"/>
      <c r="W35" s="143"/>
      <c r="X35" s="143"/>
      <c r="Y35" s="143"/>
      <c r="Z35" s="143"/>
      <c r="AA35" s="250">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61" t="str">
        <f>IF(_epmOfflineCondition_,"Evdre:Ok",_xll.EVDRE($B$1,A39:B46,A49:B55))</f>
        <v>Evdre:Ok</v>
      </c>
      <c r="B36" s="11"/>
      <c r="C36" s="11"/>
      <c r="D36" s="11"/>
      <c r="E36" s="11"/>
      <c r="F36" s="11"/>
      <c r="G36" s="11"/>
      <c r="H36" s="88" t="s">
        <v>426</v>
      </c>
      <c r="I36" s="122" t="str">
        <f>IF(_epmOfflineCondition_,"T5",_xll.EVPRO($B$1,$H36,"STYLE"))</f>
        <v>T5</v>
      </c>
      <c r="J36" s="122" t="str">
        <f>IF(_epmOfflineCondition_,"Y",_xll.EVPRO($B$1,$H36,"CALC"))</f>
        <v>Y</v>
      </c>
      <c r="K36" s="179" t="str">
        <f t="shared" si="0"/>
        <v>&gt;</v>
      </c>
      <c r="L36" s="90" t="str">
        <f>IF(_epmOfflineCondition_,"450150",_xll.EVPRO($B$1,H36,"JDEID"))</f>
        <v>450150</v>
      </c>
      <c r="M36" s="90" t="str">
        <f>IF(_epmOfflineCondition_,"",IF(AND(I36="N",J36="N"),_xll.EVPRO($B$1,H36,"PSFTID"),""))</f>
        <v/>
      </c>
      <c r="N36" s="90" t="str">
        <f>IF(_epmOfflineCondition_,"Guest Laundry &amp; Dry Cleaning",IF(_xll.EVDES(H36,$B$1)="#NODATA","",_xll.EVDES(H36,$B$1)))</f>
        <v>Guest Laundry &amp; Dry Cleaning</v>
      </c>
      <c r="O36" s="143">
        <v>1655.73</v>
      </c>
      <c r="P36" s="143">
        <v>681.3</v>
      </c>
      <c r="Q36" s="143">
        <v>22</v>
      </c>
      <c r="R36" s="143">
        <v>76.45</v>
      </c>
      <c r="S36" s="143"/>
      <c r="T36" s="143"/>
      <c r="U36" s="143"/>
      <c r="V36" s="143">
        <v>162.25</v>
      </c>
      <c r="W36" s="143"/>
      <c r="X36" s="143">
        <v>108.9</v>
      </c>
      <c r="Y36" s="143"/>
      <c r="Z36" s="143">
        <v>187.55</v>
      </c>
      <c r="AA36" s="250">
        <f t="shared" si="1"/>
        <v>2894.18</v>
      </c>
      <c r="AB36" s="144">
        <f t="shared" si="2"/>
        <v>0.39641902747777302</v>
      </c>
      <c r="AC36" s="140"/>
      <c r="AD36" s="143">
        <v>5291.3</v>
      </c>
      <c r="AE36" s="144">
        <f t="shared" si="3"/>
        <v>0.34146341463414631</v>
      </c>
      <c r="AF36" s="145">
        <f t="shared" si="4"/>
        <v>-2397.1200000000003</v>
      </c>
      <c r="AG36" s="143">
        <v>4953.68</v>
      </c>
      <c r="AH36" s="144">
        <f t="shared" si="5"/>
        <v>0.36054689632333409</v>
      </c>
      <c r="AI36" s="145">
        <f t="shared" si="6"/>
        <v>-2059.5000000000005</v>
      </c>
      <c r="AJ36" s="440">
        <f t="shared" si="7"/>
        <v>0.14434812967581045</v>
      </c>
      <c r="AK36" s="441">
        <f t="shared" si="8"/>
        <v>0.14000000000000001</v>
      </c>
      <c r="AL36" s="442">
        <f t="shared" si="9"/>
        <v>0.15065020375889546</v>
      </c>
      <c r="AM36" s="443" t="str">
        <f t="shared" si="10"/>
        <v>5.5 pts.</v>
      </c>
      <c r="AN36" s="444" t="str">
        <f t="shared" si="11"/>
        <v>3.59 pts.</v>
      </c>
      <c r="AO36" s="11"/>
    </row>
    <row r="37" spans="1:41" x14ac:dyDescent="0.35">
      <c r="A37" s="11"/>
      <c r="B37" s="11"/>
      <c r="C37" s="11"/>
      <c r="D37" s="11"/>
      <c r="E37" s="11"/>
      <c r="F37" s="11"/>
      <c r="G37" s="11"/>
      <c r="H37" s="88" t="s">
        <v>427</v>
      </c>
      <c r="I37" s="122" t="str">
        <f>IF(_epmOfflineCondition_,"T5",_xll.EVPRO($B$1,$H37,"STYLE"))</f>
        <v>T5</v>
      </c>
      <c r="J37" s="122" t="str">
        <f>IF(_epmOfflineCondition_,"Y",_xll.EVPRO($B$1,$H37,"CALC"))</f>
        <v>Y</v>
      </c>
      <c r="K37" s="179" t="str">
        <f t="shared" si="0"/>
        <v>&gt;</v>
      </c>
      <c r="L37" s="90" t="str">
        <f>IF(_epmOfflineCondition_,"450200",_xll.EVPRO($B$1,H37,"JDEID"))</f>
        <v>450200</v>
      </c>
      <c r="M37" s="90" t="str">
        <f>IF(_epmOfflineCondition_,"",IF(AND(I37="N",J37="N"),_xll.EVPRO($B$1,H37,"PSFTID"),""))</f>
        <v/>
      </c>
      <c r="N37" s="90" t="str">
        <f>IF(_epmOfflineCondition_,"In Room Fax",IF(_xll.EVDES(H37,$B$1)="#NODATA","",_xll.EVDES(H37,$B$1)))</f>
        <v>In Room Fax</v>
      </c>
      <c r="O37" s="143"/>
      <c r="P37" s="143"/>
      <c r="Q37" s="143"/>
      <c r="R37" s="143"/>
      <c r="S37" s="143"/>
      <c r="T37" s="143"/>
      <c r="U37" s="143"/>
      <c r="V37" s="143"/>
      <c r="W37" s="143"/>
      <c r="X37" s="143"/>
      <c r="Y37" s="143"/>
      <c r="Z37" s="143"/>
      <c r="AA37" s="250">
        <f t="shared" si="1"/>
        <v>0</v>
      </c>
      <c r="AB37" s="144" t="str">
        <f t="shared" si="2"/>
        <v/>
      </c>
      <c r="AC37" s="140"/>
      <c r="AD37" s="143"/>
      <c r="AE37" s="144" t="str">
        <f t="shared" si="3"/>
        <v/>
      </c>
      <c r="AF37" s="145">
        <f t="shared" si="4"/>
        <v>0</v>
      </c>
      <c r="AG37" s="143"/>
      <c r="AH37" s="144" t="str">
        <f t="shared" si="5"/>
        <v/>
      </c>
      <c r="AI37" s="145">
        <f t="shared" si="6"/>
        <v>0</v>
      </c>
      <c r="AJ37" s="440">
        <f t="shared" si="7"/>
        <v>0</v>
      </c>
      <c r="AK37" s="441">
        <f t="shared" si="8"/>
        <v>0</v>
      </c>
      <c r="AL37" s="442">
        <f t="shared" si="9"/>
        <v>0</v>
      </c>
      <c r="AM37" s="443">
        <f t="shared" si="10"/>
        <v>0</v>
      </c>
      <c r="AN37" s="444">
        <f t="shared" si="11"/>
        <v>0</v>
      </c>
      <c r="AO37" s="11"/>
    </row>
    <row r="38" spans="1:41" x14ac:dyDescent="0.35">
      <c r="A38" s="62" t="s">
        <v>0</v>
      </c>
      <c r="B38" s="63" t="s">
        <v>1</v>
      </c>
      <c r="C38" s="11"/>
      <c r="D38" s="11"/>
      <c r="E38" s="11"/>
      <c r="F38" s="11"/>
      <c r="G38" s="11"/>
      <c r="H38" s="88" t="s">
        <v>428</v>
      </c>
      <c r="I38" s="122" t="str">
        <f>IF(_epmOfflineCondition_,"T5",_xll.EVPRO($B$1,$H38,"STYLE"))</f>
        <v>T5</v>
      </c>
      <c r="J38" s="122" t="str">
        <f>IF(_epmOfflineCondition_,"Y",_xll.EVPRO($B$1,$H38,"CALC"))</f>
        <v>Y</v>
      </c>
      <c r="K38" s="179" t="str">
        <f t="shared" si="0"/>
        <v>&gt;</v>
      </c>
      <c r="L38" s="90" t="str">
        <f>IF(_epmOfflineCondition_,"450250",_xll.EVPRO($B$1,H38,"JDEID"))</f>
        <v>450250</v>
      </c>
      <c r="M38" s="90" t="str">
        <f>IF(_epmOfflineCondition_,"",IF(AND(I38="N",J38="N"),_xll.EVPRO($B$1,H38,"PSFTID"),""))</f>
        <v/>
      </c>
      <c r="N38" s="90" t="str">
        <f>IF(_epmOfflineCondition_,"In Room Items",IF(_xll.EVDES(H38,$B$1)="#NODATA","",_xll.EVDES(H38,$B$1)))</f>
        <v>In Room Items</v>
      </c>
      <c r="O38" s="143">
        <v>419</v>
      </c>
      <c r="P38" s="143">
        <v>750</v>
      </c>
      <c r="Q38" s="143">
        <v>610</v>
      </c>
      <c r="R38" s="143"/>
      <c r="S38" s="143"/>
      <c r="T38" s="143">
        <v>25</v>
      </c>
      <c r="U38" s="143">
        <v>285</v>
      </c>
      <c r="V38" s="143"/>
      <c r="W38" s="143">
        <v>180</v>
      </c>
      <c r="X38" s="143">
        <v>320</v>
      </c>
      <c r="Y38" s="143"/>
      <c r="Z38" s="143"/>
      <c r="AA38" s="250">
        <f t="shared" si="1"/>
        <v>2589</v>
      </c>
      <c r="AB38" s="144">
        <f t="shared" si="2"/>
        <v>0.35461818620125712</v>
      </c>
      <c r="AC38" s="140"/>
      <c r="AD38" s="143">
        <v>7559</v>
      </c>
      <c r="AE38" s="144">
        <f t="shared" si="3"/>
        <v>0.48780487804878048</v>
      </c>
      <c r="AF38" s="145">
        <f t="shared" si="4"/>
        <v>-4970</v>
      </c>
      <c r="AG38" s="143">
        <v>6416</v>
      </c>
      <c r="AH38" s="144">
        <f t="shared" si="5"/>
        <v>0.46697987896079507</v>
      </c>
      <c r="AI38" s="145">
        <f t="shared" si="6"/>
        <v>-3827</v>
      </c>
      <c r="AJ38" s="440">
        <f t="shared" si="7"/>
        <v>0.12912718204488777</v>
      </c>
      <c r="AK38" s="441">
        <f t="shared" si="8"/>
        <v>0.2</v>
      </c>
      <c r="AL38" s="442">
        <f t="shared" si="9"/>
        <v>0.1951219512195122</v>
      </c>
      <c r="AM38" s="443" t="str">
        <f t="shared" si="10"/>
        <v>-13.32 pts.</v>
      </c>
      <c r="AN38" s="444" t="str">
        <f t="shared" si="11"/>
        <v>-11.24 pts.</v>
      </c>
      <c r="AO38" s="11"/>
    </row>
    <row r="39" spans="1:41" x14ac:dyDescent="0.35">
      <c r="A39" s="65" t="s">
        <v>2</v>
      </c>
      <c r="B39" s="66" t="str">
        <f>IF(_epmOfflineCondition_,"'Minor_Op'!$B$2:$B$10",_xll.EVRNG($B$2:$B$10))</f>
        <v>'Minor_Op'!$B$2:$B$10</v>
      </c>
      <c r="C39" s="11"/>
      <c r="D39" s="11"/>
      <c r="E39" s="11"/>
      <c r="F39" s="11"/>
      <c r="G39" s="11"/>
      <c r="H39" s="88" t="s">
        <v>429</v>
      </c>
      <c r="I39" s="122" t="str">
        <f>IF(_epmOfflineCondition_,"T5",_xll.EVPRO($B$1,$H39,"STYLE"))</f>
        <v>T5</v>
      </c>
      <c r="J39" s="122" t="str">
        <f>IF(_epmOfflineCondition_,"Y",_xll.EVPRO($B$1,$H39,"CALC"))</f>
        <v>Y</v>
      </c>
      <c r="K39" s="179" t="str">
        <f t="shared" si="0"/>
        <v>&gt;</v>
      </c>
      <c r="L39" s="90" t="str">
        <f>IF(_epmOfflineCondition_,"450300",_xll.EVPRO($B$1,H39,"JDEID"))</f>
        <v>450300</v>
      </c>
      <c r="M39" s="90" t="str">
        <f>IF(_epmOfflineCondition_,"",IF(AND(I39="N",J39="N"),_xll.EVPRO($B$1,H39,"PSFTID"),""))</f>
        <v/>
      </c>
      <c r="N39" s="90" t="str">
        <f>IF(_epmOfflineCondition_,"Massage Services",IF(_xll.EVDES(H39,$B$1)="#NODATA","",_xll.EVDES(H39,$B$1)))</f>
        <v>Massage Services</v>
      </c>
      <c r="O39" s="143"/>
      <c r="P39" s="143"/>
      <c r="Q39" s="143"/>
      <c r="R39" s="143"/>
      <c r="S39" s="143"/>
      <c r="T39" s="143"/>
      <c r="U39" s="143"/>
      <c r="V39" s="143"/>
      <c r="W39" s="143"/>
      <c r="X39" s="143"/>
      <c r="Y39" s="143"/>
      <c r="Z39" s="143"/>
      <c r="AA39" s="250">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65" t="s">
        <v>3</v>
      </c>
      <c r="B40" s="66" t="str">
        <f>IF(_epmOfflineCondition_,"'Minor_Op'!$O$16:$AN$18",_xll.EVRNG($O$16:$AN$18))</f>
        <v>'Minor_Op'!$O$16:$AN$18</v>
      </c>
      <c r="C40" s="11"/>
      <c r="D40" s="11"/>
      <c r="E40" s="11"/>
      <c r="F40" s="11"/>
      <c r="G40" s="11"/>
      <c r="H40" s="88" t="s">
        <v>430</v>
      </c>
      <c r="I40" s="122" t="str">
        <f>IF(_epmOfflineCondition_,"T5",_xll.EVPRO($B$1,$H40,"STYLE"))</f>
        <v>T5</v>
      </c>
      <c r="J40" s="122" t="str">
        <f>IF(_epmOfflineCondition_,"Y",_xll.EVPRO($B$1,$H40,"CALC"))</f>
        <v>Y</v>
      </c>
      <c r="K40" s="179" t="str">
        <f t="shared" si="0"/>
        <v>&gt;</v>
      </c>
      <c r="L40" s="90" t="str">
        <f>IF(_epmOfflineCondition_,"450350",_xll.EVPRO($B$1,H40,"JDEID"))</f>
        <v>450350</v>
      </c>
      <c r="M40" s="90" t="str">
        <f>IF(_epmOfflineCondition_,"",IF(AND(I40="N",J40="N"),_xll.EVPRO($B$1,H40,"PSFTID"),""))</f>
        <v/>
      </c>
      <c r="N40" s="90" t="str">
        <f>IF(_epmOfflineCondition_,"Gym Passes",IF(_xll.EVDES(H40,$B$1)="#NODATA","",_xll.EVDES(H40,$B$1)))</f>
        <v>Gym Passes</v>
      </c>
      <c r="O40" s="143"/>
      <c r="P40" s="143"/>
      <c r="Q40" s="143"/>
      <c r="R40" s="143"/>
      <c r="S40" s="143"/>
      <c r="T40" s="143"/>
      <c r="U40" s="143"/>
      <c r="V40" s="143"/>
      <c r="W40" s="143"/>
      <c r="X40" s="143"/>
      <c r="Y40" s="143"/>
      <c r="Z40" s="143"/>
      <c r="AA40" s="250">
        <f t="shared" si="1"/>
        <v>0</v>
      </c>
      <c r="AB40" s="144" t="str">
        <f t="shared" si="2"/>
        <v/>
      </c>
      <c r="AC40" s="140"/>
      <c r="AD40" s="143"/>
      <c r="AE40" s="144" t="str">
        <f t="shared" si="3"/>
        <v/>
      </c>
      <c r="AF40" s="145">
        <f t="shared" si="4"/>
        <v>0</v>
      </c>
      <c r="AG40" s="143"/>
      <c r="AH40" s="144" t="str">
        <f t="shared" si="5"/>
        <v/>
      </c>
      <c r="AI40" s="145">
        <f t="shared" si="6"/>
        <v>0</v>
      </c>
      <c r="AJ40" s="440">
        <f t="shared" si="7"/>
        <v>0</v>
      </c>
      <c r="AK40" s="441">
        <f t="shared" si="8"/>
        <v>0</v>
      </c>
      <c r="AL40" s="442">
        <f t="shared" si="9"/>
        <v>0</v>
      </c>
      <c r="AM40" s="443">
        <f t="shared" si="10"/>
        <v>0</v>
      </c>
      <c r="AN40" s="444">
        <f t="shared" si="11"/>
        <v>0</v>
      </c>
      <c r="AO40" s="11"/>
    </row>
    <row r="41" spans="1:41" x14ac:dyDescent="0.35">
      <c r="A41" s="65" t="s">
        <v>4</v>
      </c>
      <c r="B41" s="66" t="str">
        <f>IF(_epmOfflineCondition_,"'Minor_Op'!$H$77:$H$94",_xll.EVRNG(H77:H94))</f>
        <v>'Minor_Op'!$H$77:$H$94</v>
      </c>
      <c r="C41" s="11"/>
      <c r="D41" s="11"/>
      <c r="E41" s="11"/>
      <c r="F41" s="11"/>
      <c r="G41" s="11"/>
      <c r="H41" s="88" t="s">
        <v>475</v>
      </c>
      <c r="I41" s="122" t="str">
        <f>IF(_epmOfflineCondition_,"N",_xll.EVPRO($B$1,$H41,"STYLE"))</f>
        <v>N</v>
      </c>
      <c r="J41" s="122" t="str">
        <f>IF(_epmOfflineCondition_,"N",_xll.EVPRO($B$1,$H41,"CALC"))</f>
        <v>N</v>
      </c>
      <c r="K41" s="179" t="str">
        <f t="shared" si="0"/>
        <v/>
      </c>
      <c r="L41" s="90" t="str">
        <f>IF(_epmOfflineCondition_,"450375",_xll.EVPRO($B$1,H41,"JDEID"))</f>
        <v>450375</v>
      </c>
      <c r="M41" s="90" t="str">
        <f>IF(_epmOfflineCondition_,"207005",IF(AND(I41="N",J41="N"),_xll.EVPRO($B$1,H41,"PSFTID"),""))</f>
        <v>207005</v>
      </c>
      <c r="N41" s="90" t="str">
        <f>IF(_epmOfflineCondition_,"Shared Facilities &amp; Services Revenue",IF(_xll.EVDES(H41,$B$1)="#NODATA","",_xll.EVDES(H41,$B$1)))</f>
        <v>Shared Facilities &amp; Services Revenue</v>
      </c>
      <c r="O41" s="143"/>
      <c r="P41" s="143"/>
      <c r="Q41" s="143"/>
      <c r="R41" s="143"/>
      <c r="S41" s="143"/>
      <c r="T41" s="143"/>
      <c r="U41" s="143"/>
      <c r="V41" s="143"/>
      <c r="W41" s="143"/>
      <c r="X41" s="143"/>
      <c r="Y41" s="143"/>
      <c r="Z41" s="143"/>
      <c r="AA41" s="250">
        <f t="shared" si="1"/>
        <v>0</v>
      </c>
      <c r="AB41" s="144" t="str">
        <f t="shared" si="2"/>
        <v/>
      </c>
      <c r="AC41" s="140"/>
      <c r="AD41" s="143"/>
      <c r="AE41" s="144" t="str">
        <f t="shared" si="3"/>
        <v/>
      </c>
      <c r="AF41" s="145">
        <f t="shared" si="4"/>
        <v>0</v>
      </c>
      <c r="AG41" s="143"/>
      <c r="AH41" s="144" t="str">
        <f t="shared" si="5"/>
        <v/>
      </c>
      <c r="AI41" s="145">
        <f t="shared" si="6"/>
        <v>0</v>
      </c>
      <c r="AJ41" s="440">
        <f t="shared" si="7"/>
        <v>0</v>
      </c>
      <c r="AK41" s="441">
        <f t="shared" si="8"/>
        <v>0</v>
      </c>
      <c r="AL41" s="442">
        <f t="shared" si="9"/>
        <v>0</v>
      </c>
      <c r="AM41" s="443">
        <f t="shared" si="10"/>
        <v>0</v>
      </c>
      <c r="AN41" s="444">
        <f t="shared" si="11"/>
        <v>0</v>
      </c>
      <c r="AO41" s="11"/>
    </row>
    <row r="42" spans="1:41" x14ac:dyDescent="0.35">
      <c r="A42" s="65" t="s">
        <v>5</v>
      </c>
      <c r="B42" s="66"/>
      <c r="C42" s="11"/>
      <c r="D42" s="11"/>
      <c r="E42" s="11"/>
      <c r="F42" s="11"/>
      <c r="G42" s="11"/>
      <c r="H42" s="88" t="s">
        <v>476</v>
      </c>
      <c r="I42" s="122" t="str">
        <f>IF(_epmOfflineCondition_,"T5",_xll.EVPRO($B$1,$H42,"STYLE"))</f>
        <v>T5</v>
      </c>
      <c r="J42" s="122" t="str">
        <f>IF(_epmOfflineCondition_,"Y",_xll.EVPRO($B$1,$H42,"CALC"))</f>
        <v>Y</v>
      </c>
      <c r="K42" s="179" t="str">
        <f t="shared" si="0"/>
        <v>&gt;</v>
      </c>
      <c r="L42" s="90" t="str">
        <f>IF(_epmOfflineCondition_,"450380",_xll.EVPRO($B$1,H42,"JDEID"))</f>
        <v>450380</v>
      </c>
      <c r="M42" s="90" t="str">
        <f>IF(_epmOfflineCondition_,"",IF(AND(I42="N",J42="N"),_xll.EVPRO($B$1,H42,"PSFTID"),""))</f>
        <v/>
      </c>
      <c r="N42" s="90" t="str">
        <f>IF(_epmOfflineCondition_,"Retail Kiosk",IF(_xll.EVDES(H42,$B$1)="#NODATA","",_xll.EVDES(H42,$B$1)))</f>
        <v>Retail Kiosk</v>
      </c>
      <c r="O42" s="143"/>
      <c r="P42" s="143"/>
      <c r="Q42" s="143"/>
      <c r="R42" s="143"/>
      <c r="S42" s="143"/>
      <c r="T42" s="143"/>
      <c r="U42" s="143"/>
      <c r="V42" s="143"/>
      <c r="W42" s="143"/>
      <c r="X42" s="143"/>
      <c r="Y42" s="143"/>
      <c r="Z42" s="143"/>
      <c r="AA42" s="250">
        <f t="shared" si="1"/>
        <v>0</v>
      </c>
      <c r="AB42" s="144" t="str">
        <f t="shared" si="2"/>
        <v/>
      </c>
      <c r="AC42" s="140"/>
      <c r="AD42" s="143"/>
      <c r="AE42" s="144" t="str">
        <f t="shared" si="3"/>
        <v/>
      </c>
      <c r="AF42" s="145">
        <f t="shared" si="4"/>
        <v>0</v>
      </c>
      <c r="AG42" s="143"/>
      <c r="AH42" s="144" t="str">
        <f t="shared" si="5"/>
        <v/>
      </c>
      <c r="AI42" s="145">
        <f t="shared" si="6"/>
        <v>0</v>
      </c>
      <c r="AJ42" s="440">
        <f t="shared" si="7"/>
        <v>0</v>
      </c>
      <c r="AK42" s="441">
        <f t="shared" si="8"/>
        <v>0</v>
      </c>
      <c r="AL42" s="442">
        <f t="shared" si="9"/>
        <v>0</v>
      </c>
      <c r="AM42" s="443">
        <f t="shared" si="10"/>
        <v>0</v>
      </c>
      <c r="AN42" s="444">
        <f t="shared" si="11"/>
        <v>0</v>
      </c>
      <c r="AO42" s="11"/>
    </row>
    <row r="43" spans="1:41" x14ac:dyDescent="0.35">
      <c r="A43" s="65" t="s">
        <v>6</v>
      </c>
      <c r="B43" s="66"/>
      <c r="C43" s="11"/>
      <c r="D43" s="11"/>
      <c r="E43" s="11"/>
      <c r="F43" s="11"/>
      <c r="G43" s="11"/>
      <c r="H43" s="88" t="s">
        <v>477</v>
      </c>
      <c r="I43" s="122" t="str">
        <f>IF(_epmOfflineCondition_,"T5",_xll.EVPRO($B$1,$H43,"STYLE"))</f>
        <v>T5</v>
      </c>
      <c r="J43" s="122" t="str">
        <f>IF(_epmOfflineCondition_,"Y",_xll.EVPRO($B$1,$H43,"CALC"))</f>
        <v>Y</v>
      </c>
      <c r="K43" s="179" t="str">
        <f t="shared" si="0"/>
        <v>&gt;</v>
      </c>
      <c r="L43" s="90" t="str">
        <f>IF(_epmOfflineCondition_,"450385",_xll.EVPRO($B$1,H43,"JDEID"))</f>
        <v>450385</v>
      </c>
      <c r="M43" s="90" t="str">
        <f>IF(_epmOfflineCondition_,"",IF(AND(I43="N",J43="N"),_xll.EVPRO($B$1,H43,"PSFTID"),""))</f>
        <v/>
      </c>
      <c r="N43" s="90" t="str">
        <f>IF(_epmOfflineCondition_,"Vending Machines",IF(_xll.EVDES(H43,$B$1)="#NODATA","",_xll.EVDES(H43,$B$1)))</f>
        <v>Vending Machines</v>
      </c>
      <c r="O43" s="143"/>
      <c r="P43" s="143"/>
      <c r="Q43" s="143"/>
      <c r="R43" s="143"/>
      <c r="S43" s="143"/>
      <c r="T43" s="143"/>
      <c r="U43" s="143"/>
      <c r="V43" s="143"/>
      <c r="W43" s="143"/>
      <c r="X43" s="143"/>
      <c r="Y43" s="143"/>
      <c r="Z43" s="143"/>
      <c r="AA43" s="250">
        <f t="shared" si="1"/>
        <v>0</v>
      </c>
      <c r="AB43" s="144" t="str">
        <f t="shared" si="2"/>
        <v/>
      </c>
      <c r="AC43" s="140"/>
      <c r="AD43" s="143"/>
      <c r="AE43" s="144" t="str">
        <f t="shared" si="3"/>
        <v/>
      </c>
      <c r="AF43" s="145">
        <f t="shared" si="4"/>
        <v>0</v>
      </c>
      <c r="AG43" s="143"/>
      <c r="AH43" s="144" t="str">
        <f t="shared" si="5"/>
        <v/>
      </c>
      <c r="AI43" s="145">
        <f t="shared" si="6"/>
        <v>0</v>
      </c>
      <c r="AJ43" s="440">
        <f t="shared" si="7"/>
        <v>0</v>
      </c>
      <c r="AK43" s="441">
        <f t="shared" si="8"/>
        <v>0</v>
      </c>
      <c r="AL43" s="442">
        <f t="shared" si="9"/>
        <v>0</v>
      </c>
      <c r="AM43" s="443">
        <f t="shared" si="10"/>
        <v>0</v>
      </c>
      <c r="AN43" s="444">
        <f t="shared" si="11"/>
        <v>0</v>
      </c>
      <c r="AO43" s="11"/>
    </row>
    <row r="44" spans="1:41" x14ac:dyDescent="0.35">
      <c r="A44" s="65" t="s">
        <v>7</v>
      </c>
      <c r="B44" s="66" t="str">
        <f>IF(_epmOfflineCondition_,"'Minor_Op'!$A$58:$F$62",_xll.EVRNG(A58:F62))</f>
        <v>'Minor_Op'!$A$58:$F$62</v>
      </c>
      <c r="C44" s="11"/>
      <c r="D44" s="11"/>
      <c r="E44" s="11"/>
      <c r="F44" s="11"/>
      <c r="G44" s="11"/>
      <c r="H44" s="88" t="s">
        <v>478</v>
      </c>
      <c r="I44" s="122" t="str">
        <f>IF(_epmOfflineCondition_,"T5",_xll.EVPRO($B$1,$H44,"STYLE"))</f>
        <v>T5</v>
      </c>
      <c r="J44" s="122" t="str">
        <f>IF(_epmOfflineCondition_,"Y",_xll.EVPRO($B$1,$H44,"CALC"))</f>
        <v>Y</v>
      </c>
      <c r="K44" s="179" t="str">
        <f t="shared" si="0"/>
        <v>&gt;</v>
      </c>
      <c r="L44" s="90" t="str">
        <f>IF(_epmOfflineCondition_,"450390",_xll.EVPRO($B$1,H44,"JDEID"))</f>
        <v>450390</v>
      </c>
      <c r="M44" s="90" t="str">
        <f>IF(_epmOfflineCondition_,"",IF(AND(I44="N",J44="N"),_xll.EVPRO($B$1,H44,"PSFTID"),""))</f>
        <v/>
      </c>
      <c r="N44" s="90" t="str">
        <f>IF(_epmOfflineCondition_,"Laundry Machines",IF(_xll.EVDES(H44,$B$1)="#NODATA","",_xll.EVDES(H44,$B$1)))</f>
        <v>Laundry Machines</v>
      </c>
      <c r="O44" s="143"/>
      <c r="P44" s="143"/>
      <c r="Q44" s="143"/>
      <c r="R44" s="143"/>
      <c r="S44" s="143"/>
      <c r="T44" s="143"/>
      <c r="U44" s="143"/>
      <c r="V44" s="143"/>
      <c r="W44" s="143"/>
      <c r="X44" s="143"/>
      <c r="Y44" s="143"/>
      <c r="Z44" s="143"/>
      <c r="AA44" s="250">
        <f t="shared" si="1"/>
        <v>0</v>
      </c>
      <c r="AB44" s="144" t="str">
        <f t="shared" si="2"/>
        <v/>
      </c>
      <c r="AC44" s="140"/>
      <c r="AD44" s="143"/>
      <c r="AE44" s="144" t="str">
        <f t="shared" si="3"/>
        <v/>
      </c>
      <c r="AF44" s="145">
        <f t="shared" si="4"/>
        <v>0</v>
      </c>
      <c r="AG44" s="143"/>
      <c r="AH44" s="144" t="str">
        <f t="shared" si="5"/>
        <v/>
      </c>
      <c r="AI44" s="145">
        <f t="shared" si="6"/>
        <v>0</v>
      </c>
      <c r="AJ44" s="440">
        <f t="shared" si="7"/>
        <v>0</v>
      </c>
      <c r="AK44" s="441">
        <f t="shared" si="8"/>
        <v>0</v>
      </c>
      <c r="AL44" s="442">
        <f t="shared" si="9"/>
        <v>0</v>
      </c>
      <c r="AM44" s="443">
        <f t="shared" si="10"/>
        <v>0</v>
      </c>
      <c r="AN44" s="444">
        <f t="shared" si="11"/>
        <v>0</v>
      </c>
      <c r="AO44" s="11"/>
    </row>
    <row r="45" spans="1:41" x14ac:dyDescent="0.35">
      <c r="A45" s="65" t="s">
        <v>47</v>
      </c>
      <c r="B45" s="66" t="str">
        <f>IF(_epmOfflineCondition_,"'Minor_Op'!$A$79:$B$100",_xll.EVRNG($A$79:$B$100))</f>
        <v>'Minor_Op'!$A$79:$B$100</v>
      </c>
      <c r="C45" s="11"/>
      <c r="D45" s="11"/>
      <c r="E45" s="11"/>
      <c r="F45" s="11"/>
      <c r="G45" s="11"/>
      <c r="H45" s="88" t="s">
        <v>479</v>
      </c>
      <c r="I45" s="122" t="str">
        <f>IF(_epmOfflineCondition_,"T5",_xll.EVPRO($B$1,$H45,"STYLE"))</f>
        <v>T5</v>
      </c>
      <c r="J45" s="122" t="str">
        <f>IF(_epmOfflineCondition_,"Y",_xll.EVPRO($B$1,$H45,"CALC"))</f>
        <v>Y</v>
      </c>
      <c r="K45" s="179" t="str">
        <f t="shared" si="0"/>
        <v>&gt;</v>
      </c>
      <c r="L45" s="90" t="str">
        <f>IF(_epmOfflineCondition_,"450395",_xll.EVPRO($B$1,H45,"JDEID"))</f>
        <v>450395</v>
      </c>
      <c r="M45" s="90" t="str">
        <f>IF(_epmOfflineCondition_,"",IF(AND(I45="N",J45="N"),_xll.EVPRO($B$1,H45,"PSFTID"),""))</f>
        <v/>
      </c>
      <c r="N45" s="90" t="str">
        <f>IF(_epmOfflineCondition_,"Occasional F&amp;B",IF(_xll.EVDES(H45,$B$1)="#NODATA","",_xll.EVDES(H45,$B$1)))</f>
        <v>Occasional F&amp;B</v>
      </c>
      <c r="O45" s="143"/>
      <c r="P45" s="143"/>
      <c r="Q45" s="143"/>
      <c r="R45" s="143"/>
      <c r="S45" s="143"/>
      <c r="T45" s="143"/>
      <c r="U45" s="143"/>
      <c r="V45" s="143"/>
      <c r="W45" s="143"/>
      <c r="X45" s="143"/>
      <c r="Y45" s="143"/>
      <c r="Z45" s="143"/>
      <c r="AA45" s="250">
        <f t="shared" si="1"/>
        <v>0</v>
      </c>
      <c r="AB45" s="144" t="str">
        <f t="shared" si="2"/>
        <v/>
      </c>
      <c r="AC45" s="140"/>
      <c r="AD45" s="143"/>
      <c r="AE45" s="144" t="str">
        <f t="shared" si="3"/>
        <v/>
      </c>
      <c r="AF45" s="145">
        <f t="shared" si="4"/>
        <v>0</v>
      </c>
      <c r="AG45" s="143"/>
      <c r="AH45" s="144" t="str">
        <f t="shared" si="5"/>
        <v/>
      </c>
      <c r="AI45" s="145">
        <f t="shared" si="6"/>
        <v>0</v>
      </c>
      <c r="AJ45" s="440">
        <f t="shared" si="7"/>
        <v>0</v>
      </c>
      <c r="AK45" s="441">
        <f t="shared" si="8"/>
        <v>0</v>
      </c>
      <c r="AL45" s="442">
        <f t="shared" si="9"/>
        <v>0</v>
      </c>
      <c r="AM45" s="443">
        <f t="shared" si="10"/>
        <v>0</v>
      </c>
      <c r="AN45" s="444">
        <f t="shared" si="11"/>
        <v>0</v>
      </c>
      <c r="AO45" s="11"/>
    </row>
    <row r="46" spans="1:41" x14ac:dyDescent="0.35">
      <c r="A46" s="65" t="s">
        <v>8</v>
      </c>
      <c r="B46" s="66"/>
      <c r="C46" s="11"/>
      <c r="D46" s="11"/>
      <c r="E46" s="11"/>
      <c r="F46" s="11"/>
      <c r="G46" s="11"/>
      <c r="H46" s="88" t="s">
        <v>431</v>
      </c>
      <c r="I46" s="122" t="str">
        <f>IF(_epmOfflineCondition_,"T5",_xll.EVPRO($B$1,$H46,"STYLE"))</f>
        <v>T5</v>
      </c>
      <c r="J46" s="122" t="str">
        <f>IF(_epmOfflineCondition_,"Y",_xll.EVPRO($B$1,$H46,"CALC"))</f>
        <v>Y</v>
      </c>
      <c r="K46" s="179" t="str">
        <f t="shared" si="0"/>
        <v>&gt;</v>
      </c>
      <c r="L46" s="90" t="str">
        <f>IF(_epmOfflineCondition_,"450400",_xll.EVPRO($B$1,H46,"JDEID"))</f>
        <v>450400</v>
      </c>
      <c r="M46" s="90" t="str">
        <f>IF(_epmOfflineCondition_,"",IF(AND(I46="N",J46="N"),_xll.EVPRO($B$1,H46,"PSFTID"),""))</f>
        <v/>
      </c>
      <c r="N46" s="90" t="str">
        <f>IF(_epmOfflineCondition_,"Other 1",IF(_xll.EVDES(H46,$B$1)="#NODATA","",_xll.EVDES(H46,$B$1)))</f>
        <v>Other 1</v>
      </c>
      <c r="O46" s="143"/>
      <c r="P46" s="143"/>
      <c r="Q46" s="143"/>
      <c r="R46" s="143"/>
      <c r="S46" s="143"/>
      <c r="T46" s="143"/>
      <c r="U46" s="143">
        <v>150</v>
      </c>
      <c r="V46" s="143"/>
      <c r="W46" s="143"/>
      <c r="X46" s="143"/>
      <c r="Y46" s="143"/>
      <c r="Z46" s="143"/>
      <c r="AA46" s="250">
        <f t="shared" si="1"/>
        <v>150</v>
      </c>
      <c r="AB46" s="144">
        <f t="shared" si="2"/>
        <v>2.0545665480953483E-2</v>
      </c>
      <c r="AC46" s="140"/>
      <c r="AD46" s="143"/>
      <c r="AE46" s="144" t="str">
        <f t="shared" si="3"/>
        <v/>
      </c>
      <c r="AF46" s="145">
        <f t="shared" si="4"/>
        <v>150</v>
      </c>
      <c r="AG46" s="143"/>
      <c r="AH46" s="144" t="str">
        <f t="shared" si="5"/>
        <v/>
      </c>
      <c r="AI46" s="145">
        <f t="shared" si="6"/>
        <v>150</v>
      </c>
      <c r="AJ46" s="440">
        <f t="shared" si="7"/>
        <v>7.481296758104738E-3</v>
      </c>
      <c r="AK46" s="441">
        <f t="shared" si="8"/>
        <v>0</v>
      </c>
      <c r="AL46" s="442">
        <f t="shared" si="9"/>
        <v>0</v>
      </c>
      <c r="AM46" s="443">
        <f t="shared" si="10"/>
        <v>0</v>
      </c>
      <c r="AN46" s="444">
        <f t="shared" si="11"/>
        <v>0</v>
      </c>
      <c r="AO46" s="11"/>
    </row>
    <row r="47" spans="1:41" x14ac:dyDescent="0.35">
      <c r="A47" s="11"/>
      <c r="B47" s="11"/>
      <c r="C47" s="11"/>
      <c r="D47" s="11"/>
      <c r="E47" s="11"/>
      <c r="F47" s="11"/>
      <c r="G47" s="11"/>
      <c r="H47" s="88" t="s">
        <v>432</v>
      </c>
      <c r="I47" s="122" t="str">
        <f>IF(_epmOfflineCondition_,"T5",_xll.EVPRO($B$1,$H47,"STYLE"))</f>
        <v>T5</v>
      </c>
      <c r="J47" s="122" t="str">
        <f>IF(_epmOfflineCondition_,"Y",_xll.EVPRO($B$1,$H47,"CALC"))</f>
        <v>Y</v>
      </c>
      <c r="K47" s="179" t="str">
        <f t="shared" si="0"/>
        <v>&gt;</v>
      </c>
      <c r="L47" s="90" t="str">
        <f>IF(_epmOfflineCondition_,"450450",_xll.EVPRO($B$1,H47,"JDEID"))</f>
        <v>450450</v>
      </c>
      <c r="M47" s="90" t="str">
        <f>IF(_epmOfflineCondition_,"",IF(AND(I47="N",J47="N"),_xll.EVPRO($B$1,H47,"PSFTID"),""))</f>
        <v/>
      </c>
      <c r="N47" s="90" t="str">
        <f>IF(_epmOfflineCondition_,"Other 2",IF(_xll.EVDES(H47,$B$1)="#NODATA","",_xll.EVDES(H47,$B$1)))</f>
        <v>Other 2</v>
      </c>
      <c r="O47" s="143"/>
      <c r="P47" s="143"/>
      <c r="Q47" s="143"/>
      <c r="R47" s="143"/>
      <c r="S47" s="143"/>
      <c r="T47" s="143"/>
      <c r="U47" s="143"/>
      <c r="V47" s="143"/>
      <c r="W47" s="143"/>
      <c r="X47" s="143"/>
      <c r="Y47" s="143"/>
      <c r="Z47" s="143"/>
      <c r="AA47" s="250">
        <f t="shared" si="1"/>
        <v>0</v>
      </c>
      <c r="AB47" s="144" t="str">
        <f t="shared" si="2"/>
        <v/>
      </c>
      <c r="AC47" s="140"/>
      <c r="AD47" s="143"/>
      <c r="AE47" s="144" t="str">
        <f t="shared" si="3"/>
        <v/>
      </c>
      <c r="AF47" s="145">
        <f t="shared" si="4"/>
        <v>0</v>
      </c>
      <c r="AG47" s="143"/>
      <c r="AH47" s="144" t="str">
        <f t="shared" si="5"/>
        <v/>
      </c>
      <c r="AI47" s="145">
        <f t="shared" si="6"/>
        <v>0</v>
      </c>
      <c r="AJ47" s="440">
        <f t="shared" si="7"/>
        <v>0</v>
      </c>
      <c r="AK47" s="441">
        <f t="shared" si="8"/>
        <v>0</v>
      </c>
      <c r="AL47" s="442">
        <f t="shared" si="9"/>
        <v>0</v>
      </c>
      <c r="AM47" s="443">
        <f t="shared" si="10"/>
        <v>0</v>
      </c>
      <c r="AN47" s="444">
        <f t="shared" si="11"/>
        <v>0</v>
      </c>
      <c r="AO47" s="11"/>
    </row>
    <row r="48" spans="1:41" x14ac:dyDescent="0.35">
      <c r="A48" s="62" t="s">
        <v>9</v>
      </c>
      <c r="B48" s="63" t="s">
        <v>10</v>
      </c>
      <c r="C48" s="11"/>
      <c r="D48" s="11"/>
      <c r="E48" s="11"/>
      <c r="F48" s="11"/>
      <c r="G48" s="11"/>
      <c r="H48" s="88" t="s">
        <v>433</v>
      </c>
      <c r="I48" s="122" t="str">
        <f>IF(_epmOfflineCondition_,"T5",_xll.EVPRO($B$1,$H48,"STYLE"))</f>
        <v>T5</v>
      </c>
      <c r="J48" s="122" t="str">
        <f>IF(_epmOfflineCondition_,"Y",_xll.EVPRO($B$1,$H48,"CALC"))</f>
        <v>Y</v>
      </c>
      <c r="K48" s="179" t="str">
        <f t="shared" si="0"/>
        <v>&gt;</v>
      </c>
      <c r="L48" s="90" t="str">
        <f>IF(_epmOfflineCondition_,"450500",_xll.EVPRO($B$1,H48,"JDEID"))</f>
        <v>450500</v>
      </c>
      <c r="M48" s="90" t="str">
        <f>IF(_epmOfflineCondition_,"",IF(AND(I48="N",J48="N"),_xll.EVPRO($B$1,H48,"PSFTID"),""))</f>
        <v/>
      </c>
      <c r="N48" s="90" t="str">
        <f>IF(_epmOfflineCondition_,"Other 3",IF(_xll.EVDES(H48,$B$1)="#NODATA","",_xll.EVDES(H48,$B$1)))</f>
        <v>Other 3</v>
      </c>
      <c r="O48" s="143"/>
      <c r="P48" s="143"/>
      <c r="Q48" s="143"/>
      <c r="R48" s="143"/>
      <c r="S48" s="143"/>
      <c r="T48" s="143"/>
      <c r="U48" s="143"/>
      <c r="V48" s="143"/>
      <c r="W48" s="143"/>
      <c r="X48" s="143"/>
      <c r="Y48" s="143"/>
      <c r="Z48" s="143"/>
      <c r="AA48" s="250">
        <f t="shared" si="1"/>
        <v>0</v>
      </c>
      <c r="AB48" s="144" t="str">
        <f t="shared" si="2"/>
        <v/>
      </c>
      <c r="AC48" s="140"/>
      <c r="AD48" s="143"/>
      <c r="AE48" s="144" t="str">
        <f t="shared" si="3"/>
        <v/>
      </c>
      <c r="AF48" s="145">
        <f t="shared" si="4"/>
        <v>0</v>
      </c>
      <c r="AG48" s="143"/>
      <c r="AH48" s="144" t="str">
        <f t="shared" si="5"/>
        <v/>
      </c>
      <c r="AI48" s="145">
        <f t="shared" si="6"/>
        <v>0</v>
      </c>
      <c r="AJ48" s="440">
        <f t="shared" si="7"/>
        <v>0</v>
      </c>
      <c r="AK48" s="441">
        <f t="shared" si="8"/>
        <v>0</v>
      </c>
      <c r="AL48" s="442">
        <f t="shared" si="9"/>
        <v>0</v>
      </c>
      <c r="AM48" s="443">
        <f t="shared" si="10"/>
        <v>0</v>
      </c>
      <c r="AN48" s="444">
        <f t="shared" si="11"/>
        <v>0</v>
      </c>
      <c r="AO48" s="11"/>
    </row>
    <row r="49" spans="1:41" x14ac:dyDescent="0.35">
      <c r="A49" s="65" t="s">
        <v>11</v>
      </c>
      <c r="B49" s="66" t="s">
        <v>21</v>
      </c>
      <c r="C49" s="11"/>
      <c r="D49" s="11"/>
      <c r="E49" s="11"/>
      <c r="F49" s="11"/>
      <c r="G49" s="11"/>
      <c r="H49" s="88" t="s">
        <v>434</v>
      </c>
      <c r="I49" s="122" t="str">
        <f>IF(_epmOfflineCondition_,"T5",_xll.EVPRO($B$1,$H49,"STYLE"))</f>
        <v>T5</v>
      </c>
      <c r="J49" s="122" t="str">
        <f>IF(_epmOfflineCondition_,"Y",_xll.EVPRO($B$1,$H49,"CALC"))</f>
        <v>Y</v>
      </c>
      <c r="K49" s="179" t="str">
        <f t="shared" si="0"/>
        <v>&gt;</v>
      </c>
      <c r="L49" s="90" t="str">
        <f>IF(_epmOfflineCondition_,"450550",_xll.EVPRO($B$1,H49,"JDEID"))</f>
        <v>450550</v>
      </c>
      <c r="M49" s="90" t="str">
        <f>IF(_epmOfflineCondition_,"",IF(AND(I49="N",J49="N"),_xll.EVPRO($B$1,H49,"PSFTID"),""))</f>
        <v/>
      </c>
      <c r="N49" s="90" t="str">
        <f>IF(_epmOfflineCondition_,"Other 4",IF(_xll.EVDES(H49,$B$1)="#NODATA","",_xll.EVDES(H49,$B$1)))</f>
        <v>Other 4</v>
      </c>
      <c r="O49" s="143"/>
      <c r="P49" s="143"/>
      <c r="Q49" s="143"/>
      <c r="R49" s="143"/>
      <c r="S49" s="143"/>
      <c r="T49" s="143"/>
      <c r="U49" s="143"/>
      <c r="V49" s="143"/>
      <c r="W49" s="143"/>
      <c r="X49" s="143"/>
      <c r="Y49" s="143"/>
      <c r="Z49" s="143"/>
      <c r="AA49" s="250">
        <f t="shared" si="1"/>
        <v>0</v>
      </c>
      <c r="AB49" s="144" t="str">
        <f t="shared" si="2"/>
        <v/>
      </c>
      <c r="AC49" s="140"/>
      <c r="AD49" s="143"/>
      <c r="AE49" s="144" t="str">
        <f t="shared" si="3"/>
        <v/>
      </c>
      <c r="AF49" s="145">
        <f t="shared" si="4"/>
        <v>0</v>
      </c>
      <c r="AG49" s="143"/>
      <c r="AH49" s="144" t="str">
        <f t="shared" si="5"/>
        <v/>
      </c>
      <c r="AI49" s="145">
        <f t="shared" si="6"/>
        <v>0</v>
      </c>
      <c r="AJ49" s="440">
        <f t="shared" si="7"/>
        <v>0</v>
      </c>
      <c r="AK49" s="441">
        <f t="shared" si="8"/>
        <v>0</v>
      </c>
      <c r="AL49" s="442">
        <f t="shared" si="9"/>
        <v>0</v>
      </c>
      <c r="AM49" s="443">
        <f t="shared" si="10"/>
        <v>0</v>
      </c>
      <c r="AN49" s="444">
        <f t="shared" si="11"/>
        <v>0</v>
      </c>
      <c r="AO49" s="11"/>
    </row>
    <row r="50" spans="1:41" x14ac:dyDescent="0.35">
      <c r="A50" s="65" t="s">
        <v>12</v>
      </c>
      <c r="B50" s="66" t="s">
        <v>22</v>
      </c>
      <c r="C50" s="11"/>
      <c r="D50" s="11"/>
      <c r="E50" s="11"/>
      <c r="F50" s="11"/>
      <c r="G50" s="11"/>
      <c r="H50" s="88" t="s">
        <v>435</v>
      </c>
      <c r="I50" s="122" t="str">
        <f>IF(_epmOfflineCondition_,"T5",_xll.EVPRO($B$1,$H50,"STYLE"))</f>
        <v>T5</v>
      </c>
      <c r="J50" s="122" t="str">
        <f>IF(_epmOfflineCondition_,"Y",_xll.EVPRO($B$1,$H50,"CALC"))</f>
        <v>Y</v>
      </c>
      <c r="K50" s="179" t="str">
        <f t="shared" si="0"/>
        <v>&gt;</v>
      </c>
      <c r="L50" s="90" t="str">
        <f>IF(_epmOfflineCondition_,"450600",_xll.EVPRO($B$1,H50,"JDEID"))</f>
        <v>450600</v>
      </c>
      <c r="M50" s="90" t="str">
        <f>IF(_epmOfflineCondition_,"",IF(AND(I50="N",J50="N"),_xll.EVPRO($B$1,H50,"PSFTID"),""))</f>
        <v/>
      </c>
      <c r="N50" s="90" t="str">
        <f>IF(_epmOfflineCondition_,"Other 5",IF(_xll.EVDES(H50,$B$1)="#NODATA","",_xll.EVDES(H50,$B$1)))</f>
        <v>Other 5</v>
      </c>
      <c r="O50" s="143"/>
      <c r="P50" s="143"/>
      <c r="Q50" s="143"/>
      <c r="R50" s="143"/>
      <c r="S50" s="143"/>
      <c r="T50" s="143"/>
      <c r="U50" s="143"/>
      <c r="V50" s="143"/>
      <c r="W50" s="143"/>
      <c r="X50" s="143"/>
      <c r="Y50" s="143"/>
      <c r="Z50" s="143"/>
      <c r="AA50" s="250">
        <f t="shared" si="1"/>
        <v>0</v>
      </c>
      <c r="AB50" s="144" t="str">
        <f t="shared" si="2"/>
        <v/>
      </c>
      <c r="AC50" s="140"/>
      <c r="AD50" s="143"/>
      <c r="AE50" s="144" t="str">
        <f t="shared" si="3"/>
        <v/>
      </c>
      <c r="AF50" s="145">
        <f t="shared" si="4"/>
        <v>0</v>
      </c>
      <c r="AG50" s="143"/>
      <c r="AH50" s="144" t="str">
        <f t="shared" si="5"/>
        <v/>
      </c>
      <c r="AI50" s="145">
        <f t="shared" si="6"/>
        <v>0</v>
      </c>
      <c r="AJ50" s="440">
        <f t="shared" si="7"/>
        <v>0</v>
      </c>
      <c r="AK50" s="441">
        <f t="shared" si="8"/>
        <v>0</v>
      </c>
      <c r="AL50" s="442">
        <f t="shared" si="9"/>
        <v>0</v>
      </c>
      <c r="AM50" s="443">
        <f t="shared" si="10"/>
        <v>0</v>
      </c>
      <c r="AN50" s="444">
        <f t="shared" si="11"/>
        <v>0</v>
      </c>
      <c r="AO50" s="11"/>
    </row>
    <row r="51" spans="1:41" x14ac:dyDescent="0.35">
      <c r="A51" s="65" t="s">
        <v>13</v>
      </c>
      <c r="B51" s="66" t="str">
        <f>"DEP(450000) AND "&amp;$E$6&amp;"=Y AND ID&lt;&gt;ALLOW_MOP"</f>
        <v>DEP(450000) AND D1138=Y AND ID&lt;&gt;ALLOW_MOP</v>
      </c>
      <c r="C51" s="11"/>
      <c r="D51" s="11"/>
      <c r="E51" s="11"/>
      <c r="F51" s="11"/>
      <c r="G51" s="11"/>
      <c r="H51" s="88" t="s">
        <v>436</v>
      </c>
      <c r="I51" s="122" t="str">
        <f>IF(_epmOfflineCondition_,"T5",_xll.EVPRO($B$1,$H51,"STYLE"))</f>
        <v>T5</v>
      </c>
      <c r="J51" s="122" t="str">
        <f>IF(_epmOfflineCondition_,"Y",_xll.EVPRO($B$1,$H51,"CALC"))</f>
        <v>Y</v>
      </c>
      <c r="K51" s="179" t="str">
        <f t="shared" si="0"/>
        <v>&gt;</v>
      </c>
      <c r="L51" s="90" t="str">
        <f>IF(_epmOfflineCondition_,"450650",_xll.EVPRO($B$1,H51,"JDEID"))</f>
        <v>450650</v>
      </c>
      <c r="M51" s="90" t="str">
        <f>IF(_epmOfflineCondition_,"",IF(AND(I51="N",J51="N"),_xll.EVPRO($B$1,H51,"PSFTID"),""))</f>
        <v/>
      </c>
      <c r="N51" s="90" t="str">
        <f>IF(_epmOfflineCondition_,"Other 6",IF(_xll.EVDES(H51,$B$1)="#NODATA","",_xll.EVDES(H51,$B$1)))</f>
        <v>Other 6</v>
      </c>
      <c r="O51" s="143"/>
      <c r="P51" s="143"/>
      <c r="Q51" s="143"/>
      <c r="R51" s="143"/>
      <c r="S51" s="143"/>
      <c r="T51" s="143"/>
      <c r="U51" s="143"/>
      <c r="V51" s="143"/>
      <c r="W51" s="143"/>
      <c r="X51" s="143"/>
      <c r="Y51" s="143"/>
      <c r="Z51" s="143"/>
      <c r="AA51" s="250">
        <f t="shared" si="1"/>
        <v>0</v>
      </c>
      <c r="AB51" s="144" t="str">
        <f t="shared" si="2"/>
        <v/>
      </c>
      <c r="AC51" s="140"/>
      <c r="AD51" s="143"/>
      <c r="AE51" s="144" t="str">
        <f t="shared" si="3"/>
        <v/>
      </c>
      <c r="AF51" s="145">
        <f t="shared" si="4"/>
        <v>0</v>
      </c>
      <c r="AG51" s="143"/>
      <c r="AH51" s="144" t="str">
        <f t="shared" si="5"/>
        <v/>
      </c>
      <c r="AI51" s="145">
        <f t="shared" si="6"/>
        <v>0</v>
      </c>
      <c r="AJ51" s="440">
        <f t="shared" si="7"/>
        <v>0</v>
      </c>
      <c r="AK51" s="441">
        <f t="shared" si="8"/>
        <v>0</v>
      </c>
      <c r="AL51" s="442">
        <f t="shared" si="9"/>
        <v>0</v>
      </c>
      <c r="AM51" s="443">
        <f t="shared" si="10"/>
        <v>0</v>
      </c>
      <c r="AN51" s="444">
        <f t="shared" si="11"/>
        <v>0</v>
      </c>
      <c r="AO51" s="11"/>
    </row>
    <row r="52" spans="1:41" x14ac:dyDescent="0.35">
      <c r="A52" s="65" t="s">
        <v>14</v>
      </c>
      <c r="B52" s="66"/>
      <c r="C52" s="11"/>
      <c r="D52" s="11"/>
      <c r="E52" s="11"/>
      <c r="F52" s="11"/>
      <c r="G52" s="11"/>
      <c r="H52" s="88" t="s">
        <v>480</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IF(_epmOfflineCondition_,"Minor Operated: Allowances",IF(_xll.EVDES(H52,$B$1)="#NODATA","",_xll.EVDES(H52,$B$1)))</f>
        <v>Minor Operated: Allowances</v>
      </c>
      <c r="O52" s="217"/>
      <c r="P52" s="217"/>
      <c r="Q52" s="217"/>
      <c r="R52" s="217"/>
      <c r="S52" s="217"/>
      <c r="T52" s="217"/>
      <c r="U52" s="217"/>
      <c r="V52" s="217"/>
      <c r="W52" s="217"/>
      <c r="X52" s="217"/>
      <c r="Y52" s="217"/>
      <c r="Z52" s="217"/>
      <c r="AA52" s="251">
        <f t="shared" si="1"/>
        <v>0</v>
      </c>
      <c r="AB52" s="219" t="str">
        <f t="shared" si="2"/>
        <v/>
      </c>
      <c r="AC52" s="140"/>
      <c r="AD52" s="217"/>
      <c r="AE52" s="219" t="str">
        <f t="shared" si="3"/>
        <v/>
      </c>
      <c r="AF52" s="220">
        <f t="shared" si="4"/>
        <v>0</v>
      </c>
      <c r="AG52" s="217"/>
      <c r="AH52" s="219" t="str">
        <f t="shared" si="5"/>
        <v/>
      </c>
      <c r="AI52" s="220">
        <f t="shared" si="6"/>
        <v>0</v>
      </c>
      <c r="AJ52" s="449">
        <f t="shared" si="7"/>
        <v>0</v>
      </c>
      <c r="AK52" s="450">
        <f t="shared" si="8"/>
        <v>0</v>
      </c>
      <c r="AL52" s="451">
        <f t="shared" si="9"/>
        <v>0</v>
      </c>
      <c r="AM52" s="452">
        <f t="shared" si="10"/>
        <v>0</v>
      </c>
      <c r="AN52" s="453">
        <f t="shared" si="11"/>
        <v>0</v>
      </c>
      <c r="AO52" s="11"/>
    </row>
    <row r="53" spans="1:41" x14ac:dyDescent="0.35">
      <c r="A53" s="65" t="s">
        <v>15</v>
      </c>
      <c r="B53" s="66"/>
      <c r="C53" s="11"/>
      <c r="D53" s="11"/>
      <c r="E53" s="11"/>
      <c r="F53" s="11"/>
      <c r="G53" s="11"/>
      <c r="H53" s="88" t="s">
        <v>280</v>
      </c>
      <c r="I53" s="188" t="str">
        <f>IF(_epmOfflineCondition_,"T3",_xll.EVPRO($B$1,$H53,"STYLE"))</f>
        <v>T3</v>
      </c>
      <c r="J53" s="188" t="str">
        <f>IF(_epmOfflineCondition_,"Y",_xll.EVPRO($B$1,$H53,"CALC"))</f>
        <v>Y</v>
      </c>
      <c r="K53" s="189" t="str">
        <f t="shared" si="0"/>
        <v/>
      </c>
      <c r="L53" s="190" t="str">
        <f>IF(_epmOfflineCondition_,"400000",_xll.EVPRO($B$1,H53,"JDEID"))</f>
        <v>400000</v>
      </c>
      <c r="M53" s="190" t="str">
        <f>IF(_epmOfflineCondition_,"",IF(AND(I53="N",J53="N"),_xll.EVPRO($B$1,H53,"PSFTID"),""))</f>
        <v/>
      </c>
      <c r="N53" s="190" t="str">
        <f>IF(_epmOfflineCondition_,"Total Revenue",IF(_xll.EVDES(H53,$B$1)="#NODATA","",_xll.EVDES(H53,$B$1)))</f>
        <v>Total Revenue</v>
      </c>
      <c r="O53" s="225">
        <v>2230.89</v>
      </c>
      <c r="P53" s="225">
        <v>1586.7</v>
      </c>
      <c r="Q53" s="225">
        <v>722.58</v>
      </c>
      <c r="R53" s="225">
        <v>71.78</v>
      </c>
      <c r="S53" s="225"/>
      <c r="T53" s="225">
        <v>181.69</v>
      </c>
      <c r="U53" s="225">
        <v>403.74</v>
      </c>
      <c r="V53" s="225">
        <v>264.17</v>
      </c>
      <c r="W53" s="225">
        <v>592.71</v>
      </c>
      <c r="X53" s="225">
        <v>863.46</v>
      </c>
      <c r="Y53" s="225">
        <v>-32.57</v>
      </c>
      <c r="Z53" s="225">
        <v>415.66</v>
      </c>
      <c r="AA53" s="225">
        <f t="shared" si="1"/>
        <v>7300.8099999999995</v>
      </c>
      <c r="AB53" s="226">
        <f t="shared" si="2"/>
        <v>1</v>
      </c>
      <c r="AC53" s="227"/>
      <c r="AD53" s="225">
        <v>15495.95</v>
      </c>
      <c r="AE53" s="226">
        <f t="shared" si="3"/>
        <v>1</v>
      </c>
      <c r="AF53" s="228">
        <f t="shared" si="4"/>
        <v>-8195.1400000000012</v>
      </c>
      <c r="AG53" s="225">
        <v>13739.35</v>
      </c>
      <c r="AH53" s="226">
        <f t="shared" si="5"/>
        <v>1</v>
      </c>
      <c r="AI53" s="228">
        <f t="shared" si="6"/>
        <v>-6438.5400000000009</v>
      </c>
      <c r="AJ53" s="229">
        <f t="shared" si="7"/>
        <v>0.36413017456359098</v>
      </c>
      <c r="AK53" s="230">
        <f t="shared" si="8"/>
        <v>0.41000000000000003</v>
      </c>
      <c r="AL53" s="232">
        <f t="shared" si="9"/>
        <v>0.41783802688400951</v>
      </c>
      <c r="AM53" s="427" t="str">
        <f t="shared" si="10"/>
        <v>0 pts.</v>
      </c>
      <c r="AN53" s="456" t="str">
        <f t="shared" si="11"/>
        <v>0 pts.</v>
      </c>
      <c r="AO53" s="11"/>
    </row>
    <row r="54" spans="1:41" x14ac:dyDescent="0.35">
      <c r="A54" s="65" t="s">
        <v>16</v>
      </c>
      <c r="B54" s="66"/>
      <c r="C54" s="11"/>
      <c r="D54" s="11"/>
      <c r="E54" s="11"/>
      <c r="F54" s="11"/>
      <c r="G54" s="11"/>
      <c r="H54" s="11"/>
      <c r="I54" s="59"/>
      <c r="J54" s="59"/>
      <c r="K54" s="11"/>
      <c r="L54" s="11"/>
      <c r="M54" s="11"/>
      <c r="N54" s="11"/>
      <c r="O54" s="203"/>
      <c r="P54" s="204"/>
      <c r="Q54" s="204"/>
      <c r="R54" s="204"/>
      <c r="S54" s="204"/>
      <c r="T54" s="204"/>
      <c r="U54" s="204"/>
      <c r="V54" s="204"/>
      <c r="W54" s="204"/>
      <c r="X54" s="204"/>
      <c r="Y54" s="204"/>
      <c r="Z54" s="204"/>
      <c r="AA54" s="204"/>
      <c r="AB54" s="118"/>
      <c r="AC54" s="11"/>
      <c r="AD54" s="203"/>
      <c r="AE54" s="204"/>
      <c r="AF54" s="118"/>
      <c r="AG54" s="203"/>
      <c r="AH54" s="204"/>
      <c r="AI54" s="118"/>
      <c r="AJ54" s="11"/>
      <c r="AK54" s="11"/>
      <c r="AL54" s="11"/>
      <c r="AM54" s="11"/>
      <c r="AN54" s="11"/>
      <c r="AO54" s="11"/>
    </row>
    <row r="55" spans="1:41" x14ac:dyDescent="0.35">
      <c r="A55" s="65" t="s">
        <v>17</v>
      </c>
      <c r="B55" s="66"/>
      <c r="C55" s="11"/>
      <c r="D55" s="11"/>
      <c r="E55" s="11"/>
      <c r="F55" s="11"/>
      <c r="G55" s="11"/>
      <c r="H55" s="11" t="s">
        <v>281</v>
      </c>
      <c r="I55" s="59" t="str">
        <f>IF(_epmOfflineCondition_,"B1",_xll.EVPRO($B$1,$H55,"STYLE"))</f>
        <v>B1</v>
      </c>
      <c r="J55" s="59" t="str">
        <f>IF(_epmOfflineCondition_,"Y",_xll.EVPRO($B$1,$H55,"CALC"))</f>
        <v>Y</v>
      </c>
      <c r="K55" s="11"/>
      <c r="L55" s="11"/>
      <c r="M55" s="11"/>
      <c r="N55" s="105" t="str">
        <f>IF(_epmOfflineCondition_,"Cost of Sales",IF(_xll.EVDES(H55,$B$1)="#NODATA","",_xll.EVDES(H55,$B$1)))</f>
        <v>Cost of Sales</v>
      </c>
      <c r="O55" s="203"/>
      <c r="P55" s="204"/>
      <c r="Q55" s="204"/>
      <c r="R55" s="204"/>
      <c r="S55" s="204"/>
      <c r="T55" s="204"/>
      <c r="U55" s="204"/>
      <c r="V55" s="204"/>
      <c r="W55" s="204"/>
      <c r="X55" s="204"/>
      <c r="Y55" s="204"/>
      <c r="Z55" s="204"/>
      <c r="AA55" s="204"/>
      <c r="AB55" s="118"/>
      <c r="AC55" s="11"/>
      <c r="AD55" s="203"/>
      <c r="AE55" s="204"/>
      <c r="AF55" s="118"/>
      <c r="AG55" s="203"/>
      <c r="AH55" s="204"/>
      <c r="AI55" s="118"/>
      <c r="AJ55" s="11"/>
      <c r="AK55" s="11"/>
      <c r="AL55" s="11"/>
      <c r="AM55" s="11"/>
      <c r="AN55" s="11"/>
      <c r="AO55" s="11"/>
    </row>
    <row r="56" spans="1:41" x14ac:dyDescent="0.35">
      <c r="A56" s="11"/>
      <c r="B56" s="11"/>
      <c r="C56" s="11"/>
      <c r="D56" s="11"/>
      <c r="E56" s="11"/>
      <c r="F56" s="11"/>
      <c r="G56" s="76"/>
      <c r="H56" s="88" t="s">
        <v>437</v>
      </c>
      <c r="I56" s="122" t="str">
        <f>IF(_epmOfflineCondition_,"T5",_xll.EVPRO($B$1,$H56,"STYLE"))</f>
        <v>T5</v>
      </c>
      <c r="J56" s="122" t="str">
        <f>IF(_epmOfflineCondition_,"Y",_xll.EVPRO($B$1,$H56,"CALC"))</f>
        <v>Y</v>
      </c>
      <c r="K56" s="179" t="str">
        <f t="shared" ref="K56:K74" si="12">IF(AND(I56&gt;="T5"),"&gt;","")</f>
        <v>&gt;</v>
      </c>
      <c r="L56" s="90" t="str">
        <f>IF(_epmOfflineCondition_,"510000",_xll.EVPRO($B$1,H56,"JDEID"))</f>
        <v>510000</v>
      </c>
      <c r="M56" s="90" t="str">
        <f>IF(_epmOfflineCondition_,"",IF(AND(I56="N",J56="N"),_xll.EVPRO($B$1,H56,"PSFTID"),""))</f>
        <v/>
      </c>
      <c r="N56" s="90" t="str">
        <f>IF(_epmOfflineCondition_,"Total Guest Communication COS",IF(_xll.EVDES(H56,$B$1)="#NODATA","",_xll.EVDES(H56,$B$1)))</f>
        <v>Total Guest Communication COS</v>
      </c>
      <c r="O56" s="143">
        <v>47.2</v>
      </c>
      <c r="P56" s="143">
        <v>70.84</v>
      </c>
      <c r="Q56" s="143">
        <v>41</v>
      </c>
      <c r="R56" s="143"/>
      <c r="S56" s="143"/>
      <c r="T56" s="143">
        <v>72</v>
      </c>
      <c r="U56" s="143"/>
      <c r="V56" s="143"/>
      <c r="W56" s="143"/>
      <c r="X56" s="143">
        <v>196</v>
      </c>
      <c r="Y56" s="143"/>
      <c r="Z56" s="143"/>
      <c r="AA56" s="250">
        <f t="shared" ref="AA56:AA74" si="13">IF($I56="B1","",SUM(O56:Z56))</f>
        <v>427.04</v>
      </c>
      <c r="AB56" s="144">
        <f>IF(_epmOfflineCondition_,0.25607598807889,IF(AA56=0,"",IFERROR(AA56/_xll.EVGTS($B$1,1,_xll.EVPRO($B$1,$H56,"COSBASIS"),$B$3,$B$5,$B$6,$B$7,$B$9,AA$16,Z$17,AA$18),"")))</f>
        <v>0.25607598807888998</v>
      </c>
      <c r="AC56" s="140"/>
      <c r="AD56" s="143">
        <v>1209.06205</v>
      </c>
      <c r="AE56" s="144">
        <f>IF(_epmOfflineCondition_,0.457,IF(AD56=0,"",IFERROR(AD56/_xll.EVGTS($B$1,1,_xll.EVPRO($B$1,$H56,"COSBASIS"),$B$3,$B$5,$B$6,$B$7,$B$9,AD$16,AD$17,AD$18),"")))</f>
        <v>0.45700000000000002</v>
      </c>
      <c r="AF56" s="145">
        <f t="shared" ref="AF56:AF74" si="14">IF(AND($AA56="",AD56=""),"",$AA56-AD56)</f>
        <v>-782.02205000000004</v>
      </c>
      <c r="AG56" s="143">
        <v>1087.3699999999999</v>
      </c>
      <c r="AH56" s="144">
        <f>IF(_epmOfflineCondition_,0.458869800436348,IF(AG56=0,"",IFERROR(AG56/_xll.EVGTS($B$1,1,_xll.EVPRO($B$1,$H56,"COSBASIS"),$B$3,$B$5,$B$6,$B$7,$B$9,AG$16,AG$17,AG$18),"")))</f>
        <v>0.45886980043634801</v>
      </c>
      <c r="AI56" s="145">
        <f t="shared" ref="AI56:AI74" si="15">IF(AND($AA56="",AG56=""),"",$AA56-AG56)</f>
        <v>-660.32999999999993</v>
      </c>
      <c r="AJ56" s="440">
        <f t="shared" ref="AJ56:AJ74" si="16">IFERROR(AA56/AA$20,0)</f>
        <v>2.1298753117206984E-2</v>
      </c>
      <c r="AK56" s="441">
        <f t="shared" ref="AK56:AK74" si="17">IFERROR(AD56/AD$20,0)</f>
        <v>3.1989999999999998E-2</v>
      </c>
      <c r="AL56" s="442">
        <f t="shared" ref="AL56:AL74" si="18">IFERROR(AG56/AG$20,0)</f>
        <v>3.3068852259594911E-2</v>
      </c>
      <c r="AM56" s="443" t="str">
        <f t="shared" ref="AM56:AM74" si="19">+IFERROR(ROUND(($AB56-AE56)*100,2)&amp;" pts.",0)</f>
        <v>-20.09 pts.</v>
      </c>
      <c r="AN56" s="444" t="str">
        <f t="shared" ref="AN56:AN74" si="20">+IFERROR(ROUND(($AB56-AH56)*100,2)&amp;" pts.",0)</f>
        <v>-20.28 pts.</v>
      </c>
      <c r="AO56" s="11"/>
    </row>
    <row r="57" spans="1:41" x14ac:dyDescent="0.35">
      <c r="A57" s="97" t="s">
        <v>92</v>
      </c>
      <c r="B57" s="98" t="s">
        <v>93</v>
      </c>
      <c r="C57" s="98" t="s">
        <v>94</v>
      </c>
      <c r="D57" s="98" t="s">
        <v>95</v>
      </c>
      <c r="E57" s="98" t="s">
        <v>96</v>
      </c>
      <c r="F57" s="99" t="s">
        <v>97</v>
      </c>
      <c r="G57" s="11"/>
      <c r="H57" s="88" t="s">
        <v>438</v>
      </c>
      <c r="I57" s="122" t="str">
        <f>IF(_epmOfflineCondition_,"N",_xll.EVPRO($B$1,$H57,"STYLE"))</f>
        <v>N</v>
      </c>
      <c r="J57" s="122" t="str">
        <f>IF(_epmOfflineCondition_,"N",_xll.EVPRO($B$1,$H57,"CALC"))</f>
        <v>N</v>
      </c>
      <c r="K57" s="179" t="str">
        <f t="shared" si="12"/>
        <v/>
      </c>
      <c r="L57" s="90" t="str">
        <f>IF(_epmOfflineCondition_,"550100",_xll.EVPRO($B$1,H57,"JDEID"))</f>
        <v>550100</v>
      </c>
      <c r="M57" s="90" t="str">
        <f>IF(_epmOfflineCondition_,"306025",IF(AND(I57="N",J57="N"),_xll.EVPRO($B$1,H57,"PSFTID"),""))</f>
        <v>306025</v>
      </c>
      <c r="N57" s="90" t="str">
        <f>IF(_epmOfflineCondition_,"In Room Movie Cost of Sales",IF(_xll.EVDES(H57,$B$1)="#NODATA","",_xll.EVDES(H57,$B$1)))</f>
        <v>In Room Movie Cost of Sales</v>
      </c>
      <c r="O57" s="143"/>
      <c r="P57" s="143"/>
      <c r="Q57" s="143"/>
      <c r="R57" s="143"/>
      <c r="S57" s="143"/>
      <c r="T57" s="143"/>
      <c r="U57" s="143"/>
      <c r="V57" s="143"/>
      <c r="W57" s="143"/>
      <c r="X57" s="143"/>
      <c r="Y57" s="143"/>
      <c r="Z57" s="143"/>
      <c r="AA57" s="250">
        <f t="shared" si="13"/>
        <v>0</v>
      </c>
      <c r="AB57" s="144" t="str">
        <f>IF(_epmOfflineCondition_,"",IF(AA57=0,"",IFERROR(AA57/_xll.EVGTS($B$1,1,_xll.EVPRO($B$1,$H57,"COSBASIS"),$B$3,$B$5,$B$6,$B$7,$B$9,AA$16,Z$17,AA$18),"")))</f>
        <v/>
      </c>
      <c r="AC57" s="140"/>
      <c r="AD57" s="143"/>
      <c r="AE57" s="144" t="str">
        <f>IF(_epmOfflineCondition_,"",IF(AD57=0,"",IFERROR(AD57/_xll.EVGTS($B$1,1,_xll.EVPRO($B$1,$H57,"COSBASIS"),$B$3,$B$5,$B$6,$B$7,$B$9,AD$16,AD$17,AD$18),"")))</f>
        <v/>
      </c>
      <c r="AF57" s="145">
        <f t="shared" si="14"/>
        <v>0</v>
      </c>
      <c r="AG57" s="143"/>
      <c r="AH57" s="144" t="str">
        <f>IF(_epmOfflineCondition_,"",IF(AG57=0,"",IFERROR(AG57/_xll.EVGTS($B$1,1,_xll.EVPRO($B$1,$H57,"COSBASIS"),$B$3,$B$5,$B$6,$B$7,$B$9,AG$16,AG$17,AG$18),"")))</f>
        <v/>
      </c>
      <c r="AI57" s="145">
        <f t="shared" si="15"/>
        <v>0</v>
      </c>
      <c r="AJ57" s="440">
        <f t="shared" si="16"/>
        <v>0</v>
      </c>
      <c r="AK57" s="441">
        <f t="shared" si="17"/>
        <v>0</v>
      </c>
      <c r="AL57" s="442">
        <f t="shared" si="18"/>
        <v>0</v>
      </c>
      <c r="AM57" s="443">
        <f t="shared" si="19"/>
        <v>0</v>
      </c>
      <c r="AN57" s="444">
        <f t="shared" si="20"/>
        <v>0</v>
      </c>
      <c r="AO57" s="11"/>
    </row>
    <row r="58" spans="1:41" x14ac:dyDescent="0.35">
      <c r="A58" s="11"/>
      <c r="B58" s="11"/>
      <c r="C58" s="11"/>
      <c r="D58" s="11"/>
      <c r="E58" s="11"/>
      <c r="F58" s="11"/>
      <c r="G58" s="11"/>
      <c r="H58" s="88" t="s">
        <v>439</v>
      </c>
      <c r="I58" s="122" t="str">
        <f>IF(_epmOfflineCondition_,"N",_xll.EVPRO($B$1,$H58,"STYLE"))</f>
        <v>N</v>
      </c>
      <c r="J58" s="122" t="str">
        <f>IF(_epmOfflineCondition_,"N",_xll.EVPRO($B$1,$H58,"CALC"))</f>
        <v>N</v>
      </c>
      <c r="K58" s="179" t="str">
        <f t="shared" si="12"/>
        <v/>
      </c>
      <c r="L58" s="90" t="str">
        <f>IF(_epmOfflineCondition_,"550150",_xll.EVPRO($B$1,H58,"JDEID"))</f>
        <v>550150</v>
      </c>
      <c r="M58" s="90" t="str">
        <f>IF(_epmOfflineCondition_,"307065",IF(AND(I58="N",J58="N"),_xll.EVPRO($B$1,H58,"PSFTID"),""))</f>
        <v>307065</v>
      </c>
      <c r="N58" s="90" t="str">
        <f>IF(_epmOfflineCondition_,"Guest Laundry Cost of Sales",IF(_xll.EVDES(H58,$B$1)="#NODATA","",_xll.EVDES(H58,$B$1)))</f>
        <v>Guest Laundry Cost of Sales</v>
      </c>
      <c r="O58" s="143">
        <v>1442.85</v>
      </c>
      <c r="P58" s="143">
        <v>576.19000000000005</v>
      </c>
      <c r="Q58" s="143">
        <v>17</v>
      </c>
      <c r="R58" s="143">
        <v>59.91</v>
      </c>
      <c r="S58" s="143"/>
      <c r="T58" s="143"/>
      <c r="U58" s="143"/>
      <c r="V58" s="143"/>
      <c r="W58" s="143"/>
      <c r="X58" s="143">
        <v>86</v>
      </c>
      <c r="Y58" s="143"/>
      <c r="Z58" s="143">
        <v>136.91</v>
      </c>
      <c r="AA58" s="250">
        <f t="shared" si="13"/>
        <v>2318.8599999999997</v>
      </c>
      <c r="AB58" s="144">
        <f>IF(_epmOfflineCondition_,0.801214851875142,IF(AA58=0,"",IFERROR(AA58/_xll.EVGTS($B$1,1,_xll.EVPRO($B$1,$H58,"COSBASIS"),$B$3,$B$5,$B$6,$B$7,$B$9,AA$16,Z$17,AA$18),"")))</f>
        <v>0.80121485187514196</v>
      </c>
      <c r="AC58" s="140"/>
      <c r="AD58" s="143">
        <v>4158.9618</v>
      </c>
      <c r="AE58" s="144">
        <f>IF(_epmOfflineCondition_,0.786,IF(AD58=0,"",IFERROR(AD58/_xll.EVGTS($B$1,1,_xll.EVPRO($B$1,$H58,"COSBASIS"),$B$3,$B$5,$B$6,$B$7,$B$9,AD$16,AD$17,AD$18),"")))</f>
        <v>0.78600000000000003</v>
      </c>
      <c r="AF58" s="145">
        <f t="shared" si="14"/>
        <v>-1840.1018000000004</v>
      </c>
      <c r="AG58" s="143">
        <v>4013.77</v>
      </c>
      <c r="AH58" s="144">
        <f>IF(_epmOfflineCondition_,0.810260250964939,IF(AG58=0,"",IFERROR(AG58/_xll.EVGTS($B$1,1,_xll.EVPRO($B$1,$H58,"COSBASIS"),$B$3,$B$5,$B$6,$B$7,$B$9,AG$16,AG$17,AG$18),"")))</f>
        <v>0.81026025096493903</v>
      </c>
      <c r="AI58" s="145">
        <f t="shared" si="15"/>
        <v>-1694.9100000000003</v>
      </c>
      <c r="AJ58" s="440">
        <f t="shared" si="16"/>
        <v>0.11565386533665833</v>
      </c>
      <c r="AK58" s="441">
        <f t="shared" si="17"/>
        <v>0.11004</v>
      </c>
      <c r="AL58" s="442">
        <f t="shared" si="18"/>
        <v>0.12206587190560185</v>
      </c>
      <c r="AM58" s="443" t="str">
        <f t="shared" si="19"/>
        <v>1.52 pts.</v>
      </c>
      <c r="AN58" s="444" t="str">
        <f t="shared" si="20"/>
        <v>-0.9 pts.</v>
      </c>
      <c r="AO58" s="11"/>
    </row>
    <row r="59" spans="1:41" x14ac:dyDescent="0.35">
      <c r="A59" s="11" t="s">
        <v>105</v>
      </c>
      <c r="B59" s="11"/>
      <c r="C59" s="104" t="s">
        <v>101</v>
      </c>
      <c r="D59" s="11" t="s">
        <v>106</v>
      </c>
      <c r="E59" s="11"/>
      <c r="F59" s="11" t="s">
        <v>98</v>
      </c>
      <c r="G59" s="11"/>
      <c r="H59" s="88" t="s">
        <v>440</v>
      </c>
      <c r="I59" s="122" t="str">
        <f>IF(_epmOfflineCondition_,"N",_xll.EVPRO($B$1,$H59,"STYLE"))</f>
        <v>N</v>
      </c>
      <c r="J59" s="122" t="str">
        <f>IF(_epmOfflineCondition_,"N",_xll.EVPRO($B$1,$H59,"CALC"))</f>
        <v>N</v>
      </c>
      <c r="K59" s="179" t="str">
        <f t="shared" si="12"/>
        <v/>
      </c>
      <c r="L59" s="90" t="str">
        <f>IF(_epmOfflineCondition_,"550200",_xll.EVPRO($B$1,H59,"JDEID"))</f>
        <v>550200</v>
      </c>
      <c r="M59" s="90" t="str">
        <f>IF(_epmOfflineCondition_,"306099",IF(AND(I59="N",J59="N"),_xll.EVPRO($B$1,H59,"PSFTID"),""))</f>
        <v>306099</v>
      </c>
      <c r="N59" s="90" t="str">
        <f>IF(_epmOfflineCondition_,"In Room Fax Cost of Sales",IF(_xll.EVDES(H59,$B$1)="#NODATA","",_xll.EVDES(H59,$B$1)))</f>
        <v>In Room Fax Cost of Sales</v>
      </c>
      <c r="O59" s="143"/>
      <c r="P59" s="143"/>
      <c r="Q59" s="143"/>
      <c r="R59" s="143"/>
      <c r="S59" s="143"/>
      <c r="T59" s="143"/>
      <c r="U59" s="143"/>
      <c r="V59" s="143"/>
      <c r="W59" s="143"/>
      <c r="X59" s="143"/>
      <c r="Y59" s="143"/>
      <c r="Z59" s="143"/>
      <c r="AA59" s="250">
        <f t="shared" si="13"/>
        <v>0</v>
      </c>
      <c r="AB59" s="144" t="str">
        <f>IF(_epmOfflineCondition_,"",IF(AA59=0,"",IFERROR(AA59/_xll.EVGTS($B$1,1,_xll.EVPRO($B$1,$H59,"COSBASIS"),$B$3,$B$5,$B$6,$B$7,$B$9,AA$16,Z$17,AA$18),"")))</f>
        <v/>
      </c>
      <c r="AC59" s="140"/>
      <c r="AD59" s="143"/>
      <c r="AE59" s="144" t="str">
        <f>IF(_epmOfflineCondition_,"",IF(AD59=0,"",IFERROR(AD59/_xll.EVGTS($B$1,1,_xll.EVPRO($B$1,$H59,"COSBASIS"),$B$3,$B$5,$B$6,$B$7,$B$9,AD$16,AD$17,AD$18),"")))</f>
        <v/>
      </c>
      <c r="AF59" s="145">
        <f t="shared" si="14"/>
        <v>0</v>
      </c>
      <c r="AG59" s="143"/>
      <c r="AH59" s="144" t="str">
        <f>IF(_epmOfflineCondition_,"",IF(AG59=0,"",IFERROR(AG59/_xll.EVGTS($B$1,1,_xll.EVPRO($B$1,$H59,"COSBASIS"),$B$3,$B$5,$B$6,$B$7,$B$9,AG$16,AG$17,AG$18),"")))</f>
        <v/>
      </c>
      <c r="AI59" s="145">
        <f t="shared" si="15"/>
        <v>0</v>
      </c>
      <c r="AJ59" s="440">
        <f t="shared" si="16"/>
        <v>0</v>
      </c>
      <c r="AK59" s="441">
        <f t="shared" si="17"/>
        <v>0</v>
      </c>
      <c r="AL59" s="442">
        <f t="shared" si="18"/>
        <v>0</v>
      </c>
      <c r="AM59" s="443">
        <f t="shared" si="19"/>
        <v>0</v>
      </c>
      <c r="AN59" s="444">
        <f t="shared" si="20"/>
        <v>0</v>
      </c>
      <c r="AO59" s="11"/>
    </row>
    <row r="60" spans="1:41" x14ac:dyDescent="0.35">
      <c r="A60" s="11" t="s">
        <v>104</v>
      </c>
      <c r="B60" s="11"/>
      <c r="C60" s="104" t="s">
        <v>101</v>
      </c>
      <c r="D60" s="11" t="s">
        <v>106</v>
      </c>
      <c r="E60" s="11"/>
      <c r="F60" s="11" t="s">
        <v>98</v>
      </c>
      <c r="G60" s="11"/>
      <c r="H60" s="88" t="s">
        <v>441</v>
      </c>
      <c r="I60" s="122" t="str">
        <f>IF(_epmOfflineCondition_,"N",_xll.EVPRO($B$1,$H60,"STYLE"))</f>
        <v>N</v>
      </c>
      <c r="J60" s="122" t="str">
        <f>IF(_epmOfflineCondition_,"N",_xll.EVPRO($B$1,$H60,"CALC"))</f>
        <v>N</v>
      </c>
      <c r="K60" s="179" t="str">
        <f t="shared" si="12"/>
        <v/>
      </c>
      <c r="L60" s="90" t="str">
        <f>IF(_epmOfflineCondition_,"550250",_xll.EVPRO($B$1,H60,"JDEID"))</f>
        <v>550250</v>
      </c>
      <c r="M60" s="90" t="str">
        <f>IF(_epmOfflineCondition_,"306055",IF(AND(I60="N",J60="N"),_xll.EVPRO($B$1,H60,"PSFTID"),""))</f>
        <v>306055</v>
      </c>
      <c r="N60" s="90" t="str">
        <f>IF(_epmOfflineCondition_,"In Room Item Cost of Sales",IF(_xll.EVDES(H60,$B$1)="#NODATA","",_xll.EVDES(H60,$B$1)))</f>
        <v>In Room Item Cost of Sales</v>
      </c>
      <c r="O60" s="143"/>
      <c r="P60" s="143"/>
      <c r="Q60" s="143"/>
      <c r="R60" s="143"/>
      <c r="S60" s="143"/>
      <c r="T60" s="143"/>
      <c r="U60" s="143"/>
      <c r="V60" s="143"/>
      <c r="W60" s="143"/>
      <c r="X60" s="143"/>
      <c r="Y60" s="143"/>
      <c r="Z60" s="143"/>
      <c r="AA60" s="250">
        <f t="shared" si="13"/>
        <v>0</v>
      </c>
      <c r="AB60" s="144" t="str">
        <f>IF(_epmOfflineCondition_,"",IF(AA60=0,"",IFERROR(AA60/_xll.EVGTS($B$1,1,_xll.EVPRO($B$1,$H60,"COSBASIS"),$B$3,$B$5,$B$6,$B$7,$B$9,AA$16,Z$17,AA$18),"")))</f>
        <v/>
      </c>
      <c r="AC60" s="140"/>
      <c r="AD60" s="143"/>
      <c r="AE60" s="144" t="str">
        <f>IF(_epmOfflineCondition_,"",IF(AD60=0,"",IFERROR(AD60/_xll.EVGTS($B$1,1,_xll.EVPRO($B$1,$H60,"COSBASIS"),$B$3,$B$5,$B$6,$B$7,$B$9,AD$16,AD$17,AD$18),"")))</f>
        <v/>
      </c>
      <c r="AF60" s="145">
        <f t="shared" si="14"/>
        <v>0</v>
      </c>
      <c r="AG60" s="143"/>
      <c r="AH60" s="144" t="str">
        <f>IF(_epmOfflineCondition_,"",IF(AG60=0,"",IFERROR(AG60/_xll.EVGTS($B$1,1,_xll.EVPRO($B$1,$H60,"COSBASIS"),$B$3,$B$5,$B$6,$B$7,$B$9,AG$16,AG$17,AG$18),"")))</f>
        <v/>
      </c>
      <c r="AI60" s="145">
        <f t="shared" si="15"/>
        <v>0</v>
      </c>
      <c r="AJ60" s="440">
        <f t="shared" si="16"/>
        <v>0</v>
      </c>
      <c r="AK60" s="441">
        <f t="shared" si="17"/>
        <v>0</v>
      </c>
      <c r="AL60" s="442">
        <f t="shared" si="18"/>
        <v>0</v>
      </c>
      <c r="AM60" s="443">
        <f t="shared" si="19"/>
        <v>0</v>
      </c>
      <c r="AN60" s="444">
        <f t="shared" si="20"/>
        <v>0</v>
      </c>
      <c r="AO60" s="11"/>
    </row>
    <row r="61" spans="1:41" x14ac:dyDescent="0.35">
      <c r="A61" s="11" t="s">
        <v>108</v>
      </c>
      <c r="B61" s="11"/>
      <c r="C61" s="106" t="s">
        <v>101</v>
      </c>
      <c r="D61" s="11" t="s">
        <v>106</v>
      </c>
      <c r="E61" s="11"/>
      <c r="F61" s="11" t="s">
        <v>98</v>
      </c>
      <c r="G61" s="11"/>
      <c r="H61" s="88" t="s">
        <v>442</v>
      </c>
      <c r="I61" s="122" t="str">
        <f>IF(_epmOfflineCondition_,"N",_xll.EVPRO($B$1,$H61,"STYLE"))</f>
        <v>N</v>
      </c>
      <c r="J61" s="122" t="str">
        <f>IF(_epmOfflineCondition_,"N",_xll.EVPRO($B$1,$H61,"CALC"))</f>
        <v>N</v>
      </c>
      <c r="K61" s="179" t="str">
        <f t="shared" si="12"/>
        <v/>
      </c>
      <c r="L61" s="90" t="str">
        <f>IF(_epmOfflineCondition_,"550300",_xll.EVPRO($B$1,H61,"JDEID"))</f>
        <v>550300</v>
      </c>
      <c r="M61" s="90" t="str">
        <f>IF(_epmOfflineCondition_,"305015",IF(AND(I61="N",J61="N"),_xll.EVPRO($B$1,H61,"PSFTID"),""))</f>
        <v>305015</v>
      </c>
      <c r="N61" s="90" t="str">
        <f>IF(_epmOfflineCondition_,"Massage Cost of Sales",IF(_xll.EVDES(H61,$B$1)="#NODATA","",_xll.EVDES(H61,$B$1)))</f>
        <v>Massage Cost of Sales</v>
      </c>
      <c r="O61" s="143"/>
      <c r="P61" s="143"/>
      <c r="Q61" s="143"/>
      <c r="R61" s="143"/>
      <c r="S61" s="143"/>
      <c r="T61" s="143"/>
      <c r="U61" s="143"/>
      <c r="V61" s="143"/>
      <c r="W61" s="143"/>
      <c r="X61" s="143"/>
      <c r="Y61" s="143"/>
      <c r="Z61" s="143"/>
      <c r="AA61" s="250">
        <f t="shared" si="13"/>
        <v>0</v>
      </c>
      <c r="AB61" s="144" t="str">
        <f>IF(_epmOfflineCondition_,"",IF(AA61=0,"",IFERROR(AA61/_xll.EVGTS($B$1,1,_xll.EVPRO($B$1,$H61,"COSBASIS"),$B$3,$B$5,$B$6,$B$7,$B$9,AA$16,Z$17,AA$18),"")))</f>
        <v/>
      </c>
      <c r="AC61" s="140"/>
      <c r="AD61" s="143"/>
      <c r="AE61" s="144" t="str">
        <f>IF(_epmOfflineCondition_,"",IF(AD61=0,"",IFERROR(AD61/_xll.EVGTS($B$1,1,_xll.EVPRO($B$1,$H61,"COSBASIS"),$B$3,$B$5,$B$6,$B$7,$B$9,AD$16,AD$17,AD$18),"")))</f>
        <v/>
      </c>
      <c r="AF61" s="145">
        <f t="shared" si="14"/>
        <v>0</v>
      </c>
      <c r="AG61" s="143"/>
      <c r="AH61" s="144" t="str">
        <f>IF(_epmOfflineCondition_,"",IF(AG61=0,"",IFERROR(AG61/_xll.EVGTS($B$1,1,_xll.EVPRO($B$1,$H61,"COSBASIS"),$B$3,$B$5,$B$6,$B$7,$B$9,AG$16,AG$17,AG$18),"")))</f>
        <v/>
      </c>
      <c r="AI61" s="145">
        <f t="shared" si="15"/>
        <v>0</v>
      </c>
      <c r="AJ61" s="440">
        <f t="shared" si="16"/>
        <v>0</v>
      </c>
      <c r="AK61" s="441">
        <f t="shared" si="17"/>
        <v>0</v>
      </c>
      <c r="AL61" s="442">
        <f t="shared" si="18"/>
        <v>0</v>
      </c>
      <c r="AM61" s="443">
        <f t="shared" si="19"/>
        <v>0</v>
      </c>
      <c r="AN61" s="444">
        <f t="shared" si="20"/>
        <v>0</v>
      </c>
      <c r="AO61" s="11"/>
    </row>
    <row r="62" spans="1:41" x14ac:dyDescent="0.35">
      <c r="A62" s="11" t="s">
        <v>108</v>
      </c>
      <c r="B62" s="11"/>
      <c r="C62" s="196" t="s">
        <v>101</v>
      </c>
      <c r="D62" s="11" t="s">
        <v>107</v>
      </c>
      <c r="E62" s="11"/>
      <c r="F62" s="11" t="s">
        <v>99</v>
      </c>
      <c r="G62" s="11"/>
      <c r="H62" s="88" t="s">
        <v>443</v>
      </c>
      <c r="I62" s="122" t="str">
        <f>IF(_epmOfflineCondition_,"N",_xll.EVPRO($B$1,$H62,"STYLE"))</f>
        <v>N</v>
      </c>
      <c r="J62" s="122" t="str">
        <f>IF(_epmOfflineCondition_,"N",_xll.EVPRO($B$1,$H62,"CALC"))</f>
        <v>N</v>
      </c>
      <c r="K62" s="179" t="str">
        <f t="shared" si="12"/>
        <v/>
      </c>
      <c r="L62" s="90" t="str">
        <f>IF(_epmOfflineCondition_,"550350",_xll.EVPRO($B$1,H62,"JDEID"))</f>
        <v>550350</v>
      </c>
      <c r="M62" s="90" t="str">
        <f>IF(_epmOfflineCondition_,"306099",IF(AND(I62="N",J62="N"),_xll.EVPRO($B$1,H62,"PSFTID"),""))</f>
        <v>306099</v>
      </c>
      <c r="N62" s="90" t="str">
        <f>IF(_epmOfflineCondition_,"Gym Pass Cost of Sales",IF(_xll.EVDES(H62,$B$1)="#NODATA","",_xll.EVDES(H62,$B$1)))</f>
        <v>Gym Pass Cost of Sales</v>
      </c>
      <c r="O62" s="143"/>
      <c r="P62" s="143"/>
      <c r="Q62" s="143"/>
      <c r="R62" s="143"/>
      <c r="S62" s="143"/>
      <c r="T62" s="143"/>
      <c r="U62" s="143"/>
      <c r="V62" s="143"/>
      <c r="W62" s="143"/>
      <c r="X62" s="143"/>
      <c r="Y62" s="143"/>
      <c r="Z62" s="143"/>
      <c r="AA62" s="250">
        <f t="shared" si="13"/>
        <v>0</v>
      </c>
      <c r="AB62" s="144" t="str">
        <f>IF(_epmOfflineCondition_,"",IF(AA62=0,"",IFERROR(AA62/_xll.EVGTS($B$1,1,_xll.EVPRO($B$1,$H62,"COSBASIS"),$B$3,$B$5,$B$6,$B$7,$B$9,AA$16,Z$17,AA$18),"")))</f>
        <v/>
      </c>
      <c r="AC62" s="140"/>
      <c r="AD62" s="143"/>
      <c r="AE62" s="144" t="str">
        <f>IF(_epmOfflineCondition_,"",IF(AD62=0,"",IFERROR(AD62/_xll.EVGTS($B$1,1,_xll.EVPRO($B$1,$H62,"COSBASIS"),$B$3,$B$5,$B$6,$B$7,$B$9,AD$16,AD$17,AD$18),"")))</f>
        <v/>
      </c>
      <c r="AF62" s="145">
        <f t="shared" si="14"/>
        <v>0</v>
      </c>
      <c r="AG62" s="143"/>
      <c r="AH62" s="144" t="str">
        <f>IF(_epmOfflineCondition_,"",IF(AG62=0,"",IFERROR(AG62/_xll.EVGTS($B$1,1,_xll.EVPRO($B$1,$H62,"COSBASIS"),$B$3,$B$5,$B$6,$B$7,$B$9,AG$16,AG$17,AG$18),"")))</f>
        <v/>
      </c>
      <c r="AI62" s="145">
        <f t="shared" si="15"/>
        <v>0</v>
      </c>
      <c r="AJ62" s="440">
        <f t="shared" si="16"/>
        <v>0</v>
      </c>
      <c r="AK62" s="441">
        <f t="shared" si="17"/>
        <v>0</v>
      </c>
      <c r="AL62" s="442">
        <f t="shared" si="18"/>
        <v>0</v>
      </c>
      <c r="AM62" s="443">
        <f t="shared" si="19"/>
        <v>0</v>
      </c>
      <c r="AN62" s="444">
        <f t="shared" si="20"/>
        <v>0</v>
      </c>
      <c r="AO62" s="11"/>
    </row>
    <row r="63" spans="1:41" x14ac:dyDescent="0.35">
      <c r="A63" s="11"/>
      <c r="B63" s="11"/>
      <c r="C63" s="11"/>
      <c r="D63" s="11"/>
      <c r="E63" s="11"/>
      <c r="F63" s="11"/>
      <c r="G63" s="11"/>
      <c r="H63" s="88" t="s">
        <v>481</v>
      </c>
      <c r="I63" s="122" t="str">
        <f>IF(_epmOfflineCondition_,"N",_xll.EVPRO($B$1,$H63,"STYLE"))</f>
        <v>N</v>
      </c>
      <c r="J63" s="122" t="str">
        <f>IF(_epmOfflineCondition_,"N",_xll.EVPRO($B$1,$H63,"CALC"))</f>
        <v>N</v>
      </c>
      <c r="K63" s="179" t="str">
        <f t="shared" si="12"/>
        <v/>
      </c>
      <c r="L63" s="90" t="str">
        <f>IF(_epmOfflineCondition_,"550375",_xll.EVPRO($B$1,H63,"JDEID"))</f>
        <v>550375</v>
      </c>
      <c r="M63" s="90" t="str">
        <f>IF(_epmOfflineCondition_,"307005",IF(AND(I63="N",J63="N"),_xll.EVPRO($B$1,H63,"PSFTID"),""))</f>
        <v>307005</v>
      </c>
      <c r="N63" s="90" t="str">
        <f>IF(_epmOfflineCondition_,"Shared Facilities &amp; Services Expense",IF(_xll.EVDES(H63,$B$1)="#NODATA","",_xll.EVDES(H63,$B$1)))</f>
        <v>Shared Facilities &amp; Services Expense</v>
      </c>
      <c r="O63" s="143"/>
      <c r="P63" s="143"/>
      <c r="Q63" s="143"/>
      <c r="R63" s="143"/>
      <c r="S63" s="143"/>
      <c r="T63" s="143"/>
      <c r="U63" s="143"/>
      <c r="V63" s="143"/>
      <c r="W63" s="143"/>
      <c r="X63" s="143"/>
      <c r="Y63" s="143"/>
      <c r="Z63" s="143"/>
      <c r="AA63" s="250">
        <f t="shared" si="13"/>
        <v>0</v>
      </c>
      <c r="AB63" s="144" t="str">
        <f>IF(_epmOfflineCondition_,"",IF(AA63=0,"",IFERROR(AA63/_xll.EVGTS($B$1,1,_xll.EVPRO($B$1,$H63,"COSBASIS"),$B$3,$B$5,$B$6,$B$7,$B$9,AA$16,Z$17,AA$18),"")))</f>
        <v/>
      </c>
      <c r="AC63" s="140"/>
      <c r="AD63" s="143"/>
      <c r="AE63" s="144" t="str">
        <f>IF(_epmOfflineCondition_,"",IF(AD63=0,"",IFERROR(AD63/_xll.EVGTS($B$1,1,_xll.EVPRO($B$1,$H63,"COSBASIS"),$B$3,$B$5,$B$6,$B$7,$B$9,AD$16,AD$17,AD$18),"")))</f>
        <v/>
      </c>
      <c r="AF63" s="145">
        <f t="shared" si="14"/>
        <v>0</v>
      </c>
      <c r="AG63" s="143"/>
      <c r="AH63" s="144" t="str">
        <f>IF(_epmOfflineCondition_,"",IF(AG63=0,"",IFERROR(AG63/_xll.EVGTS($B$1,1,_xll.EVPRO($B$1,$H63,"COSBASIS"),$B$3,$B$5,$B$6,$B$7,$B$9,AG$16,AG$17,AG$18),"")))</f>
        <v/>
      </c>
      <c r="AI63" s="145">
        <f t="shared" si="15"/>
        <v>0</v>
      </c>
      <c r="AJ63" s="440">
        <f t="shared" si="16"/>
        <v>0</v>
      </c>
      <c r="AK63" s="441">
        <f t="shared" si="17"/>
        <v>0</v>
      </c>
      <c r="AL63" s="442">
        <f t="shared" si="18"/>
        <v>0</v>
      </c>
      <c r="AM63" s="443">
        <f t="shared" si="19"/>
        <v>0</v>
      </c>
      <c r="AN63" s="444">
        <f t="shared" si="20"/>
        <v>0</v>
      </c>
      <c r="AO63" s="11"/>
    </row>
    <row r="64" spans="1:41" x14ac:dyDescent="0.35">
      <c r="A64" s="11"/>
      <c r="B64" s="11"/>
      <c r="C64" s="208"/>
      <c r="D64" s="11"/>
      <c r="E64" s="11"/>
      <c r="F64" s="11"/>
      <c r="G64" s="11"/>
      <c r="H64" s="88" t="s">
        <v>482</v>
      </c>
      <c r="I64" s="122" t="str">
        <f>IF(_epmOfflineCondition_,"N",_xll.EVPRO($B$1,$H64,"STYLE"))</f>
        <v>N</v>
      </c>
      <c r="J64" s="122" t="str">
        <f>IF(_epmOfflineCondition_,"N",_xll.EVPRO($B$1,$H64,"CALC"))</f>
        <v>N</v>
      </c>
      <c r="K64" s="179" t="str">
        <f t="shared" si="12"/>
        <v/>
      </c>
      <c r="L64" s="90" t="str">
        <f>IF(_epmOfflineCondition_,"550380",_xll.EVPRO($B$1,H64,"JDEID"))</f>
        <v>550380</v>
      </c>
      <c r="M64" s="90" t="str">
        <f>IF(_epmOfflineCondition_,"306020",IF(AND(I64="N",J64="N"),_xll.EVPRO($B$1,H64,"PSFTID"),""))</f>
        <v>306020</v>
      </c>
      <c r="N64" s="90" t="str">
        <f>IF(_epmOfflineCondition_,"Retail Kiosk Cost of Sales",IF(_xll.EVDES(H64,$B$1)="#NODATA","",_xll.EVDES(H64,$B$1)))</f>
        <v>Retail Kiosk Cost of Sales</v>
      </c>
      <c r="O64" s="143"/>
      <c r="P64" s="143"/>
      <c r="Q64" s="143"/>
      <c r="R64" s="143"/>
      <c r="S64" s="143"/>
      <c r="T64" s="143"/>
      <c r="U64" s="143"/>
      <c r="V64" s="143"/>
      <c r="W64" s="143"/>
      <c r="X64" s="143"/>
      <c r="Y64" s="143"/>
      <c r="Z64" s="143"/>
      <c r="AA64" s="250">
        <f t="shared" si="13"/>
        <v>0</v>
      </c>
      <c r="AB64" s="144" t="str">
        <f>IF(_epmOfflineCondition_,"",IF(AA64=0,"",IFERROR(AA64/_xll.EVGTS($B$1,1,_xll.EVPRO($B$1,$H64,"COSBASIS"),$B$3,$B$5,$B$6,$B$7,$B$9,AA$16,Z$17,AA$18),"")))</f>
        <v/>
      </c>
      <c r="AC64" s="140"/>
      <c r="AD64" s="143"/>
      <c r="AE64" s="144" t="str">
        <f>IF(_epmOfflineCondition_,"",IF(AD64=0,"",IFERROR(AD64/_xll.EVGTS($B$1,1,_xll.EVPRO($B$1,$H64,"COSBASIS"),$B$3,$B$5,$B$6,$B$7,$B$9,AD$16,AD$17,AD$18),"")))</f>
        <v/>
      </c>
      <c r="AF64" s="145">
        <f t="shared" si="14"/>
        <v>0</v>
      </c>
      <c r="AG64" s="143"/>
      <c r="AH64" s="144" t="str">
        <f>IF(_epmOfflineCondition_,"",IF(AG64=0,"",IFERROR(AG64/_xll.EVGTS($B$1,1,_xll.EVPRO($B$1,$H64,"COSBASIS"),$B$3,$B$5,$B$6,$B$7,$B$9,AG$16,AG$17,AG$18),"")))</f>
        <v/>
      </c>
      <c r="AI64" s="145">
        <f t="shared" si="15"/>
        <v>0</v>
      </c>
      <c r="AJ64" s="440">
        <f t="shared" si="16"/>
        <v>0</v>
      </c>
      <c r="AK64" s="441">
        <f t="shared" si="17"/>
        <v>0</v>
      </c>
      <c r="AL64" s="442">
        <f t="shared" si="18"/>
        <v>0</v>
      </c>
      <c r="AM64" s="443">
        <f t="shared" si="19"/>
        <v>0</v>
      </c>
      <c r="AN64" s="444">
        <f t="shared" si="20"/>
        <v>0</v>
      </c>
      <c r="AO64" s="11"/>
    </row>
    <row r="65" spans="1:41" x14ac:dyDescent="0.35">
      <c r="A65" s="61" t="str">
        <f>IF(_epmOfflineCondition_,"Evdre:Ok",_xll.EVDRE($B$1,A68:B75))</f>
        <v>Evdre:Ok</v>
      </c>
      <c r="B65" s="11" t="s">
        <v>736</v>
      </c>
      <c r="C65" s="11"/>
      <c r="D65" s="11"/>
      <c r="E65" s="11"/>
      <c r="F65" s="11"/>
      <c r="G65" s="11"/>
      <c r="H65" s="88" t="s">
        <v>483</v>
      </c>
      <c r="I65" s="122" t="str">
        <f>IF(_epmOfflineCondition_,"N",_xll.EVPRO($B$1,$H65,"STYLE"))</f>
        <v>N</v>
      </c>
      <c r="J65" s="122" t="str">
        <f>IF(_epmOfflineCondition_,"N",_xll.EVPRO($B$1,$H65,"CALC"))</f>
        <v>N</v>
      </c>
      <c r="K65" s="179" t="str">
        <f t="shared" si="12"/>
        <v/>
      </c>
      <c r="L65" s="90" t="str">
        <f>IF(_epmOfflineCondition_,"550385",_xll.EVPRO($B$1,H65,"JDEID"))</f>
        <v>550385</v>
      </c>
      <c r="M65" s="90" t="str">
        <f>IF(_epmOfflineCondition_,"306045",IF(AND(I65="N",J65="N"),_xll.EVPRO($B$1,H65,"PSFTID"),""))</f>
        <v>306045</v>
      </c>
      <c r="N65" s="90" t="str">
        <f>IF(_epmOfflineCondition_,"Vending Machines Cost of Sales",IF(_xll.EVDES(H65,$B$1)="#NODATA","",_xll.EVDES(H65,$B$1)))</f>
        <v>Vending Machines Cost of Sales</v>
      </c>
      <c r="O65" s="143"/>
      <c r="P65" s="143"/>
      <c r="Q65" s="143"/>
      <c r="R65" s="143"/>
      <c r="S65" s="143"/>
      <c r="T65" s="143"/>
      <c r="U65" s="143"/>
      <c r="V65" s="143"/>
      <c r="W65" s="143"/>
      <c r="X65" s="143"/>
      <c r="Y65" s="143"/>
      <c r="Z65" s="143"/>
      <c r="AA65" s="250">
        <f t="shared" si="13"/>
        <v>0</v>
      </c>
      <c r="AB65" s="144" t="str">
        <f>IF(_epmOfflineCondition_,"",IF(AA65=0,"",IFERROR(AA65/_xll.EVGTS($B$1,1,_xll.EVPRO($B$1,$H65,"COSBASIS"),$B$3,$B$5,$B$6,$B$7,$B$9,AA$16,Z$17,AA$18),"")))</f>
        <v/>
      </c>
      <c r="AC65" s="140"/>
      <c r="AD65" s="143"/>
      <c r="AE65" s="144" t="str">
        <f>IF(_epmOfflineCondition_,"",IF(AD65=0,"",IFERROR(AD65/_xll.EVGTS($B$1,1,_xll.EVPRO($B$1,$H65,"COSBASIS"),$B$3,$B$5,$B$6,$B$7,$B$9,AD$16,AD$17,AD$18),"")))</f>
        <v/>
      </c>
      <c r="AF65" s="145">
        <f t="shared" si="14"/>
        <v>0</v>
      </c>
      <c r="AG65" s="143"/>
      <c r="AH65" s="144" t="str">
        <f>IF(_epmOfflineCondition_,"",IF(AG65=0,"",IFERROR(AG65/_xll.EVGTS($B$1,1,_xll.EVPRO($B$1,$H65,"COSBASIS"),$B$3,$B$5,$B$6,$B$7,$B$9,AG$16,AG$17,AG$18),"")))</f>
        <v/>
      </c>
      <c r="AI65" s="145">
        <f t="shared" si="15"/>
        <v>0</v>
      </c>
      <c r="AJ65" s="440">
        <f t="shared" si="16"/>
        <v>0</v>
      </c>
      <c r="AK65" s="441">
        <f t="shared" si="17"/>
        <v>0</v>
      </c>
      <c r="AL65" s="442">
        <f t="shared" si="18"/>
        <v>0</v>
      </c>
      <c r="AM65" s="443">
        <f t="shared" si="19"/>
        <v>0</v>
      </c>
      <c r="AN65" s="444">
        <f t="shared" si="20"/>
        <v>0</v>
      </c>
      <c r="AO65" s="11"/>
    </row>
    <row r="66" spans="1:41" x14ac:dyDescent="0.35">
      <c r="A66" s="11"/>
      <c r="B66" s="11"/>
      <c r="C66" s="11"/>
      <c r="D66" s="11"/>
      <c r="E66" s="11"/>
      <c r="F66" s="11"/>
      <c r="G66" s="11"/>
      <c r="H66" s="88" t="s">
        <v>484</v>
      </c>
      <c r="I66" s="122" t="str">
        <f>IF(_epmOfflineCondition_,"N",_xll.EVPRO($B$1,$H66,"STYLE"))</f>
        <v>N</v>
      </c>
      <c r="J66" s="122" t="str">
        <f>IF(_epmOfflineCondition_,"N",_xll.EVPRO($B$1,$H66,"CALC"))</f>
        <v>N</v>
      </c>
      <c r="K66" s="179" t="str">
        <f t="shared" si="12"/>
        <v/>
      </c>
      <c r="L66" s="90" t="str">
        <f>IF(_epmOfflineCondition_,"550390",_xll.EVPRO($B$1,H66,"JDEID"))</f>
        <v>550390</v>
      </c>
      <c r="M66" s="90" t="str">
        <f>IF(_epmOfflineCondition_,"306015",IF(AND(I66="N",J66="N"),_xll.EVPRO($B$1,H66,"PSFTID"),""))</f>
        <v>306015</v>
      </c>
      <c r="N66" s="90" t="str">
        <f>IF(_epmOfflineCondition_,"Laundry Machines Cost of Sales",IF(_xll.EVDES(H66,$B$1)="#NODATA","",_xll.EVDES(H66,$B$1)))</f>
        <v>Laundry Machines Cost of Sales</v>
      </c>
      <c r="O66" s="143"/>
      <c r="P66" s="143"/>
      <c r="Q66" s="143"/>
      <c r="R66" s="143"/>
      <c r="S66" s="143"/>
      <c r="T66" s="143"/>
      <c r="U66" s="143"/>
      <c r="V66" s="143"/>
      <c r="W66" s="143"/>
      <c r="X66" s="143"/>
      <c r="Y66" s="143"/>
      <c r="Z66" s="143"/>
      <c r="AA66" s="250">
        <f t="shared" si="13"/>
        <v>0</v>
      </c>
      <c r="AB66" s="144" t="str">
        <f>IF(_epmOfflineCondition_,"",IF(AA66=0,"",IFERROR(AA66/_xll.EVGTS($B$1,1,_xll.EVPRO($B$1,$H66,"COSBASIS"),$B$3,$B$5,$B$6,$B$7,$B$9,AA$16,Z$17,AA$18),"")))</f>
        <v/>
      </c>
      <c r="AC66" s="140"/>
      <c r="AD66" s="143"/>
      <c r="AE66" s="144" t="str">
        <f>IF(_epmOfflineCondition_,"",IF(AD66=0,"",IFERROR(AD66/_xll.EVGTS($B$1,1,_xll.EVPRO($B$1,$H66,"COSBASIS"),$B$3,$B$5,$B$6,$B$7,$B$9,AD$16,AD$17,AD$18),"")))</f>
        <v/>
      </c>
      <c r="AF66" s="145">
        <f t="shared" si="14"/>
        <v>0</v>
      </c>
      <c r="AG66" s="143"/>
      <c r="AH66" s="144" t="str">
        <f>IF(_epmOfflineCondition_,"",IF(AG66=0,"",IFERROR(AG66/_xll.EVGTS($B$1,1,_xll.EVPRO($B$1,$H66,"COSBASIS"),$B$3,$B$5,$B$6,$B$7,$B$9,AG$16,AG$17,AG$18),"")))</f>
        <v/>
      </c>
      <c r="AI66" s="145">
        <f t="shared" si="15"/>
        <v>0</v>
      </c>
      <c r="AJ66" s="440">
        <f t="shared" si="16"/>
        <v>0</v>
      </c>
      <c r="AK66" s="441">
        <f t="shared" si="17"/>
        <v>0</v>
      </c>
      <c r="AL66" s="442">
        <f t="shared" si="18"/>
        <v>0</v>
      </c>
      <c r="AM66" s="443">
        <f t="shared" si="19"/>
        <v>0</v>
      </c>
      <c r="AN66" s="444">
        <f t="shared" si="20"/>
        <v>0</v>
      </c>
      <c r="AO66" s="11"/>
    </row>
    <row r="67" spans="1:41" x14ac:dyDescent="0.35">
      <c r="A67" s="62" t="s">
        <v>0</v>
      </c>
      <c r="B67" s="63" t="s">
        <v>1</v>
      </c>
      <c r="C67" s="11"/>
      <c r="D67" s="11"/>
      <c r="E67" s="11"/>
      <c r="F67" s="11"/>
      <c r="G67" s="11"/>
      <c r="H67" s="88" t="s">
        <v>485</v>
      </c>
      <c r="I67" s="122" t="str">
        <f>IF(_epmOfflineCondition_,"N",_xll.EVPRO($B$1,$H67,"STYLE"))</f>
        <v>N</v>
      </c>
      <c r="J67" s="122" t="str">
        <f>IF(_epmOfflineCondition_,"N",_xll.EVPRO($B$1,$H67,"CALC"))</f>
        <v>N</v>
      </c>
      <c r="K67" s="179" t="str">
        <f t="shared" si="12"/>
        <v/>
      </c>
      <c r="L67" s="90" t="str">
        <f>IF(_epmOfflineCondition_,"550395",_xll.EVPRO($B$1,H67,"JDEID"))</f>
        <v>550395</v>
      </c>
      <c r="M67" s="90" t="str">
        <f>IF(_epmOfflineCondition_,"307010",IF(AND(I67="N",J67="N"),_xll.EVPRO($B$1,H67,"PSFTID"),""))</f>
        <v>307010</v>
      </c>
      <c r="N67" s="90" t="str">
        <f>IF(_epmOfflineCondition_,"Occasional F&amp;B Cost of Sales",IF(_xll.EVDES(H67,$B$1)="#NODATA","",_xll.EVDES(H67,$B$1)))</f>
        <v>Occasional F&amp;B Cost of Sales</v>
      </c>
      <c r="O67" s="143"/>
      <c r="P67" s="143"/>
      <c r="Q67" s="143"/>
      <c r="R67" s="143"/>
      <c r="S67" s="143"/>
      <c r="T67" s="143"/>
      <c r="U67" s="143"/>
      <c r="V67" s="143"/>
      <c r="W67" s="143"/>
      <c r="X67" s="143"/>
      <c r="Y67" s="143"/>
      <c r="Z67" s="143"/>
      <c r="AA67" s="250">
        <f t="shared" si="13"/>
        <v>0</v>
      </c>
      <c r="AB67" s="144" t="str">
        <f>IF(_epmOfflineCondition_,"",IF(AA67=0,"",IFERROR(AA67/_xll.EVGTS($B$1,1,_xll.EVPRO($B$1,$H67,"COSBASIS"),$B$3,$B$5,$B$6,$B$7,$B$9,AA$16,Z$17,AA$18),"")))</f>
        <v/>
      </c>
      <c r="AC67" s="140"/>
      <c r="AD67" s="143"/>
      <c r="AE67" s="144" t="str">
        <f>IF(_epmOfflineCondition_,"",IF(AD67=0,"",IFERROR(AD67/_xll.EVGTS($B$1,1,_xll.EVPRO($B$1,$H67,"COSBASIS"),$B$3,$B$5,$B$6,$B$7,$B$9,AD$16,AD$17,AD$18),"")))</f>
        <v/>
      </c>
      <c r="AF67" s="145">
        <f t="shared" si="14"/>
        <v>0</v>
      </c>
      <c r="AG67" s="143"/>
      <c r="AH67" s="144" t="str">
        <f>IF(_epmOfflineCondition_,"",IF(AG67=0,"",IFERROR(AG67/_xll.EVGTS($B$1,1,_xll.EVPRO($B$1,$H67,"COSBASIS"),$B$3,$B$5,$B$6,$B$7,$B$9,AG$16,AG$17,AG$18),"")))</f>
        <v/>
      </c>
      <c r="AI67" s="145">
        <f t="shared" si="15"/>
        <v>0</v>
      </c>
      <c r="AJ67" s="440">
        <f t="shared" si="16"/>
        <v>0</v>
      </c>
      <c r="AK67" s="441">
        <f t="shared" si="17"/>
        <v>0</v>
      </c>
      <c r="AL67" s="442">
        <f t="shared" si="18"/>
        <v>0</v>
      </c>
      <c r="AM67" s="443">
        <f t="shared" si="19"/>
        <v>0</v>
      </c>
      <c r="AN67" s="444">
        <f t="shared" si="20"/>
        <v>0</v>
      </c>
      <c r="AO67" s="11"/>
    </row>
    <row r="68" spans="1:41" x14ac:dyDescent="0.35">
      <c r="A68" s="65" t="s">
        <v>2</v>
      </c>
      <c r="B68" s="66" t="str">
        <f>IF(_epmOfflineCondition_,"'Minor_Op'!$B$2:$B$10",_xll.EVRNG($B$2:$B$10))</f>
        <v>'Minor_Op'!$B$2:$B$10</v>
      </c>
      <c r="C68" s="11"/>
      <c r="D68" s="11"/>
      <c r="E68" s="11"/>
      <c r="F68" s="11"/>
      <c r="G68" s="11"/>
      <c r="H68" s="88" t="s">
        <v>444</v>
      </c>
      <c r="I68" s="122" t="str">
        <f>IF(_epmOfflineCondition_,"N",_xll.EVPRO($B$1,$H68,"STYLE"))</f>
        <v>N</v>
      </c>
      <c r="J68" s="122" t="str">
        <f>IF(_epmOfflineCondition_,"N",_xll.EVPRO($B$1,$H68,"CALC"))</f>
        <v>N</v>
      </c>
      <c r="K68" s="179" t="str">
        <f t="shared" si="12"/>
        <v/>
      </c>
      <c r="L68" s="90" t="str">
        <f>IF(_epmOfflineCondition_,"550400",_xll.EVPRO($B$1,H68,"JDEID"))</f>
        <v>550400</v>
      </c>
      <c r="M68" s="90" t="str">
        <f>IF(_epmOfflineCondition_,"307014",IF(AND(I68="N",J68="N"),_xll.EVPRO($B$1,H68,"PSFTID"),""))</f>
        <v>307014</v>
      </c>
      <c r="N68" s="90" t="str">
        <f>IF(_epmOfflineCondition_,"Other 1 Cost of Sales",IF(_xll.EVDES(H68,$B$1)="#NODATA","",_xll.EVDES(H68,$B$1)))</f>
        <v>Other 1 Cost of Sales</v>
      </c>
      <c r="O68" s="143"/>
      <c r="P68" s="143"/>
      <c r="Q68" s="143"/>
      <c r="R68" s="143"/>
      <c r="S68" s="143"/>
      <c r="T68" s="143"/>
      <c r="U68" s="143"/>
      <c r="V68" s="143"/>
      <c r="W68" s="143"/>
      <c r="X68" s="143"/>
      <c r="Y68" s="143"/>
      <c r="Z68" s="143"/>
      <c r="AA68" s="250">
        <f t="shared" si="13"/>
        <v>0</v>
      </c>
      <c r="AB68" s="144" t="str">
        <f>IF(_epmOfflineCondition_,"",IF(AA68=0,"",IFERROR(AA68/_xll.EVGTS($B$1,1,_xll.EVPRO($B$1,$H68,"COSBASIS"),$B$3,$B$5,$B$6,$B$7,$B$9,AA$16,Z$17,AA$18),"")))</f>
        <v/>
      </c>
      <c r="AC68" s="140"/>
      <c r="AD68" s="143"/>
      <c r="AE68" s="144" t="str">
        <f>IF(_epmOfflineCondition_,"",IF(AD68=0,"",IFERROR(AD68/_xll.EVGTS($B$1,1,_xll.EVPRO($B$1,$H68,"COSBASIS"),$B$3,$B$5,$B$6,$B$7,$B$9,AD$16,AD$17,AD$18),"")))</f>
        <v/>
      </c>
      <c r="AF68" s="145">
        <f t="shared" si="14"/>
        <v>0</v>
      </c>
      <c r="AG68" s="143"/>
      <c r="AH68" s="144" t="str">
        <f>IF(_epmOfflineCondition_,"",IF(AG68=0,"",IFERROR(AG68/_xll.EVGTS($B$1,1,_xll.EVPRO($B$1,$H68,"COSBASIS"),$B$3,$B$5,$B$6,$B$7,$B$9,AG$16,AG$17,AG$18),"")))</f>
        <v/>
      </c>
      <c r="AI68" s="145">
        <f t="shared" si="15"/>
        <v>0</v>
      </c>
      <c r="AJ68" s="440">
        <f t="shared" si="16"/>
        <v>0</v>
      </c>
      <c r="AK68" s="441">
        <f t="shared" si="17"/>
        <v>0</v>
      </c>
      <c r="AL68" s="442">
        <f t="shared" si="18"/>
        <v>0</v>
      </c>
      <c r="AM68" s="443">
        <f t="shared" si="19"/>
        <v>0</v>
      </c>
      <c r="AN68" s="444">
        <f t="shared" si="20"/>
        <v>0</v>
      </c>
      <c r="AO68" s="11"/>
    </row>
    <row r="69" spans="1:41" x14ac:dyDescent="0.35">
      <c r="A69" s="65" t="s">
        <v>3</v>
      </c>
      <c r="B69" s="66" t="str">
        <f>IF(_epmOfflineCondition_,"'Minor_Op'!$O$16:$AN$18",_xll.EVRNG($O$16:$AN$18))</f>
        <v>'Minor_Op'!$O$16:$AN$18</v>
      </c>
      <c r="C69" s="11"/>
      <c r="D69" s="11"/>
      <c r="E69" s="11"/>
      <c r="F69" s="11"/>
      <c r="G69" s="11"/>
      <c r="H69" s="88" t="s">
        <v>445</v>
      </c>
      <c r="I69" s="122" t="str">
        <f>IF(_epmOfflineCondition_,"N",_xll.EVPRO($B$1,$H69,"STYLE"))</f>
        <v>N</v>
      </c>
      <c r="J69" s="122" t="str">
        <f>IF(_epmOfflineCondition_,"N",_xll.EVPRO($B$1,$H69,"CALC"))</f>
        <v>N</v>
      </c>
      <c r="K69" s="179" t="str">
        <f t="shared" si="12"/>
        <v/>
      </c>
      <c r="L69" s="90" t="str">
        <f>IF(_epmOfflineCondition_,"550450",_xll.EVPRO($B$1,H69,"JDEID"))</f>
        <v>550450</v>
      </c>
      <c r="M69" s="90" t="str">
        <f>IF(_epmOfflineCondition_,"307015",IF(AND(I69="N",J69="N"),_xll.EVPRO($B$1,H69,"PSFTID"),""))</f>
        <v>307015</v>
      </c>
      <c r="N69" s="90" t="str">
        <f>IF(_epmOfflineCondition_,"Other 2 Cost of Sales",IF(_xll.EVDES(H69,$B$1)="#NODATA","",_xll.EVDES(H69,$B$1)))</f>
        <v>Other 2 Cost of Sales</v>
      </c>
      <c r="O69" s="143"/>
      <c r="P69" s="143"/>
      <c r="Q69" s="143"/>
      <c r="R69" s="143"/>
      <c r="S69" s="143"/>
      <c r="T69" s="143"/>
      <c r="U69" s="143"/>
      <c r="V69" s="143"/>
      <c r="W69" s="143"/>
      <c r="X69" s="143"/>
      <c r="Y69" s="143"/>
      <c r="Z69" s="143"/>
      <c r="AA69" s="250">
        <f t="shared" si="13"/>
        <v>0</v>
      </c>
      <c r="AB69" s="144" t="str">
        <f>IF(_epmOfflineCondition_,"",IF(AA69=0,"",IFERROR(AA69/_xll.EVGTS($B$1,1,_xll.EVPRO($B$1,$H69,"COSBASIS"),$B$3,$B$5,$B$6,$B$7,$B$9,AA$16,Z$17,AA$18),"")))</f>
        <v/>
      </c>
      <c r="AC69" s="140"/>
      <c r="AD69" s="143"/>
      <c r="AE69" s="144" t="str">
        <f>IF(_epmOfflineCondition_,"",IF(AD69=0,"",IFERROR(AD69/_xll.EVGTS($B$1,1,_xll.EVPRO($B$1,$H69,"COSBASIS"),$B$3,$B$5,$B$6,$B$7,$B$9,AD$16,AD$17,AD$18),"")))</f>
        <v/>
      </c>
      <c r="AF69" s="145">
        <f t="shared" si="14"/>
        <v>0</v>
      </c>
      <c r="AG69" s="143"/>
      <c r="AH69" s="144" t="str">
        <f>IF(_epmOfflineCondition_,"",IF(AG69=0,"",IFERROR(AG69/_xll.EVGTS($B$1,1,_xll.EVPRO($B$1,$H69,"COSBASIS"),$B$3,$B$5,$B$6,$B$7,$B$9,AG$16,AG$17,AG$18),"")))</f>
        <v/>
      </c>
      <c r="AI69" s="145">
        <f t="shared" si="15"/>
        <v>0</v>
      </c>
      <c r="AJ69" s="440">
        <f t="shared" si="16"/>
        <v>0</v>
      </c>
      <c r="AK69" s="441">
        <f t="shared" si="17"/>
        <v>0</v>
      </c>
      <c r="AL69" s="442">
        <f t="shared" si="18"/>
        <v>0</v>
      </c>
      <c r="AM69" s="443">
        <f t="shared" si="19"/>
        <v>0</v>
      </c>
      <c r="AN69" s="444">
        <f t="shared" si="20"/>
        <v>0</v>
      </c>
      <c r="AO69" s="11"/>
    </row>
    <row r="70" spans="1:41" x14ac:dyDescent="0.35">
      <c r="A70" s="65" t="s">
        <v>4</v>
      </c>
      <c r="B70" s="66" t="str">
        <f>IF(_epmOfflineCondition_,"'Minor_Op'!$H$95:$H$98",_xll.EVRNG(H95:H98))</f>
        <v>'Minor_Op'!$H$95:$H$98</v>
      </c>
      <c r="C70" s="11"/>
      <c r="D70" s="11"/>
      <c r="E70" s="11"/>
      <c r="F70" s="11"/>
      <c r="G70" s="11"/>
      <c r="H70" s="88" t="s">
        <v>446</v>
      </c>
      <c r="I70" s="122" t="str">
        <f>IF(_epmOfflineCondition_,"N",_xll.EVPRO($B$1,$H70,"STYLE"))</f>
        <v>N</v>
      </c>
      <c r="J70" s="122" t="str">
        <f>IF(_epmOfflineCondition_,"N",_xll.EVPRO($B$1,$H70,"CALC"))</f>
        <v>N</v>
      </c>
      <c r="K70" s="179" t="str">
        <f t="shared" si="12"/>
        <v/>
      </c>
      <c r="L70" s="90" t="str">
        <f>IF(_epmOfflineCondition_,"550500",_xll.EVPRO($B$1,H70,"JDEID"))</f>
        <v>550500</v>
      </c>
      <c r="M70" s="90" t="str">
        <f>IF(_epmOfflineCondition_,"307016",IF(AND(I70="N",J70="N"),_xll.EVPRO($B$1,H70,"PSFTID"),""))</f>
        <v>307016</v>
      </c>
      <c r="N70" s="90" t="str">
        <f>IF(_epmOfflineCondition_,"Other 3 Cost of Sales",IF(_xll.EVDES(H70,$B$1)="#NODATA","",_xll.EVDES(H70,$B$1)))</f>
        <v>Other 3 Cost of Sales</v>
      </c>
      <c r="O70" s="143"/>
      <c r="P70" s="143"/>
      <c r="Q70" s="143"/>
      <c r="R70" s="143"/>
      <c r="S70" s="143"/>
      <c r="T70" s="143"/>
      <c r="U70" s="143"/>
      <c r="V70" s="143"/>
      <c r="W70" s="143"/>
      <c r="X70" s="143"/>
      <c r="Y70" s="143"/>
      <c r="Z70" s="143"/>
      <c r="AA70" s="250">
        <f t="shared" si="13"/>
        <v>0</v>
      </c>
      <c r="AB70" s="144" t="str">
        <f>IF(_epmOfflineCondition_,"",IF(AA70=0,"",IFERROR(AA70/_xll.EVGTS($B$1,1,_xll.EVPRO($B$1,$H70,"COSBASIS"),$B$3,$B$5,$B$6,$B$7,$B$9,AA$16,Z$17,AA$18),"")))</f>
        <v/>
      </c>
      <c r="AC70" s="140"/>
      <c r="AD70" s="143"/>
      <c r="AE70" s="144" t="str">
        <f>IF(_epmOfflineCondition_,"",IF(AD70=0,"",IFERROR(AD70/_xll.EVGTS($B$1,1,_xll.EVPRO($B$1,$H70,"COSBASIS"),$B$3,$B$5,$B$6,$B$7,$B$9,AD$16,AD$17,AD$18),"")))</f>
        <v/>
      </c>
      <c r="AF70" s="145">
        <f t="shared" si="14"/>
        <v>0</v>
      </c>
      <c r="AG70" s="143"/>
      <c r="AH70" s="144" t="str">
        <f>IF(_epmOfflineCondition_,"",IF(AG70=0,"",IFERROR(AG70/_xll.EVGTS($B$1,1,_xll.EVPRO($B$1,$H70,"COSBASIS"),$B$3,$B$5,$B$6,$B$7,$B$9,AG$16,AG$17,AG$18),"")))</f>
        <v/>
      </c>
      <c r="AI70" s="145">
        <f t="shared" si="15"/>
        <v>0</v>
      </c>
      <c r="AJ70" s="440">
        <f t="shared" si="16"/>
        <v>0</v>
      </c>
      <c r="AK70" s="441">
        <f t="shared" si="17"/>
        <v>0</v>
      </c>
      <c r="AL70" s="442">
        <f t="shared" si="18"/>
        <v>0</v>
      </c>
      <c r="AM70" s="443">
        <f t="shared" si="19"/>
        <v>0</v>
      </c>
      <c r="AN70" s="444">
        <f t="shared" si="20"/>
        <v>0</v>
      </c>
      <c r="AO70" s="11"/>
    </row>
    <row r="71" spans="1:41" x14ac:dyDescent="0.35">
      <c r="A71" s="65" t="s">
        <v>5</v>
      </c>
      <c r="B71" s="66"/>
      <c r="C71" s="11"/>
      <c r="D71" s="11"/>
      <c r="E71" s="11"/>
      <c r="F71" s="11"/>
      <c r="G71" s="11"/>
      <c r="H71" s="88" t="s">
        <v>447</v>
      </c>
      <c r="I71" s="122" t="str">
        <f>IF(_epmOfflineCondition_,"N",_xll.EVPRO($B$1,$H71,"STYLE"))</f>
        <v>N</v>
      </c>
      <c r="J71" s="122" t="str">
        <f>IF(_epmOfflineCondition_,"N",_xll.EVPRO($B$1,$H71,"CALC"))</f>
        <v>N</v>
      </c>
      <c r="K71" s="179" t="str">
        <f t="shared" si="12"/>
        <v/>
      </c>
      <c r="L71" s="90" t="str">
        <f>IF(_epmOfflineCondition_,"550550",_xll.EVPRO($B$1,H71,"JDEID"))</f>
        <v>550550</v>
      </c>
      <c r="M71" s="90" t="str">
        <f>IF(_epmOfflineCondition_,"307017",IF(AND(I71="N",J71="N"),_xll.EVPRO($B$1,H71,"PSFTID"),""))</f>
        <v>307017</v>
      </c>
      <c r="N71" s="90" t="str">
        <f>IF(_epmOfflineCondition_,"Other 4 Cost of Sales",IF(_xll.EVDES(H71,$B$1)="#NODATA","",_xll.EVDES(H71,$B$1)))</f>
        <v>Other 4 Cost of Sales</v>
      </c>
      <c r="O71" s="143"/>
      <c r="P71" s="143"/>
      <c r="Q71" s="143"/>
      <c r="R71" s="143"/>
      <c r="S71" s="143"/>
      <c r="T71" s="143"/>
      <c r="U71" s="143"/>
      <c r="V71" s="143"/>
      <c r="W71" s="143"/>
      <c r="X71" s="143"/>
      <c r="Y71" s="143"/>
      <c r="Z71" s="143"/>
      <c r="AA71" s="250">
        <f t="shared" si="13"/>
        <v>0</v>
      </c>
      <c r="AB71" s="144" t="str">
        <f>IF(_epmOfflineCondition_,"",IF(AA71=0,"",IFERROR(AA71/_xll.EVGTS($B$1,1,_xll.EVPRO($B$1,$H71,"COSBASIS"),$B$3,$B$5,$B$6,$B$7,$B$9,AA$16,Z$17,AA$18),"")))</f>
        <v/>
      </c>
      <c r="AC71" s="140"/>
      <c r="AD71" s="143"/>
      <c r="AE71" s="144" t="str">
        <f>IF(_epmOfflineCondition_,"",IF(AD71=0,"",IFERROR(AD71/_xll.EVGTS($B$1,1,_xll.EVPRO($B$1,$H71,"COSBASIS"),$B$3,$B$5,$B$6,$B$7,$B$9,AD$16,AD$17,AD$18),"")))</f>
        <v/>
      </c>
      <c r="AF71" s="145">
        <f t="shared" si="14"/>
        <v>0</v>
      </c>
      <c r="AG71" s="143"/>
      <c r="AH71" s="144" t="str">
        <f>IF(_epmOfflineCondition_,"",IF(AG71=0,"",IFERROR(AG71/_xll.EVGTS($B$1,1,_xll.EVPRO($B$1,$H71,"COSBASIS"),$B$3,$B$5,$B$6,$B$7,$B$9,AG$16,AG$17,AG$18),"")))</f>
        <v/>
      </c>
      <c r="AI71" s="145">
        <f t="shared" si="15"/>
        <v>0</v>
      </c>
      <c r="AJ71" s="440">
        <f t="shared" si="16"/>
        <v>0</v>
      </c>
      <c r="AK71" s="441">
        <f t="shared" si="17"/>
        <v>0</v>
      </c>
      <c r="AL71" s="442">
        <f t="shared" si="18"/>
        <v>0</v>
      </c>
      <c r="AM71" s="443">
        <f t="shared" si="19"/>
        <v>0</v>
      </c>
      <c r="AN71" s="444">
        <f t="shared" si="20"/>
        <v>0</v>
      </c>
      <c r="AO71" s="11"/>
    </row>
    <row r="72" spans="1:41" x14ac:dyDescent="0.35">
      <c r="A72" s="65" t="s">
        <v>6</v>
      </c>
      <c r="B72" s="66"/>
      <c r="C72" s="11"/>
      <c r="D72" s="11"/>
      <c r="E72" s="11"/>
      <c r="F72" s="11"/>
      <c r="G72" s="11"/>
      <c r="H72" s="88" t="s">
        <v>448</v>
      </c>
      <c r="I72" s="122" t="str">
        <f>IF(_epmOfflineCondition_,"N",_xll.EVPRO($B$1,$H72,"STYLE"))</f>
        <v>N</v>
      </c>
      <c r="J72" s="122" t="str">
        <f>IF(_epmOfflineCondition_,"N",_xll.EVPRO($B$1,$H72,"CALC"))</f>
        <v>N</v>
      </c>
      <c r="K72" s="179" t="str">
        <f t="shared" si="12"/>
        <v/>
      </c>
      <c r="L72" s="90" t="str">
        <f>IF(_epmOfflineCondition_,"550600",_xll.EVPRO($B$1,H72,"JDEID"))</f>
        <v>550600</v>
      </c>
      <c r="M72" s="90" t="str">
        <f>IF(_epmOfflineCondition_,"307018",IF(AND(I72="N",J72="N"),_xll.EVPRO($B$1,H72,"PSFTID"),""))</f>
        <v>307018</v>
      </c>
      <c r="N72" s="90" t="str">
        <f>IF(_epmOfflineCondition_,"Other 5 Cost of Sales",IF(_xll.EVDES(H72,$B$1)="#NODATA","",_xll.EVDES(H72,$B$1)))</f>
        <v>Other 5 Cost of Sales</v>
      </c>
      <c r="O72" s="143"/>
      <c r="P72" s="143"/>
      <c r="Q72" s="143"/>
      <c r="R72" s="143"/>
      <c r="S72" s="143"/>
      <c r="T72" s="143"/>
      <c r="U72" s="143"/>
      <c r="V72" s="143"/>
      <c r="W72" s="143"/>
      <c r="X72" s="143"/>
      <c r="Y72" s="143"/>
      <c r="Z72" s="143"/>
      <c r="AA72" s="250">
        <f t="shared" si="13"/>
        <v>0</v>
      </c>
      <c r="AB72" s="144" t="str">
        <f>IF(_epmOfflineCondition_,"",IF(AA72=0,"",IFERROR(AA72/_xll.EVGTS($B$1,1,_xll.EVPRO($B$1,$H72,"COSBASIS"),$B$3,$B$5,$B$6,$B$7,$B$9,AA$16,Z$17,AA$18),"")))</f>
        <v/>
      </c>
      <c r="AC72" s="140"/>
      <c r="AD72" s="143"/>
      <c r="AE72" s="144" t="str">
        <f>IF(_epmOfflineCondition_,"",IF(AD72=0,"",IFERROR(AD72/_xll.EVGTS($B$1,1,_xll.EVPRO($B$1,$H72,"COSBASIS"),$B$3,$B$5,$B$6,$B$7,$B$9,AD$16,AD$17,AD$18),"")))</f>
        <v/>
      </c>
      <c r="AF72" s="145">
        <f t="shared" si="14"/>
        <v>0</v>
      </c>
      <c r="AG72" s="143"/>
      <c r="AH72" s="144" t="str">
        <f>IF(_epmOfflineCondition_,"",IF(AG72=0,"",IFERROR(AG72/_xll.EVGTS($B$1,1,_xll.EVPRO($B$1,$H72,"COSBASIS"),$B$3,$B$5,$B$6,$B$7,$B$9,AG$16,AG$17,AG$18),"")))</f>
        <v/>
      </c>
      <c r="AI72" s="145">
        <f t="shared" si="15"/>
        <v>0</v>
      </c>
      <c r="AJ72" s="440">
        <f t="shared" si="16"/>
        <v>0</v>
      </c>
      <c r="AK72" s="441">
        <f t="shared" si="17"/>
        <v>0</v>
      </c>
      <c r="AL72" s="442">
        <f t="shared" si="18"/>
        <v>0</v>
      </c>
      <c r="AM72" s="443">
        <f t="shared" si="19"/>
        <v>0</v>
      </c>
      <c r="AN72" s="444">
        <f t="shared" si="20"/>
        <v>0</v>
      </c>
      <c r="AO72" s="11"/>
    </row>
    <row r="73" spans="1:41" x14ac:dyDescent="0.35">
      <c r="A73" s="65" t="s">
        <v>7</v>
      </c>
      <c r="B73" s="66"/>
      <c r="C73" s="11"/>
      <c r="D73" s="11"/>
      <c r="E73" s="11"/>
      <c r="F73" s="11"/>
      <c r="G73" s="11"/>
      <c r="H73" s="88" t="s">
        <v>449</v>
      </c>
      <c r="I73" s="122" t="str">
        <f>IF(_epmOfflineCondition_,"N",_xll.EVPRO($B$1,$H73,"STYLE"))</f>
        <v>N</v>
      </c>
      <c r="J73" s="122" t="str">
        <f>IF(_epmOfflineCondition_,"N",_xll.EVPRO($B$1,$H73,"CALC"))</f>
        <v>N</v>
      </c>
      <c r="K73" s="179" t="str">
        <f t="shared" si="12"/>
        <v/>
      </c>
      <c r="L73" s="90" t="str">
        <f>IF(_epmOfflineCondition_,"550650",_xll.EVPRO($B$1,H73,"JDEID"))</f>
        <v>550650</v>
      </c>
      <c r="M73" s="90" t="str">
        <f>IF(_epmOfflineCondition_,"307019",IF(AND(I73="N",J73="N"),_xll.EVPRO($B$1,H73,"PSFTID"),""))</f>
        <v>307019</v>
      </c>
      <c r="N73" s="90" t="str">
        <f>IF(_epmOfflineCondition_,"Other 6 Cost of Sales",IF(_xll.EVDES(H73,$B$1)="#NODATA","",_xll.EVDES(H73,$B$1)))</f>
        <v>Other 6 Cost of Sales</v>
      </c>
      <c r="O73" s="217"/>
      <c r="P73" s="217"/>
      <c r="Q73" s="217"/>
      <c r="R73" s="217"/>
      <c r="S73" s="217"/>
      <c r="T73" s="217"/>
      <c r="U73" s="217"/>
      <c r="V73" s="217"/>
      <c r="W73" s="217"/>
      <c r="X73" s="217"/>
      <c r="Y73" s="217"/>
      <c r="Z73" s="217"/>
      <c r="AA73" s="251">
        <f t="shared" si="13"/>
        <v>0</v>
      </c>
      <c r="AB73" s="219" t="str">
        <f>IF(_epmOfflineCondition_,"",IF(AA73=0,"",IFERROR(AA73/_xll.EVGTS($B$1,1,_xll.EVPRO($B$1,$H73,"COSBASIS"),$B$3,$B$5,$B$6,$B$7,$B$9,AA$16,Z$17,AA$18),"")))</f>
        <v/>
      </c>
      <c r="AC73" s="140"/>
      <c r="AD73" s="217"/>
      <c r="AE73" s="219" t="str">
        <f>IF(_epmOfflineCondition_,"",IF(AD73=0,"",IFERROR(AD73/_xll.EVGTS($B$1,1,_xll.EVPRO($B$1,$H73,"COSBASIS"),$B$3,$B$5,$B$6,$B$7,$B$9,AD$16,AD$17,AD$18),"")))</f>
        <v/>
      </c>
      <c r="AF73" s="220">
        <f t="shared" si="14"/>
        <v>0</v>
      </c>
      <c r="AG73" s="217"/>
      <c r="AH73" s="219" t="str">
        <f>IF(_epmOfflineCondition_,"",IF(AG73=0,"",IFERROR(AG73/_xll.EVGTS($B$1,1,_xll.EVPRO($B$1,$H73,"COSBASIS"),$B$3,$B$5,$B$6,$B$7,$B$9,AG$16,AG$17,AG$18),"")))</f>
        <v/>
      </c>
      <c r="AI73" s="220">
        <f t="shared" si="15"/>
        <v>0</v>
      </c>
      <c r="AJ73" s="449">
        <f t="shared" si="16"/>
        <v>0</v>
      </c>
      <c r="AK73" s="450">
        <f t="shared" si="17"/>
        <v>0</v>
      </c>
      <c r="AL73" s="451">
        <f t="shared" si="18"/>
        <v>0</v>
      </c>
      <c r="AM73" s="452">
        <f t="shared" si="19"/>
        <v>0</v>
      </c>
      <c r="AN73" s="453">
        <f t="shared" si="20"/>
        <v>0</v>
      </c>
      <c r="AO73" s="11"/>
    </row>
    <row r="74" spans="1:41" x14ac:dyDescent="0.35">
      <c r="A74" s="65" t="s">
        <v>47</v>
      </c>
      <c r="B74" s="66" t="str">
        <f>IF(_epmOfflineCondition_,"'Minor_Op'!$A$79:$B$100",_xll.EVRNG($A$79:$B$100))</f>
        <v>'Minor_Op'!$A$79:$B$100</v>
      </c>
      <c r="C74" s="11"/>
      <c r="D74" s="11"/>
      <c r="E74" s="11"/>
      <c r="F74" s="11"/>
      <c r="G74" s="11"/>
      <c r="H74" s="88" t="s">
        <v>289</v>
      </c>
      <c r="I74" s="188" t="str">
        <f>IF(_epmOfflineCondition_,"T3",_xll.EVPRO($B$1,$H74,"STYLE"))</f>
        <v>T3</v>
      </c>
      <c r="J74" s="188" t="str">
        <f>IF(_epmOfflineCondition_,"Y",_xll.EVPRO($B$1,$H74,"CALC"))</f>
        <v>Y</v>
      </c>
      <c r="K74" s="189" t="str">
        <f t="shared" si="12"/>
        <v/>
      </c>
      <c r="L74" s="190" t="str">
        <f>IF(_epmOfflineCondition_,"500001",_xll.EVPRO($B$1,H74,"JDEID"))</f>
        <v>500001</v>
      </c>
      <c r="M74" s="190" t="str">
        <f>IF(_epmOfflineCondition_,"",IF(AND(I74="N",J74="N"),_xll.EVPRO($B$1,H74,"PSFTID"),""))</f>
        <v/>
      </c>
      <c r="N74" s="190" t="str">
        <f>IF(_epmOfflineCondition_,"Total Cost of Sales",IF(_xll.EVDES(H74,$B$1)="#NODATA","",_xll.EVDES(H74,$B$1)))</f>
        <v>Total Cost of Sales</v>
      </c>
      <c r="O74" s="225">
        <v>1490.05</v>
      </c>
      <c r="P74" s="225">
        <v>647.03</v>
      </c>
      <c r="Q74" s="225">
        <v>58</v>
      </c>
      <c r="R74" s="225">
        <v>59.91</v>
      </c>
      <c r="S74" s="225"/>
      <c r="T74" s="225">
        <v>72</v>
      </c>
      <c r="U74" s="225"/>
      <c r="V74" s="225"/>
      <c r="W74" s="225"/>
      <c r="X74" s="225">
        <v>282</v>
      </c>
      <c r="Y74" s="225"/>
      <c r="Z74" s="225">
        <v>136.91</v>
      </c>
      <c r="AA74" s="225">
        <f t="shared" si="13"/>
        <v>2745.8999999999996</v>
      </c>
      <c r="AB74" s="226">
        <f>IF(_epmOfflineCondition_,0.376108952294334,IF(AA74=0,"",IFERROR(AA74/_xll.EVGTS($B$1,1,_xll.EVPRO($B$1,$H74,"COSBASIS"),$B$3,$B$5,$B$6,$B$7,$B$9,AA$16,Z$17,AA$18),"")))</f>
        <v>0.376108952294334</v>
      </c>
      <c r="AC74" s="227"/>
      <c r="AD74" s="225">
        <v>5368.0238499999996</v>
      </c>
      <c r="AE74" s="226">
        <f>IF(_epmOfflineCondition_,0.346414634146341,IF(AD74=0,"",IFERROR(AD74/_xll.EVGTS($B$1,1,_xll.EVPRO($B$1,$H74,"COSBASIS"),$B$3,$B$5,$B$6,$B$7,$B$9,AD$16,AD$17,AD$18),"")))</f>
        <v>0.34641463414634099</v>
      </c>
      <c r="AF74" s="228">
        <f t="shared" si="14"/>
        <v>-2622.1238499999999</v>
      </c>
      <c r="AG74" s="225">
        <v>5101.1400000000003</v>
      </c>
      <c r="AH74" s="226">
        <f>IF(_epmOfflineCondition_,0.37127957290556,IF(AG74=0,"",IFERROR(AG74/_xll.EVGTS($B$1,1,_xll.EVPRO($B$1,$H74,"COSBASIS"),$B$3,$B$5,$B$6,$B$7,$B$9,AG$16,AG$17,AG$18),"")))</f>
        <v>0.37127957290556002</v>
      </c>
      <c r="AI74" s="228">
        <f t="shared" si="15"/>
        <v>-2355.2400000000007</v>
      </c>
      <c r="AJ74" s="229">
        <f t="shared" si="16"/>
        <v>0.1369526184538653</v>
      </c>
      <c r="AK74" s="230">
        <f t="shared" si="17"/>
        <v>0.14202999999999999</v>
      </c>
      <c r="AL74" s="232">
        <f t="shared" si="18"/>
        <v>0.15513472416519677</v>
      </c>
      <c r="AM74" s="427" t="str">
        <f t="shared" si="19"/>
        <v>2.97 pts.</v>
      </c>
      <c r="AN74" s="456" t="str">
        <f t="shared" si="20"/>
        <v>0.48 pts.</v>
      </c>
      <c r="AO74" s="11"/>
    </row>
    <row r="75" spans="1:41" x14ac:dyDescent="0.35">
      <c r="A75" s="65" t="s">
        <v>8</v>
      </c>
      <c r="B75" s="66"/>
      <c r="C75" s="11"/>
      <c r="D75" s="11"/>
      <c r="E75" s="11"/>
      <c r="F75" s="11"/>
      <c r="G75" s="11"/>
      <c r="H75" s="11"/>
      <c r="I75" s="11"/>
      <c r="J75" s="11"/>
      <c r="K75" s="11"/>
      <c r="L75" s="11"/>
      <c r="M75" s="11"/>
      <c r="N75" s="11"/>
      <c r="O75" s="203"/>
      <c r="P75" s="204"/>
      <c r="Q75" s="204"/>
      <c r="R75" s="204"/>
      <c r="S75" s="204"/>
      <c r="T75" s="204"/>
      <c r="U75" s="204"/>
      <c r="V75" s="204"/>
      <c r="W75" s="204"/>
      <c r="X75" s="204"/>
      <c r="Y75" s="204"/>
      <c r="Z75" s="204"/>
      <c r="AA75" s="204"/>
      <c r="AB75" s="118"/>
      <c r="AC75" s="11"/>
      <c r="AD75" s="203"/>
      <c r="AE75" s="204"/>
      <c r="AF75" s="118"/>
      <c r="AG75" s="203"/>
      <c r="AH75" s="204"/>
      <c r="AI75" s="118"/>
      <c r="AJ75" s="11"/>
      <c r="AK75" s="11"/>
      <c r="AL75" s="11"/>
      <c r="AM75" s="11"/>
      <c r="AN75" s="11"/>
      <c r="AO75" s="11"/>
    </row>
    <row r="76" spans="1:41" x14ac:dyDescent="0.35">
      <c r="A76" s="11"/>
      <c r="B76" s="11"/>
      <c r="C76" s="11"/>
      <c r="D76" s="11"/>
      <c r="E76" s="11"/>
      <c r="F76" s="11"/>
      <c r="G76" s="11"/>
      <c r="H76" s="11" t="s">
        <v>81</v>
      </c>
      <c r="I76" s="11" t="str">
        <f>IF(_epmOfflineCondition_,"T3",_xll.EVPRO($B$1,$H76,"STYLE"))</f>
        <v>T3</v>
      </c>
      <c r="J76" s="11" t="str">
        <f>IF(_epmOfflineCondition_,"Y",_xll.EVPRO($B$1,$H76,"CALC"))</f>
        <v>Y</v>
      </c>
      <c r="K76" s="11"/>
      <c r="L76" s="11"/>
      <c r="M76" s="11"/>
      <c r="N76" s="105" t="str">
        <f>IF(_epmOfflineCondition_,"Department Profit (Loss)",IF(_xll.EVDES(H76,$B$1)="#NODATA","",_xll.EVDES(H76,$B$1)))</f>
        <v>Department Profit (Loss)</v>
      </c>
      <c r="O76" s="203"/>
      <c r="P76" s="204"/>
      <c r="Q76" s="204"/>
      <c r="R76" s="204"/>
      <c r="S76" s="204"/>
      <c r="T76" s="204"/>
      <c r="U76" s="204"/>
      <c r="V76" s="204"/>
      <c r="W76" s="204"/>
      <c r="X76" s="204"/>
      <c r="Y76" s="204"/>
      <c r="Z76" s="204"/>
      <c r="AA76" s="204"/>
      <c r="AB76" s="118"/>
      <c r="AC76" s="11"/>
      <c r="AD76" s="203"/>
      <c r="AE76" s="204"/>
      <c r="AF76" s="118"/>
      <c r="AG76" s="203"/>
      <c r="AH76" s="204"/>
      <c r="AI76" s="118"/>
      <c r="AJ76" s="11"/>
      <c r="AK76" s="11"/>
      <c r="AL76" s="11"/>
      <c r="AM76" s="11"/>
      <c r="AN76" s="11"/>
      <c r="AO76" s="11"/>
    </row>
    <row r="77" spans="1:41" x14ac:dyDescent="0.35">
      <c r="A77" s="11"/>
      <c r="B77" s="11"/>
      <c r="C77" s="11"/>
      <c r="D77" s="11"/>
      <c r="E77" s="11"/>
      <c r="F77" s="11"/>
      <c r="G77" s="11" t="s">
        <v>450</v>
      </c>
      <c r="H77" s="88" t="s">
        <v>424</v>
      </c>
      <c r="I77" s="122" t="str">
        <f>IF(_epmOfflineCondition_,"T5",_xll.EVPRO($B$1,$H77,"STYLE"))</f>
        <v>T5</v>
      </c>
      <c r="J77" s="122" t="str">
        <f>IF(_epmOfflineCondition_,"Y",_xll.EVPRO($B$1,$H77,"CALC"))</f>
        <v>Y</v>
      </c>
      <c r="K77" s="90"/>
      <c r="L77" s="90"/>
      <c r="M77" s="90"/>
      <c r="N77" s="90" t="str">
        <f t="shared" ref="N77:N94" si="21">G77</f>
        <v>Guest Communication</v>
      </c>
      <c r="O77" s="143">
        <f t="shared" ref="O77:Z77" si="22">IFERROR(O34-O56,"")</f>
        <v>108.96</v>
      </c>
      <c r="P77" s="143">
        <f t="shared" si="22"/>
        <v>84.56</v>
      </c>
      <c r="Q77" s="143">
        <f t="shared" si="22"/>
        <v>49.58</v>
      </c>
      <c r="R77" s="143">
        <f t="shared" si="22"/>
        <v>-4.67</v>
      </c>
      <c r="S77" s="143">
        <f t="shared" si="22"/>
        <v>0</v>
      </c>
      <c r="T77" s="143">
        <f t="shared" si="22"/>
        <v>84.69</v>
      </c>
      <c r="U77" s="143">
        <f t="shared" si="22"/>
        <v>-31.26</v>
      </c>
      <c r="V77" s="143">
        <f t="shared" si="22"/>
        <v>101.92</v>
      </c>
      <c r="W77" s="143">
        <f t="shared" si="22"/>
        <v>412.71</v>
      </c>
      <c r="X77" s="143">
        <f t="shared" si="22"/>
        <v>238.56</v>
      </c>
      <c r="Y77" s="143">
        <f t="shared" si="22"/>
        <v>-32.57</v>
      </c>
      <c r="Z77" s="143">
        <f t="shared" si="22"/>
        <v>228.11</v>
      </c>
      <c r="AA77" s="250">
        <f t="shared" ref="AA77:AA96" si="23">IF($I77="B1","",SUM(O77:Z77))</f>
        <v>1240.5899999999999</v>
      </c>
      <c r="AB77" s="144">
        <f t="shared" ref="AB77:AB94" si="24">IF(AA77=0,"",IFERROR(AA77/AA34,""))</f>
        <v>0.74392401192110946</v>
      </c>
      <c r="AC77" s="140"/>
      <c r="AD77" s="143">
        <f t="shared" ref="AD77:AD94" si="25">IFERROR(AD34-AD56,"")</f>
        <v>1436.5879500000001</v>
      </c>
      <c r="AE77" s="144">
        <f t="shared" ref="AE77:AE94" si="26">IF(AD77=0,"",IFERROR(AD77/AD34,""))</f>
        <v>0.54300000000000004</v>
      </c>
      <c r="AF77" s="145">
        <f t="shared" ref="AF77:AF96" si="27">IF(AND($AA77="",AD77=""),"",$AA77-AD77)</f>
        <v>-195.99795000000017</v>
      </c>
      <c r="AG77" s="143">
        <f t="shared" ref="AG77:AG94" si="28">IFERROR(AG34-AG56,"")</f>
        <v>1282.3000000000002</v>
      </c>
      <c r="AH77" s="144">
        <f t="shared" ref="AH77:AH94" si="29">IF(AG77=0,"",IFERROR(AG77/AG34,""))</f>
        <v>0.54113019956365238</v>
      </c>
      <c r="AI77" s="145">
        <f t="shared" ref="AI77:AI96" si="30">IF(AND($AA77="",AG77=""),"",$AA77-AG77)</f>
        <v>-41.710000000000264</v>
      </c>
      <c r="AJ77" s="440">
        <f t="shared" ref="AJ77:AJ96" si="31">IFERROR(AA77/AA$20,0)</f>
        <v>6.1874812967581044E-2</v>
      </c>
      <c r="AK77" s="441">
        <f t="shared" ref="AK77:AK96" si="32">IFERROR(AD77/AD$20,0)</f>
        <v>3.8010000000000002E-2</v>
      </c>
      <c r="AL77" s="442">
        <f t="shared" ref="AL77:AL96" si="33">IFERROR(AG77/AG$20,0)</f>
        <v>3.8997019646006936E-2</v>
      </c>
      <c r="AM77" s="443" t="str">
        <f t="shared" ref="AM77:AM96" si="34">+IFERROR(ROUND(($AB77-AE77)*100,2)&amp;" pts.",0)</f>
        <v>20.09 pts.</v>
      </c>
      <c r="AN77" s="444" t="str">
        <f t="shared" ref="AN77:AN96" si="35">+IFERROR(ROUND(($AB77-AH77)*100,2)&amp;" pts.",0)</f>
        <v>20.28 pts.</v>
      </c>
      <c r="AO77" s="11"/>
    </row>
    <row r="78" spans="1:41" x14ac:dyDescent="0.35">
      <c r="A78" s="62" t="s">
        <v>23</v>
      </c>
      <c r="B78" s="63" t="s">
        <v>24</v>
      </c>
      <c r="C78" s="11"/>
      <c r="D78" s="11"/>
      <c r="E78" s="11"/>
      <c r="F78" s="11"/>
      <c r="G78" s="11" t="s">
        <v>451</v>
      </c>
      <c r="H78" s="88" t="s">
        <v>425</v>
      </c>
      <c r="I78" s="122" t="str">
        <f>IF(_epmOfflineCondition_,"T5",_xll.EVPRO($B$1,$H78,"STYLE"))</f>
        <v>T5</v>
      </c>
      <c r="J78" s="122" t="str">
        <f>IF(_epmOfflineCondition_,"Y",_xll.EVPRO($B$1,$H78,"CALC"))</f>
        <v>Y</v>
      </c>
      <c r="K78" s="90"/>
      <c r="L78" s="90"/>
      <c r="M78" s="90"/>
      <c r="N78" s="90" t="str">
        <f t="shared" si="21"/>
        <v>Movie</v>
      </c>
      <c r="O78" s="143">
        <f t="shared" ref="O78:Z78" si="36">IFERROR(O35-O57,"")</f>
        <v>0</v>
      </c>
      <c r="P78" s="143">
        <f t="shared" si="36"/>
        <v>0</v>
      </c>
      <c r="Q78" s="143">
        <f t="shared" si="36"/>
        <v>0</v>
      </c>
      <c r="R78" s="143">
        <f t="shared" si="36"/>
        <v>0</v>
      </c>
      <c r="S78" s="143">
        <f t="shared" si="36"/>
        <v>0</v>
      </c>
      <c r="T78" s="143">
        <f t="shared" si="36"/>
        <v>0</v>
      </c>
      <c r="U78" s="143">
        <f t="shared" si="36"/>
        <v>0</v>
      </c>
      <c r="V78" s="143">
        <f t="shared" si="36"/>
        <v>0</v>
      </c>
      <c r="W78" s="143">
        <f t="shared" si="36"/>
        <v>0</v>
      </c>
      <c r="X78" s="143">
        <f t="shared" si="36"/>
        <v>0</v>
      </c>
      <c r="Y78" s="143">
        <f t="shared" si="36"/>
        <v>0</v>
      </c>
      <c r="Z78" s="143">
        <f t="shared" si="36"/>
        <v>0</v>
      </c>
      <c r="AA78" s="250">
        <f t="shared" si="23"/>
        <v>0</v>
      </c>
      <c r="AB78" s="144" t="str">
        <f t="shared" si="24"/>
        <v/>
      </c>
      <c r="AC78" s="140"/>
      <c r="AD78" s="143">
        <f t="shared" si="25"/>
        <v>0</v>
      </c>
      <c r="AE78" s="144" t="str">
        <f t="shared" si="26"/>
        <v/>
      </c>
      <c r="AF78" s="145">
        <f t="shared" si="27"/>
        <v>0</v>
      </c>
      <c r="AG78" s="143">
        <f t="shared" si="28"/>
        <v>0</v>
      </c>
      <c r="AH78" s="144" t="str">
        <f t="shared" si="29"/>
        <v/>
      </c>
      <c r="AI78" s="145">
        <f t="shared" si="30"/>
        <v>0</v>
      </c>
      <c r="AJ78" s="440">
        <f t="shared" si="31"/>
        <v>0</v>
      </c>
      <c r="AK78" s="441">
        <f t="shared" si="32"/>
        <v>0</v>
      </c>
      <c r="AL78" s="442">
        <f t="shared" si="33"/>
        <v>0</v>
      </c>
      <c r="AM78" s="443">
        <f t="shared" si="34"/>
        <v>0</v>
      </c>
      <c r="AN78" s="444">
        <f t="shared" si="35"/>
        <v>0</v>
      </c>
      <c r="AO78" s="11"/>
    </row>
    <row r="79" spans="1:41" x14ac:dyDescent="0.35">
      <c r="A79" s="65" t="s">
        <v>25</v>
      </c>
      <c r="B79" s="66"/>
      <c r="C79" s="11"/>
      <c r="D79" s="11"/>
      <c r="E79" s="11"/>
      <c r="F79" s="11"/>
      <c r="G79" s="11" t="s">
        <v>452</v>
      </c>
      <c r="H79" s="88" t="s">
        <v>426</v>
      </c>
      <c r="I79" s="122" t="str">
        <f>IF(_epmOfflineCondition_,"T5",_xll.EVPRO($B$1,$H79,"STYLE"))</f>
        <v>T5</v>
      </c>
      <c r="J79" s="122" t="str">
        <f>IF(_epmOfflineCondition_,"Y",_xll.EVPRO($B$1,$H79,"CALC"))</f>
        <v>Y</v>
      </c>
      <c r="K79" s="90"/>
      <c r="L79" s="90"/>
      <c r="M79" s="90"/>
      <c r="N79" s="90" t="str">
        <f t="shared" si="21"/>
        <v>Guest Laundry</v>
      </c>
      <c r="O79" s="143">
        <f t="shared" ref="O79:Z79" si="37">IFERROR(O36-O58,"")</f>
        <v>212.88000000000011</v>
      </c>
      <c r="P79" s="143">
        <f t="shared" si="37"/>
        <v>105.1099999999999</v>
      </c>
      <c r="Q79" s="143">
        <f t="shared" si="37"/>
        <v>5</v>
      </c>
      <c r="R79" s="143">
        <f t="shared" si="37"/>
        <v>16.540000000000006</v>
      </c>
      <c r="S79" s="143">
        <f t="shared" si="37"/>
        <v>0</v>
      </c>
      <c r="T79" s="143">
        <f t="shared" si="37"/>
        <v>0</v>
      </c>
      <c r="U79" s="143">
        <f t="shared" si="37"/>
        <v>0</v>
      </c>
      <c r="V79" s="143">
        <f t="shared" si="37"/>
        <v>162.25</v>
      </c>
      <c r="W79" s="143">
        <f t="shared" si="37"/>
        <v>0</v>
      </c>
      <c r="X79" s="143">
        <f t="shared" si="37"/>
        <v>22.900000000000006</v>
      </c>
      <c r="Y79" s="143">
        <f t="shared" si="37"/>
        <v>0</v>
      </c>
      <c r="Z79" s="143">
        <f t="shared" si="37"/>
        <v>50.640000000000015</v>
      </c>
      <c r="AA79" s="250">
        <f t="shared" si="23"/>
        <v>575.32000000000005</v>
      </c>
      <c r="AB79" s="144">
        <f t="shared" si="24"/>
        <v>0.19878514812485751</v>
      </c>
      <c r="AC79" s="140"/>
      <c r="AD79" s="143">
        <f t="shared" si="25"/>
        <v>1132.3382000000001</v>
      </c>
      <c r="AE79" s="144">
        <f t="shared" si="26"/>
        <v>0.21400000000000002</v>
      </c>
      <c r="AF79" s="145">
        <f t="shared" si="27"/>
        <v>-557.01820000000009</v>
      </c>
      <c r="AG79" s="143">
        <f t="shared" si="28"/>
        <v>939.91000000000031</v>
      </c>
      <c r="AH79" s="144">
        <f t="shared" si="29"/>
        <v>0.18973974903506086</v>
      </c>
      <c r="AI79" s="145">
        <f t="shared" si="30"/>
        <v>-364.59000000000026</v>
      </c>
      <c r="AJ79" s="440">
        <f t="shared" si="31"/>
        <v>2.8694264339152124E-2</v>
      </c>
      <c r="AK79" s="441">
        <f t="shared" si="32"/>
        <v>2.9960000000000004E-2</v>
      </c>
      <c r="AL79" s="442">
        <f t="shared" si="33"/>
        <v>2.8584331853293603E-2</v>
      </c>
      <c r="AM79" s="443" t="str">
        <f t="shared" si="34"/>
        <v>-1.52 pts.</v>
      </c>
      <c r="AN79" s="444" t="str">
        <f t="shared" si="35"/>
        <v>0.9 pts.</v>
      </c>
      <c r="AO79" s="11"/>
    </row>
    <row r="80" spans="1:41" x14ac:dyDescent="0.35">
      <c r="A80" s="65" t="s">
        <v>26</v>
      </c>
      <c r="B80" s="66"/>
      <c r="C80" s="11"/>
      <c r="D80" s="11"/>
      <c r="E80" s="11"/>
      <c r="F80" s="11"/>
      <c r="G80" s="11" t="s">
        <v>453</v>
      </c>
      <c r="H80" s="88" t="s">
        <v>427</v>
      </c>
      <c r="I80" s="122" t="str">
        <f>IF(_epmOfflineCondition_,"T5",_xll.EVPRO($B$1,$H80,"STYLE"))</f>
        <v>T5</v>
      </c>
      <c r="J80" s="122" t="str">
        <f>IF(_epmOfflineCondition_,"Y",_xll.EVPRO($B$1,$H80,"CALC"))</f>
        <v>Y</v>
      </c>
      <c r="K80" s="90"/>
      <c r="L80" s="90"/>
      <c r="M80" s="90"/>
      <c r="N80" s="90" t="str">
        <f t="shared" si="21"/>
        <v>In Room Fax</v>
      </c>
      <c r="O80" s="143">
        <f t="shared" ref="O80:Z80" si="38">IFERROR(O37-O59,"")</f>
        <v>0</v>
      </c>
      <c r="P80" s="143">
        <f t="shared" si="38"/>
        <v>0</v>
      </c>
      <c r="Q80" s="143">
        <f t="shared" si="38"/>
        <v>0</v>
      </c>
      <c r="R80" s="143">
        <f t="shared" si="38"/>
        <v>0</v>
      </c>
      <c r="S80" s="143">
        <f t="shared" si="38"/>
        <v>0</v>
      </c>
      <c r="T80" s="143">
        <f t="shared" si="38"/>
        <v>0</v>
      </c>
      <c r="U80" s="143">
        <f t="shared" si="38"/>
        <v>0</v>
      </c>
      <c r="V80" s="143">
        <f t="shared" si="38"/>
        <v>0</v>
      </c>
      <c r="W80" s="143">
        <f t="shared" si="38"/>
        <v>0</v>
      </c>
      <c r="X80" s="143">
        <f t="shared" si="38"/>
        <v>0</v>
      </c>
      <c r="Y80" s="143">
        <f t="shared" si="38"/>
        <v>0</v>
      </c>
      <c r="Z80" s="143">
        <f t="shared" si="38"/>
        <v>0</v>
      </c>
      <c r="AA80" s="250">
        <f t="shared" si="23"/>
        <v>0</v>
      </c>
      <c r="AB80" s="144" t="str">
        <f t="shared" si="24"/>
        <v/>
      </c>
      <c r="AC80" s="140"/>
      <c r="AD80" s="143">
        <f t="shared" si="25"/>
        <v>0</v>
      </c>
      <c r="AE80" s="144" t="str">
        <f t="shared" si="26"/>
        <v/>
      </c>
      <c r="AF80" s="145">
        <f t="shared" si="27"/>
        <v>0</v>
      </c>
      <c r="AG80" s="143">
        <f t="shared" si="28"/>
        <v>0</v>
      </c>
      <c r="AH80" s="144" t="str">
        <f t="shared" si="29"/>
        <v/>
      </c>
      <c r="AI80" s="145">
        <f t="shared" si="30"/>
        <v>0</v>
      </c>
      <c r="AJ80" s="440">
        <f t="shared" si="31"/>
        <v>0</v>
      </c>
      <c r="AK80" s="441">
        <f t="shared" si="32"/>
        <v>0</v>
      </c>
      <c r="AL80" s="442">
        <f t="shared" si="33"/>
        <v>0</v>
      </c>
      <c r="AM80" s="443">
        <f t="shared" si="34"/>
        <v>0</v>
      </c>
      <c r="AN80" s="444">
        <f t="shared" si="35"/>
        <v>0</v>
      </c>
      <c r="AO80" s="11"/>
    </row>
    <row r="81" spans="1:41" x14ac:dyDescent="0.35">
      <c r="A81" s="65" t="s">
        <v>27</v>
      </c>
      <c r="B81" s="66"/>
      <c r="C81" s="11"/>
      <c r="D81" s="11"/>
      <c r="E81" s="11"/>
      <c r="F81" s="11"/>
      <c r="G81" s="11" t="s">
        <v>454</v>
      </c>
      <c r="H81" s="88" t="s">
        <v>428</v>
      </c>
      <c r="I81" s="122" t="str">
        <f>IF(_epmOfflineCondition_,"T5",_xll.EVPRO($B$1,$H81,"STYLE"))</f>
        <v>T5</v>
      </c>
      <c r="J81" s="122" t="str">
        <f>IF(_epmOfflineCondition_,"Y",_xll.EVPRO($B$1,$H81,"CALC"))</f>
        <v>Y</v>
      </c>
      <c r="K81" s="90"/>
      <c r="L81" s="90"/>
      <c r="M81" s="90"/>
      <c r="N81" s="90" t="str">
        <f t="shared" si="21"/>
        <v>In Room Items</v>
      </c>
      <c r="O81" s="143">
        <f t="shared" ref="O81:Z81" si="39">IFERROR(O38-O60,"")</f>
        <v>419</v>
      </c>
      <c r="P81" s="143">
        <f t="shared" si="39"/>
        <v>750</v>
      </c>
      <c r="Q81" s="143">
        <f t="shared" si="39"/>
        <v>610</v>
      </c>
      <c r="R81" s="143">
        <f t="shared" si="39"/>
        <v>0</v>
      </c>
      <c r="S81" s="143">
        <f t="shared" si="39"/>
        <v>0</v>
      </c>
      <c r="T81" s="143">
        <f t="shared" si="39"/>
        <v>25</v>
      </c>
      <c r="U81" s="143">
        <f t="shared" si="39"/>
        <v>285</v>
      </c>
      <c r="V81" s="143">
        <f t="shared" si="39"/>
        <v>0</v>
      </c>
      <c r="W81" s="143">
        <f t="shared" si="39"/>
        <v>180</v>
      </c>
      <c r="X81" s="143">
        <f t="shared" si="39"/>
        <v>320</v>
      </c>
      <c r="Y81" s="143">
        <f t="shared" si="39"/>
        <v>0</v>
      </c>
      <c r="Z81" s="143">
        <f t="shared" si="39"/>
        <v>0</v>
      </c>
      <c r="AA81" s="250">
        <f t="shared" si="23"/>
        <v>2589</v>
      </c>
      <c r="AB81" s="144">
        <f t="shared" si="24"/>
        <v>1</v>
      </c>
      <c r="AC81" s="140"/>
      <c r="AD81" s="143">
        <f t="shared" si="25"/>
        <v>7559</v>
      </c>
      <c r="AE81" s="144">
        <f t="shared" si="26"/>
        <v>1</v>
      </c>
      <c r="AF81" s="145">
        <f t="shared" si="27"/>
        <v>-4970</v>
      </c>
      <c r="AG81" s="143">
        <f t="shared" si="28"/>
        <v>6416</v>
      </c>
      <c r="AH81" s="144">
        <f t="shared" si="29"/>
        <v>1</v>
      </c>
      <c r="AI81" s="145">
        <f t="shared" si="30"/>
        <v>-3827</v>
      </c>
      <c r="AJ81" s="440">
        <f t="shared" si="31"/>
        <v>0.12912718204488777</v>
      </c>
      <c r="AK81" s="441">
        <f t="shared" si="32"/>
        <v>0.2</v>
      </c>
      <c r="AL81" s="442">
        <f t="shared" si="33"/>
        <v>0.1951219512195122</v>
      </c>
      <c r="AM81" s="443" t="str">
        <f t="shared" si="34"/>
        <v>0 pts.</v>
      </c>
      <c r="AN81" s="444" t="str">
        <f t="shared" si="35"/>
        <v>0 pts.</v>
      </c>
      <c r="AO81" s="11"/>
    </row>
    <row r="82" spans="1:41" x14ac:dyDescent="0.35">
      <c r="A82" s="65" t="s">
        <v>28</v>
      </c>
      <c r="B82" s="66"/>
      <c r="C82" s="11"/>
      <c r="D82" s="11"/>
      <c r="E82" s="11"/>
      <c r="F82" s="11"/>
      <c r="G82" s="11" t="s">
        <v>455</v>
      </c>
      <c r="H82" s="88" t="s">
        <v>429</v>
      </c>
      <c r="I82" s="122" t="str">
        <f>IF(_epmOfflineCondition_,"T5",_xll.EVPRO($B$1,$H82,"STYLE"))</f>
        <v>T5</v>
      </c>
      <c r="J82" s="122" t="str">
        <f>IF(_epmOfflineCondition_,"Y",_xll.EVPRO($B$1,$H82,"CALC"))</f>
        <v>Y</v>
      </c>
      <c r="K82" s="90"/>
      <c r="L82" s="90"/>
      <c r="M82" s="90"/>
      <c r="N82" s="90" t="str">
        <f t="shared" si="21"/>
        <v>Massage</v>
      </c>
      <c r="O82" s="143">
        <f t="shared" ref="O82:Z82" si="40">IFERROR(O39-O61,"")</f>
        <v>0</v>
      </c>
      <c r="P82" s="143">
        <f t="shared" si="40"/>
        <v>0</v>
      </c>
      <c r="Q82" s="143">
        <f t="shared" si="40"/>
        <v>0</v>
      </c>
      <c r="R82" s="143">
        <f t="shared" si="40"/>
        <v>0</v>
      </c>
      <c r="S82" s="143">
        <f t="shared" si="40"/>
        <v>0</v>
      </c>
      <c r="T82" s="143">
        <f t="shared" si="40"/>
        <v>0</v>
      </c>
      <c r="U82" s="143">
        <f t="shared" si="40"/>
        <v>0</v>
      </c>
      <c r="V82" s="143">
        <f t="shared" si="40"/>
        <v>0</v>
      </c>
      <c r="W82" s="143">
        <f t="shared" si="40"/>
        <v>0</v>
      </c>
      <c r="X82" s="143">
        <f t="shared" si="40"/>
        <v>0</v>
      </c>
      <c r="Y82" s="143">
        <f t="shared" si="40"/>
        <v>0</v>
      </c>
      <c r="Z82" s="143">
        <f t="shared" si="40"/>
        <v>0</v>
      </c>
      <c r="AA82" s="250">
        <f t="shared" si="23"/>
        <v>0</v>
      </c>
      <c r="AB82" s="144" t="str">
        <f t="shared" si="24"/>
        <v/>
      </c>
      <c r="AC82" s="140"/>
      <c r="AD82" s="143">
        <f t="shared" si="25"/>
        <v>0</v>
      </c>
      <c r="AE82" s="144" t="str">
        <f t="shared" si="26"/>
        <v/>
      </c>
      <c r="AF82" s="145">
        <f t="shared" si="27"/>
        <v>0</v>
      </c>
      <c r="AG82" s="143">
        <f t="shared" si="28"/>
        <v>0</v>
      </c>
      <c r="AH82" s="144" t="str">
        <f t="shared" si="29"/>
        <v/>
      </c>
      <c r="AI82" s="145">
        <f t="shared" si="30"/>
        <v>0</v>
      </c>
      <c r="AJ82" s="440">
        <f t="shared" si="31"/>
        <v>0</v>
      </c>
      <c r="AK82" s="441">
        <f t="shared" si="32"/>
        <v>0</v>
      </c>
      <c r="AL82" s="442">
        <f t="shared" si="33"/>
        <v>0</v>
      </c>
      <c r="AM82" s="443">
        <f t="shared" si="34"/>
        <v>0</v>
      </c>
      <c r="AN82" s="444">
        <f t="shared" si="35"/>
        <v>0</v>
      </c>
      <c r="AO82" s="11"/>
    </row>
    <row r="83" spans="1:41" x14ac:dyDescent="0.35">
      <c r="A83" s="65" t="s">
        <v>29</v>
      </c>
      <c r="B83" s="66"/>
      <c r="C83" s="11"/>
      <c r="D83" s="11"/>
      <c r="E83" s="11"/>
      <c r="F83" s="11"/>
      <c r="G83" s="11" t="s">
        <v>487</v>
      </c>
      <c r="H83" s="88" t="s">
        <v>430</v>
      </c>
      <c r="I83" s="122" t="str">
        <f>IF(_epmOfflineCondition_,"T5",_xll.EVPRO($B$1,$H83,"STYLE"))</f>
        <v>T5</v>
      </c>
      <c r="J83" s="122" t="str">
        <f>IF(_epmOfflineCondition_,"Y",_xll.EVPRO($B$1,$H83,"CALC"))</f>
        <v>Y</v>
      </c>
      <c r="K83" s="90"/>
      <c r="L83" s="90"/>
      <c r="M83" s="90"/>
      <c r="N83" s="90" t="str">
        <f t="shared" si="21"/>
        <v>Gym Pass</v>
      </c>
      <c r="O83" s="143">
        <f t="shared" ref="O83:Z83" si="41">IFERROR(O40-O62,"")</f>
        <v>0</v>
      </c>
      <c r="P83" s="143">
        <f t="shared" si="41"/>
        <v>0</v>
      </c>
      <c r="Q83" s="143">
        <f t="shared" si="41"/>
        <v>0</v>
      </c>
      <c r="R83" s="143">
        <f t="shared" si="41"/>
        <v>0</v>
      </c>
      <c r="S83" s="143">
        <f t="shared" si="41"/>
        <v>0</v>
      </c>
      <c r="T83" s="143">
        <f t="shared" si="41"/>
        <v>0</v>
      </c>
      <c r="U83" s="143">
        <f t="shared" si="41"/>
        <v>0</v>
      </c>
      <c r="V83" s="143">
        <f t="shared" si="41"/>
        <v>0</v>
      </c>
      <c r="W83" s="143">
        <f t="shared" si="41"/>
        <v>0</v>
      </c>
      <c r="X83" s="143">
        <f t="shared" si="41"/>
        <v>0</v>
      </c>
      <c r="Y83" s="143">
        <f t="shared" si="41"/>
        <v>0</v>
      </c>
      <c r="Z83" s="143">
        <f t="shared" si="41"/>
        <v>0</v>
      </c>
      <c r="AA83" s="250">
        <f t="shared" si="23"/>
        <v>0</v>
      </c>
      <c r="AB83" s="144" t="str">
        <f t="shared" si="24"/>
        <v/>
      </c>
      <c r="AC83" s="140"/>
      <c r="AD83" s="143">
        <f t="shared" si="25"/>
        <v>0</v>
      </c>
      <c r="AE83" s="144" t="str">
        <f t="shared" si="26"/>
        <v/>
      </c>
      <c r="AF83" s="145">
        <f t="shared" si="27"/>
        <v>0</v>
      </c>
      <c r="AG83" s="143">
        <f t="shared" si="28"/>
        <v>0</v>
      </c>
      <c r="AH83" s="144" t="str">
        <f t="shared" si="29"/>
        <v/>
      </c>
      <c r="AI83" s="145">
        <f t="shared" si="30"/>
        <v>0</v>
      </c>
      <c r="AJ83" s="440">
        <f t="shared" si="31"/>
        <v>0</v>
      </c>
      <c r="AK83" s="441">
        <f t="shared" si="32"/>
        <v>0</v>
      </c>
      <c r="AL83" s="442">
        <f t="shared" si="33"/>
        <v>0</v>
      </c>
      <c r="AM83" s="443">
        <f t="shared" si="34"/>
        <v>0</v>
      </c>
      <c r="AN83" s="444">
        <f t="shared" si="35"/>
        <v>0</v>
      </c>
      <c r="AO83" s="11"/>
    </row>
    <row r="84" spans="1:41" x14ac:dyDescent="0.35">
      <c r="A84" s="65" t="s">
        <v>30</v>
      </c>
      <c r="B84" s="66" t="s">
        <v>78</v>
      </c>
      <c r="C84" s="11"/>
      <c r="D84" s="11"/>
      <c r="E84" s="11"/>
      <c r="F84" s="11"/>
      <c r="G84" s="11" t="s">
        <v>488</v>
      </c>
      <c r="H84" s="88" t="s">
        <v>475</v>
      </c>
      <c r="I84" s="122" t="str">
        <f>IF(_epmOfflineCondition_,"N",_xll.EVPRO($B$1,$H84,"STYLE"))</f>
        <v>N</v>
      </c>
      <c r="J84" s="122" t="str">
        <f>IF(_epmOfflineCondition_,"N",_xll.EVPRO($B$1,$H84,"CALC"))</f>
        <v>N</v>
      </c>
      <c r="K84" s="90"/>
      <c r="L84" s="90"/>
      <c r="M84" s="90"/>
      <c r="N84" s="90" t="str">
        <f t="shared" si="21"/>
        <v>Shared Facilities &amp; Services</v>
      </c>
      <c r="O84" s="143">
        <f t="shared" ref="O84:Z84" si="42">IFERROR(O41-O63,"")</f>
        <v>0</v>
      </c>
      <c r="P84" s="143">
        <f t="shared" si="42"/>
        <v>0</v>
      </c>
      <c r="Q84" s="143">
        <f t="shared" si="42"/>
        <v>0</v>
      </c>
      <c r="R84" s="143">
        <f t="shared" si="42"/>
        <v>0</v>
      </c>
      <c r="S84" s="143">
        <f t="shared" si="42"/>
        <v>0</v>
      </c>
      <c r="T84" s="143">
        <f t="shared" si="42"/>
        <v>0</v>
      </c>
      <c r="U84" s="143">
        <f t="shared" si="42"/>
        <v>0</v>
      </c>
      <c r="V84" s="143">
        <f t="shared" si="42"/>
        <v>0</v>
      </c>
      <c r="W84" s="143">
        <f t="shared" si="42"/>
        <v>0</v>
      </c>
      <c r="X84" s="143">
        <f t="shared" si="42"/>
        <v>0</v>
      </c>
      <c r="Y84" s="143">
        <f t="shared" si="42"/>
        <v>0</v>
      </c>
      <c r="Z84" s="143">
        <f t="shared" si="42"/>
        <v>0</v>
      </c>
      <c r="AA84" s="250">
        <f t="shared" si="23"/>
        <v>0</v>
      </c>
      <c r="AB84" s="144" t="str">
        <f t="shared" si="24"/>
        <v/>
      </c>
      <c r="AC84" s="140"/>
      <c r="AD84" s="143">
        <f t="shared" si="25"/>
        <v>0</v>
      </c>
      <c r="AE84" s="144" t="str">
        <f t="shared" si="26"/>
        <v/>
      </c>
      <c r="AF84" s="145">
        <f t="shared" si="27"/>
        <v>0</v>
      </c>
      <c r="AG84" s="143">
        <f t="shared" si="28"/>
        <v>0</v>
      </c>
      <c r="AH84" s="144" t="str">
        <f t="shared" si="29"/>
        <v/>
      </c>
      <c r="AI84" s="145">
        <f t="shared" si="30"/>
        <v>0</v>
      </c>
      <c r="AJ84" s="440">
        <f t="shared" si="31"/>
        <v>0</v>
      </c>
      <c r="AK84" s="441">
        <f t="shared" si="32"/>
        <v>0</v>
      </c>
      <c r="AL84" s="442">
        <f t="shared" si="33"/>
        <v>0</v>
      </c>
      <c r="AM84" s="443">
        <f t="shared" si="34"/>
        <v>0</v>
      </c>
      <c r="AN84" s="444">
        <f t="shared" si="35"/>
        <v>0</v>
      </c>
      <c r="AO84" s="11"/>
    </row>
    <row r="85" spans="1:41" x14ac:dyDescent="0.35">
      <c r="A85" s="65" t="s">
        <v>31</v>
      </c>
      <c r="B85" s="66" t="s">
        <v>78</v>
      </c>
      <c r="C85" s="11"/>
      <c r="D85" s="11"/>
      <c r="E85" s="11"/>
      <c r="F85" s="11"/>
      <c r="G85" s="11" t="s">
        <v>489</v>
      </c>
      <c r="H85" s="88" t="s">
        <v>476</v>
      </c>
      <c r="I85" s="122" t="str">
        <f>IF(_epmOfflineCondition_,"T5",_xll.EVPRO($B$1,$H85,"STYLE"))</f>
        <v>T5</v>
      </c>
      <c r="J85" s="122" t="str">
        <f>IF(_epmOfflineCondition_,"Y",_xll.EVPRO($B$1,$H85,"CALC"))</f>
        <v>Y</v>
      </c>
      <c r="K85" s="90"/>
      <c r="L85" s="90"/>
      <c r="M85" s="90"/>
      <c r="N85" s="90" t="str">
        <f t="shared" si="21"/>
        <v>Retail Kiosk</v>
      </c>
      <c r="O85" s="143">
        <f t="shared" ref="O85:Z85" si="43">IFERROR(O42-O64,"")</f>
        <v>0</v>
      </c>
      <c r="P85" s="143">
        <f t="shared" si="43"/>
        <v>0</v>
      </c>
      <c r="Q85" s="143">
        <f t="shared" si="43"/>
        <v>0</v>
      </c>
      <c r="R85" s="143">
        <f t="shared" si="43"/>
        <v>0</v>
      </c>
      <c r="S85" s="143">
        <f t="shared" si="43"/>
        <v>0</v>
      </c>
      <c r="T85" s="143">
        <f t="shared" si="43"/>
        <v>0</v>
      </c>
      <c r="U85" s="143">
        <f t="shared" si="43"/>
        <v>0</v>
      </c>
      <c r="V85" s="143">
        <f t="shared" si="43"/>
        <v>0</v>
      </c>
      <c r="W85" s="143">
        <f t="shared" si="43"/>
        <v>0</v>
      </c>
      <c r="X85" s="143">
        <f t="shared" si="43"/>
        <v>0</v>
      </c>
      <c r="Y85" s="143">
        <f t="shared" si="43"/>
        <v>0</v>
      </c>
      <c r="Z85" s="143">
        <f t="shared" si="43"/>
        <v>0</v>
      </c>
      <c r="AA85" s="250">
        <f t="shared" si="23"/>
        <v>0</v>
      </c>
      <c r="AB85" s="144" t="str">
        <f t="shared" si="24"/>
        <v/>
      </c>
      <c r="AC85" s="140"/>
      <c r="AD85" s="143">
        <f t="shared" si="25"/>
        <v>0</v>
      </c>
      <c r="AE85" s="144" t="str">
        <f t="shared" si="26"/>
        <v/>
      </c>
      <c r="AF85" s="145">
        <f t="shared" si="27"/>
        <v>0</v>
      </c>
      <c r="AG85" s="143">
        <f t="shared" si="28"/>
        <v>0</v>
      </c>
      <c r="AH85" s="144" t="str">
        <f t="shared" si="29"/>
        <v/>
      </c>
      <c r="AI85" s="145">
        <f t="shared" si="30"/>
        <v>0</v>
      </c>
      <c r="AJ85" s="440">
        <f t="shared" si="31"/>
        <v>0</v>
      </c>
      <c r="AK85" s="441">
        <f t="shared" si="32"/>
        <v>0</v>
      </c>
      <c r="AL85" s="442">
        <f t="shared" si="33"/>
        <v>0</v>
      </c>
      <c r="AM85" s="443">
        <f t="shared" si="34"/>
        <v>0</v>
      </c>
      <c r="AN85" s="444">
        <f t="shared" si="35"/>
        <v>0</v>
      </c>
      <c r="AO85" s="11"/>
    </row>
    <row r="86" spans="1:41" x14ac:dyDescent="0.35">
      <c r="A86" s="65" t="s">
        <v>32</v>
      </c>
      <c r="B86" s="66"/>
      <c r="C86" s="11"/>
      <c r="D86" s="11"/>
      <c r="E86" s="11"/>
      <c r="F86" s="11"/>
      <c r="G86" s="11" t="s">
        <v>490</v>
      </c>
      <c r="H86" s="88" t="s">
        <v>477</v>
      </c>
      <c r="I86" s="122" t="str">
        <f>IF(_epmOfflineCondition_,"T5",_xll.EVPRO($B$1,$H86,"STYLE"))</f>
        <v>T5</v>
      </c>
      <c r="J86" s="122" t="str">
        <f>IF(_epmOfflineCondition_,"Y",_xll.EVPRO($B$1,$H86,"CALC"))</f>
        <v>Y</v>
      </c>
      <c r="K86" s="90"/>
      <c r="L86" s="90"/>
      <c r="M86" s="90"/>
      <c r="N86" s="90" t="str">
        <f t="shared" si="21"/>
        <v>Vending Machines</v>
      </c>
      <c r="O86" s="143">
        <f t="shared" ref="O86:Z86" si="44">IFERROR(O43-O65,"")</f>
        <v>0</v>
      </c>
      <c r="P86" s="143">
        <f t="shared" si="44"/>
        <v>0</v>
      </c>
      <c r="Q86" s="143">
        <f t="shared" si="44"/>
        <v>0</v>
      </c>
      <c r="R86" s="143">
        <f t="shared" si="44"/>
        <v>0</v>
      </c>
      <c r="S86" s="143">
        <f t="shared" si="44"/>
        <v>0</v>
      </c>
      <c r="T86" s="143">
        <f t="shared" si="44"/>
        <v>0</v>
      </c>
      <c r="U86" s="143">
        <f t="shared" si="44"/>
        <v>0</v>
      </c>
      <c r="V86" s="143">
        <f t="shared" si="44"/>
        <v>0</v>
      </c>
      <c r="W86" s="143">
        <f t="shared" si="44"/>
        <v>0</v>
      </c>
      <c r="X86" s="143">
        <f t="shared" si="44"/>
        <v>0</v>
      </c>
      <c r="Y86" s="143">
        <f t="shared" si="44"/>
        <v>0</v>
      </c>
      <c r="Z86" s="143">
        <f t="shared" si="44"/>
        <v>0</v>
      </c>
      <c r="AA86" s="250">
        <f t="shared" si="23"/>
        <v>0</v>
      </c>
      <c r="AB86" s="144" t="str">
        <f t="shared" si="24"/>
        <v/>
      </c>
      <c r="AC86" s="140"/>
      <c r="AD86" s="143">
        <f t="shared" si="25"/>
        <v>0</v>
      </c>
      <c r="AE86" s="144" t="str">
        <f t="shared" si="26"/>
        <v/>
      </c>
      <c r="AF86" s="145">
        <f t="shared" si="27"/>
        <v>0</v>
      </c>
      <c r="AG86" s="143">
        <f t="shared" si="28"/>
        <v>0</v>
      </c>
      <c r="AH86" s="144" t="str">
        <f t="shared" si="29"/>
        <v/>
      </c>
      <c r="AI86" s="145">
        <f t="shared" si="30"/>
        <v>0</v>
      </c>
      <c r="AJ86" s="440">
        <f t="shared" si="31"/>
        <v>0</v>
      </c>
      <c r="AK86" s="441">
        <f t="shared" si="32"/>
        <v>0</v>
      </c>
      <c r="AL86" s="442">
        <f t="shared" si="33"/>
        <v>0</v>
      </c>
      <c r="AM86" s="443">
        <f t="shared" si="34"/>
        <v>0</v>
      </c>
      <c r="AN86" s="444">
        <f t="shared" si="35"/>
        <v>0</v>
      </c>
      <c r="AO86" s="11"/>
    </row>
    <row r="87" spans="1:41" x14ac:dyDescent="0.35">
      <c r="A87" s="65" t="s">
        <v>33</v>
      </c>
      <c r="B87" s="66"/>
      <c r="C87" s="11"/>
      <c r="D87" s="11"/>
      <c r="E87" s="11"/>
      <c r="F87" s="11"/>
      <c r="G87" s="11" t="s">
        <v>491</v>
      </c>
      <c r="H87" s="88" t="s">
        <v>478</v>
      </c>
      <c r="I87" s="122" t="str">
        <f>IF(_epmOfflineCondition_,"T5",_xll.EVPRO($B$1,$H87,"STYLE"))</f>
        <v>T5</v>
      </c>
      <c r="J87" s="122" t="str">
        <f>IF(_epmOfflineCondition_,"Y",_xll.EVPRO($B$1,$H87,"CALC"))</f>
        <v>Y</v>
      </c>
      <c r="K87" s="90"/>
      <c r="L87" s="90"/>
      <c r="M87" s="90"/>
      <c r="N87" s="90" t="str">
        <f t="shared" si="21"/>
        <v>Laundry Machines</v>
      </c>
      <c r="O87" s="143">
        <f t="shared" ref="O87:Z87" si="45">IFERROR(O44-O66,"")</f>
        <v>0</v>
      </c>
      <c r="P87" s="143">
        <f t="shared" si="45"/>
        <v>0</v>
      </c>
      <c r="Q87" s="143">
        <f t="shared" si="45"/>
        <v>0</v>
      </c>
      <c r="R87" s="143">
        <f t="shared" si="45"/>
        <v>0</v>
      </c>
      <c r="S87" s="143">
        <f t="shared" si="45"/>
        <v>0</v>
      </c>
      <c r="T87" s="143">
        <f t="shared" si="45"/>
        <v>0</v>
      </c>
      <c r="U87" s="143">
        <f t="shared" si="45"/>
        <v>0</v>
      </c>
      <c r="V87" s="143">
        <f t="shared" si="45"/>
        <v>0</v>
      </c>
      <c r="W87" s="143">
        <f t="shared" si="45"/>
        <v>0</v>
      </c>
      <c r="X87" s="143">
        <f t="shared" si="45"/>
        <v>0</v>
      </c>
      <c r="Y87" s="143">
        <f t="shared" si="45"/>
        <v>0</v>
      </c>
      <c r="Z87" s="143">
        <f t="shared" si="45"/>
        <v>0</v>
      </c>
      <c r="AA87" s="250">
        <f t="shared" si="23"/>
        <v>0</v>
      </c>
      <c r="AB87" s="144" t="str">
        <f t="shared" si="24"/>
        <v/>
      </c>
      <c r="AC87" s="140"/>
      <c r="AD87" s="143">
        <f t="shared" si="25"/>
        <v>0</v>
      </c>
      <c r="AE87" s="144" t="str">
        <f t="shared" si="26"/>
        <v/>
      </c>
      <c r="AF87" s="145">
        <f t="shared" si="27"/>
        <v>0</v>
      </c>
      <c r="AG87" s="143">
        <f t="shared" si="28"/>
        <v>0</v>
      </c>
      <c r="AH87" s="144" t="str">
        <f t="shared" si="29"/>
        <v/>
      </c>
      <c r="AI87" s="145">
        <f t="shared" si="30"/>
        <v>0</v>
      </c>
      <c r="AJ87" s="440">
        <f t="shared" si="31"/>
        <v>0</v>
      </c>
      <c r="AK87" s="441">
        <f t="shared" si="32"/>
        <v>0</v>
      </c>
      <c r="AL87" s="442">
        <f t="shared" si="33"/>
        <v>0</v>
      </c>
      <c r="AM87" s="443">
        <f t="shared" si="34"/>
        <v>0</v>
      </c>
      <c r="AN87" s="444">
        <f t="shared" si="35"/>
        <v>0</v>
      </c>
      <c r="AO87" s="11"/>
    </row>
    <row r="88" spans="1:41" x14ac:dyDescent="0.35">
      <c r="A88" s="65" t="s">
        <v>34</v>
      </c>
      <c r="B88" s="66"/>
      <c r="C88" s="11"/>
      <c r="D88" s="11"/>
      <c r="E88" s="11"/>
      <c r="F88" s="11"/>
      <c r="G88" s="11" t="s">
        <v>492</v>
      </c>
      <c r="H88" s="88" t="s">
        <v>479</v>
      </c>
      <c r="I88" s="122" t="str">
        <f>IF(_epmOfflineCondition_,"T5",_xll.EVPRO($B$1,$H88,"STYLE"))</f>
        <v>T5</v>
      </c>
      <c r="J88" s="122" t="str">
        <f>IF(_epmOfflineCondition_,"Y",_xll.EVPRO($B$1,$H88,"CALC"))</f>
        <v>Y</v>
      </c>
      <c r="K88" s="90"/>
      <c r="L88" s="90"/>
      <c r="M88" s="90"/>
      <c r="N88" s="90" t="str">
        <f t="shared" si="21"/>
        <v>Occasional F&amp;B</v>
      </c>
      <c r="O88" s="143">
        <f t="shared" ref="O88:Z88" si="46">IFERROR(O45-O67,"")</f>
        <v>0</v>
      </c>
      <c r="P88" s="143">
        <f t="shared" si="46"/>
        <v>0</v>
      </c>
      <c r="Q88" s="143">
        <f t="shared" si="46"/>
        <v>0</v>
      </c>
      <c r="R88" s="143">
        <f t="shared" si="46"/>
        <v>0</v>
      </c>
      <c r="S88" s="143">
        <f t="shared" si="46"/>
        <v>0</v>
      </c>
      <c r="T88" s="143">
        <f t="shared" si="46"/>
        <v>0</v>
      </c>
      <c r="U88" s="143">
        <f t="shared" si="46"/>
        <v>0</v>
      </c>
      <c r="V88" s="143">
        <f t="shared" si="46"/>
        <v>0</v>
      </c>
      <c r="W88" s="143">
        <f t="shared" si="46"/>
        <v>0</v>
      </c>
      <c r="X88" s="143">
        <f t="shared" si="46"/>
        <v>0</v>
      </c>
      <c r="Y88" s="143">
        <f t="shared" si="46"/>
        <v>0</v>
      </c>
      <c r="Z88" s="143">
        <f t="shared" si="46"/>
        <v>0</v>
      </c>
      <c r="AA88" s="250">
        <f t="shared" si="23"/>
        <v>0</v>
      </c>
      <c r="AB88" s="144" t="str">
        <f t="shared" si="24"/>
        <v/>
      </c>
      <c r="AC88" s="140"/>
      <c r="AD88" s="143">
        <f t="shared" si="25"/>
        <v>0</v>
      </c>
      <c r="AE88" s="144" t="str">
        <f t="shared" si="26"/>
        <v/>
      </c>
      <c r="AF88" s="145">
        <f t="shared" si="27"/>
        <v>0</v>
      </c>
      <c r="AG88" s="143">
        <f t="shared" si="28"/>
        <v>0</v>
      </c>
      <c r="AH88" s="144" t="str">
        <f t="shared" si="29"/>
        <v/>
      </c>
      <c r="AI88" s="145">
        <f t="shared" si="30"/>
        <v>0</v>
      </c>
      <c r="AJ88" s="440">
        <f t="shared" si="31"/>
        <v>0</v>
      </c>
      <c r="AK88" s="441">
        <f t="shared" si="32"/>
        <v>0</v>
      </c>
      <c r="AL88" s="442">
        <f t="shared" si="33"/>
        <v>0</v>
      </c>
      <c r="AM88" s="443">
        <f t="shared" si="34"/>
        <v>0</v>
      </c>
      <c r="AN88" s="444">
        <f t="shared" si="35"/>
        <v>0</v>
      </c>
      <c r="AO88" s="11"/>
    </row>
    <row r="89" spans="1:41" x14ac:dyDescent="0.35">
      <c r="A89" s="65" t="s">
        <v>35</v>
      </c>
      <c r="B89" s="66"/>
      <c r="C89" s="11"/>
      <c r="D89" s="11"/>
      <c r="E89" s="11"/>
      <c r="F89" s="11"/>
      <c r="G89" s="11" t="s">
        <v>456</v>
      </c>
      <c r="H89" s="88" t="s">
        <v>431</v>
      </c>
      <c r="I89" s="122" t="str">
        <f>IF(_epmOfflineCondition_,"T5",_xll.EVPRO($B$1,$H89,"STYLE"))</f>
        <v>T5</v>
      </c>
      <c r="J89" s="122" t="str">
        <f>IF(_epmOfflineCondition_,"Y",_xll.EVPRO($B$1,$H89,"CALC"))</f>
        <v>Y</v>
      </c>
      <c r="K89" s="90"/>
      <c r="L89" s="90"/>
      <c r="M89" s="90"/>
      <c r="N89" s="90" t="str">
        <f t="shared" si="21"/>
        <v>Other 1</v>
      </c>
      <c r="O89" s="143">
        <f t="shared" ref="O89:Z89" si="47">IFERROR(O46-O68,"")</f>
        <v>0</v>
      </c>
      <c r="P89" s="143">
        <f t="shared" si="47"/>
        <v>0</v>
      </c>
      <c r="Q89" s="143">
        <f t="shared" si="47"/>
        <v>0</v>
      </c>
      <c r="R89" s="143">
        <f t="shared" si="47"/>
        <v>0</v>
      </c>
      <c r="S89" s="143">
        <f t="shared" si="47"/>
        <v>0</v>
      </c>
      <c r="T89" s="143">
        <f t="shared" si="47"/>
        <v>0</v>
      </c>
      <c r="U89" s="143">
        <f t="shared" si="47"/>
        <v>150</v>
      </c>
      <c r="V89" s="143">
        <f t="shared" si="47"/>
        <v>0</v>
      </c>
      <c r="W89" s="143">
        <f t="shared" si="47"/>
        <v>0</v>
      </c>
      <c r="X89" s="143">
        <f t="shared" si="47"/>
        <v>0</v>
      </c>
      <c r="Y89" s="143">
        <f t="shared" si="47"/>
        <v>0</v>
      </c>
      <c r="Z89" s="143">
        <f t="shared" si="47"/>
        <v>0</v>
      </c>
      <c r="AA89" s="250">
        <f t="shared" si="23"/>
        <v>150</v>
      </c>
      <c r="AB89" s="144">
        <f t="shared" si="24"/>
        <v>1</v>
      </c>
      <c r="AC89" s="140"/>
      <c r="AD89" s="143">
        <f t="shared" si="25"/>
        <v>0</v>
      </c>
      <c r="AE89" s="144" t="str">
        <f t="shared" si="26"/>
        <v/>
      </c>
      <c r="AF89" s="145">
        <f t="shared" si="27"/>
        <v>150</v>
      </c>
      <c r="AG89" s="143">
        <f t="shared" si="28"/>
        <v>0</v>
      </c>
      <c r="AH89" s="144" t="str">
        <f t="shared" si="29"/>
        <v/>
      </c>
      <c r="AI89" s="145">
        <f t="shared" si="30"/>
        <v>150</v>
      </c>
      <c r="AJ89" s="440">
        <f t="shared" si="31"/>
        <v>7.481296758104738E-3</v>
      </c>
      <c r="AK89" s="441">
        <f t="shared" si="32"/>
        <v>0</v>
      </c>
      <c r="AL89" s="442">
        <f t="shared" si="33"/>
        <v>0</v>
      </c>
      <c r="AM89" s="443">
        <f t="shared" si="34"/>
        <v>0</v>
      </c>
      <c r="AN89" s="444">
        <f t="shared" si="35"/>
        <v>0</v>
      </c>
      <c r="AO89" s="11"/>
    </row>
    <row r="90" spans="1:41" x14ac:dyDescent="0.35">
      <c r="A90" s="65" t="s">
        <v>36</v>
      </c>
      <c r="B90" s="66"/>
      <c r="C90" s="11"/>
      <c r="D90" s="11"/>
      <c r="E90" s="11"/>
      <c r="F90" s="11"/>
      <c r="G90" s="11" t="s">
        <v>457</v>
      </c>
      <c r="H90" s="88" t="s">
        <v>432</v>
      </c>
      <c r="I90" s="122" t="str">
        <f>IF(_epmOfflineCondition_,"T5",_xll.EVPRO($B$1,$H90,"STYLE"))</f>
        <v>T5</v>
      </c>
      <c r="J90" s="122" t="str">
        <f>IF(_epmOfflineCondition_,"Y",_xll.EVPRO($B$1,$H90,"CALC"))</f>
        <v>Y</v>
      </c>
      <c r="K90" s="90"/>
      <c r="L90" s="90"/>
      <c r="M90" s="90"/>
      <c r="N90" s="90" t="str">
        <f t="shared" si="21"/>
        <v>Other 2</v>
      </c>
      <c r="O90" s="143">
        <f t="shared" ref="O90:Z90" si="48">IFERROR(O47-O69,"")</f>
        <v>0</v>
      </c>
      <c r="P90" s="143">
        <f t="shared" si="48"/>
        <v>0</v>
      </c>
      <c r="Q90" s="143">
        <f t="shared" si="48"/>
        <v>0</v>
      </c>
      <c r="R90" s="143">
        <f t="shared" si="48"/>
        <v>0</v>
      </c>
      <c r="S90" s="143">
        <f t="shared" si="48"/>
        <v>0</v>
      </c>
      <c r="T90" s="143">
        <f t="shared" si="48"/>
        <v>0</v>
      </c>
      <c r="U90" s="143">
        <f t="shared" si="48"/>
        <v>0</v>
      </c>
      <c r="V90" s="143">
        <f t="shared" si="48"/>
        <v>0</v>
      </c>
      <c r="W90" s="143">
        <f t="shared" si="48"/>
        <v>0</v>
      </c>
      <c r="X90" s="143">
        <f t="shared" si="48"/>
        <v>0</v>
      </c>
      <c r="Y90" s="143">
        <f t="shared" si="48"/>
        <v>0</v>
      </c>
      <c r="Z90" s="143">
        <f t="shared" si="48"/>
        <v>0</v>
      </c>
      <c r="AA90" s="250">
        <f t="shared" si="23"/>
        <v>0</v>
      </c>
      <c r="AB90" s="144" t="str">
        <f t="shared" si="24"/>
        <v/>
      </c>
      <c r="AC90" s="140"/>
      <c r="AD90" s="143">
        <f t="shared" si="25"/>
        <v>0</v>
      </c>
      <c r="AE90" s="144" t="str">
        <f t="shared" si="26"/>
        <v/>
      </c>
      <c r="AF90" s="145">
        <f t="shared" si="27"/>
        <v>0</v>
      </c>
      <c r="AG90" s="143">
        <f t="shared" si="28"/>
        <v>0</v>
      </c>
      <c r="AH90" s="144" t="str">
        <f t="shared" si="29"/>
        <v/>
      </c>
      <c r="AI90" s="145">
        <f t="shared" si="30"/>
        <v>0</v>
      </c>
      <c r="AJ90" s="440">
        <f t="shared" si="31"/>
        <v>0</v>
      </c>
      <c r="AK90" s="441">
        <f t="shared" si="32"/>
        <v>0</v>
      </c>
      <c r="AL90" s="442">
        <f t="shared" si="33"/>
        <v>0</v>
      </c>
      <c r="AM90" s="443">
        <f t="shared" si="34"/>
        <v>0</v>
      </c>
      <c r="AN90" s="444">
        <f t="shared" si="35"/>
        <v>0</v>
      </c>
      <c r="AO90" s="11"/>
    </row>
    <row r="91" spans="1:41" x14ac:dyDescent="0.35">
      <c r="A91" s="65" t="s">
        <v>37</v>
      </c>
      <c r="B91" s="66"/>
      <c r="C91" s="11"/>
      <c r="D91" s="11"/>
      <c r="E91" s="11"/>
      <c r="F91" s="11"/>
      <c r="G91" s="11" t="s">
        <v>458</v>
      </c>
      <c r="H91" s="88" t="s">
        <v>433</v>
      </c>
      <c r="I91" s="122" t="str">
        <f>IF(_epmOfflineCondition_,"T5",_xll.EVPRO($B$1,$H91,"STYLE"))</f>
        <v>T5</v>
      </c>
      <c r="J91" s="122" t="str">
        <f>IF(_epmOfflineCondition_,"Y",_xll.EVPRO($B$1,$H91,"CALC"))</f>
        <v>Y</v>
      </c>
      <c r="K91" s="90"/>
      <c r="L91" s="90"/>
      <c r="M91" s="90"/>
      <c r="N91" s="90" t="str">
        <f t="shared" si="21"/>
        <v>Other 3</v>
      </c>
      <c r="O91" s="143">
        <f t="shared" ref="O91:Z91" si="49">IFERROR(O48-O70,"")</f>
        <v>0</v>
      </c>
      <c r="P91" s="143">
        <f t="shared" si="49"/>
        <v>0</v>
      </c>
      <c r="Q91" s="143">
        <f t="shared" si="49"/>
        <v>0</v>
      </c>
      <c r="R91" s="143">
        <f t="shared" si="49"/>
        <v>0</v>
      </c>
      <c r="S91" s="143">
        <f t="shared" si="49"/>
        <v>0</v>
      </c>
      <c r="T91" s="143">
        <f t="shared" si="49"/>
        <v>0</v>
      </c>
      <c r="U91" s="143">
        <f t="shared" si="49"/>
        <v>0</v>
      </c>
      <c r="V91" s="143">
        <f t="shared" si="49"/>
        <v>0</v>
      </c>
      <c r="W91" s="143">
        <f t="shared" si="49"/>
        <v>0</v>
      </c>
      <c r="X91" s="143">
        <f t="shared" si="49"/>
        <v>0</v>
      </c>
      <c r="Y91" s="143">
        <f t="shared" si="49"/>
        <v>0</v>
      </c>
      <c r="Z91" s="143">
        <f t="shared" si="49"/>
        <v>0</v>
      </c>
      <c r="AA91" s="250">
        <f t="shared" si="23"/>
        <v>0</v>
      </c>
      <c r="AB91" s="144" t="str">
        <f t="shared" si="24"/>
        <v/>
      </c>
      <c r="AC91" s="140"/>
      <c r="AD91" s="143">
        <f t="shared" si="25"/>
        <v>0</v>
      </c>
      <c r="AE91" s="144" t="str">
        <f t="shared" si="26"/>
        <v/>
      </c>
      <c r="AF91" s="145">
        <f t="shared" si="27"/>
        <v>0</v>
      </c>
      <c r="AG91" s="143">
        <f t="shared" si="28"/>
        <v>0</v>
      </c>
      <c r="AH91" s="144" t="str">
        <f t="shared" si="29"/>
        <v/>
      </c>
      <c r="AI91" s="145">
        <f t="shared" si="30"/>
        <v>0</v>
      </c>
      <c r="AJ91" s="440">
        <f t="shared" si="31"/>
        <v>0</v>
      </c>
      <c r="AK91" s="441">
        <f t="shared" si="32"/>
        <v>0</v>
      </c>
      <c r="AL91" s="442">
        <f t="shared" si="33"/>
        <v>0</v>
      </c>
      <c r="AM91" s="443">
        <f t="shared" si="34"/>
        <v>0</v>
      </c>
      <c r="AN91" s="444">
        <f t="shared" si="35"/>
        <v>0</v>
      </c>
      <c r="AO91" s="11"/>
    </row>
    <row r="92" spans="1:41" x14ac:dyDescent="0.35">
      <c r="A92" s="65" t="s">
        <v>38</v>
      </c>
      <c r="B92" s="66"/>
      <c r="C92" s="11"/>
      <c r="D92" s="11"/>
      <c r="E92" s="11"/>
      <c r="F92" s="11"/>
      <c r="G92" s="11" t="s">
        <v>459</v>
      </c>
      <c r="H92" s="88" t="s">
        <v>434</v>
      </c>
      <c r="I92" s="122" t="str">
        <f>IF(_epmOfflineCondition_,"T5",_xll.EVPRO($B$1,$H92,"STYLE"))</f>
        <v>T5</v>
      </c>
      <c r="J92" s="122" t="str">
        <f>IF(_epmOfflineCondition_,"Y",_xll.EVPRO($B$1,$H92,"CALC"))</f>
        <v>Y</v>
      </c>
      <c r="K92" s="90"/>
      <c r="L92" s="90"/>
      <c r="M92" s="90"/>
      <c r="N92" s="90" t="str">
        <f t="shared" si="21"/>
        <v>Other 4</v>
      </c>
      <c r="O92" s="143">
        <f t="shared" ref="O92:Z92" si="50">IFERROR(O49-O71,"")</f>
        <v>0</v>
      </c>
      <c r="P92" s="143">
        <f t="shared" si="50"/>
        <v>0</v>
      </c>
      <c r="Q92" s="143">
        <f t="shared" si="50"/>
        <v>0</v>
      </c>
      <c r="R92" s="143">
        <f t="shared" si="50"/>
        <v>0</v>
      </c>
      <c r="S92" s="143">
        <f t="shared" si="50"/>
        <v>0</v>
      </c>
      <c r="T92" s="143">
        <f t="shared" si="50"/>
        <v>0</v>
      </c>
      <c r="U92" s="143">
        <f t="shared" si="50"/>
        <v>0</v>
      </c>
      <c r="V92" s="143">
        <f t="shared" si="50"/>
        <v>0</v>
      </c>
      <c r="W92" s="143">
        <f t="shared" si="50"/>
        <v>0</v>
      </c>
      <c r="X92" s="143">
        <f t="shared" si="50"/>
        <v>0</v>
      </c>
      <c r="Y92" s="143">
        <f t="shared" si="50"/>
        <v>0</v>
      </c>
      <c r="Z92" s="143">
        <f t="shared" si="50"/>
        <v>0</v>
      </c>
      <c r="AA92" s="250">
        <f t="shared" si="23"/>
        <v>0</v>
      </c>
      <c r="AB92" s="144" t="str">
        <f t="shared" si="24"/>
        <v/>
      </c>
      <c r="AC92" s="140"/>
      <c r="AD92" s="143">
        <f t="shared" si="25"/>
        <v>0</v>
      </c>
      <c r="AE92" s="144" t="str">
        <f t="shared" si="26"/>
        <v/>
      </c>
      <c r="AF92" s="145">
        <f t="shared" si="27"/>
        <v>0</v>
      </c>
      <c r="AG92" s="143">
        <f t="shared" si="28"/>
        <v>0</v>
      </c>
      <c r="AH92" s="144" t="str">
        <f t="shared" si="29"/>
        <v/>
      </c>
      <c r="AI92" s="145">
        <f t="shared" si="30"/>
        <v>0</v>
      </c>
      <c r="AJ92" s="440">
        <f t="shared" si="31"/>
        <v>0</v>
      </c>
      <c r="AK92" s="441">
        <f t="shared" si="32"/>
        <v>0</v>
      </c>
      <c r="AL92" s="442">
        <f t="shared" si="33"/>
        <v>0</v>
      </c>
      <c r="AM92" s="443">
        <f t="shared" si="34"/>
        <v>0</v>
      </c>
      <c r="AN92" s="444">
        <f t="shared" si="35"/>
        <v>0</v>
      </c>
      <c r="AO92" s="11"/>
    </row>
    <row r="93" spans="1:41" x14ac:dyDescent="0.35">
      <c r="A93" s="65" t="s">
        <v>39</v>
      </c>
      <c r="B93" s="66"/>
      <c r="C93" s="11"/>
      <c r="D93" s="11"/>
      <c r="E93" s="11"/>
      <c r="F93" s="11"/>
      <c r="G93" s="11" t="s">
        <v>460</v>
      </c>
      <c r="H93" s="88" t="s">
        <v>435</v>
      </c>
      <c r="I93" s="122" t="str">
        <f>IF(_epmOfflineCondition_,"T5",_xll.EVPRO($B$1,$H93,"STYLE"))</f>
        <v>T5</v>
      </c>
      <c r="J93" s="122" t="str">
        <f>IF(_epmOfflineCondition_,"Y",_xll.EVPRO($B$1,$H93,"CALC"))</f>
        <v>Y</v>
      </c>
      <c r="K93" s="90"/>
      <c r="L93" s="90"/>
      <c r="M93" s="90"/>
      <c r="N93" s="90" t="str">
        <f t="shared" si="21"/>
        <v>Other 5</v>
      </c>
      <c r="O93" s="143">
        <f t="shared" ref="O93:Z93" si="51">IFERROR(O50-O72,"")</f>
        <v>0</v>
      </c>
      <c r="P93" s="143">
        <f t="shared" si="51"/>
        <v>0</v>
      </c>
      <c r="Q93" s="143">
        <f t="shared" si="51"/>
        <v>0</v>
      </c>
      <c r="R93" s="143">
        <f t="shared" si="51"/>
        <v>0</v>
      </c>
      <c r="S93" s="143">
        <f t="shared" si="51"/>
        <v>0</v>
      </c>
      <c r="T93" s="143">
        <f t="shared" si="51"/>
        <v>0</v>
      </c>
      <c r="U93" s="143">
        <f t="shared" si="51"/>
        <v>0</v>
      </c>
      <c r="V93" s="143">
        <f t="shared" si="51"/>
        <v>0</v>
      </c>
      <c r="W93" s="143">
        <f t="shared" si="51"/>
        <v>0</v>
      </c>
      <c r="X93" s="143">
        <f t="shared" si="51"/>
        <v>0</v>
      </c>
      <c r="Y93" s="143">
        <f t="shared" si="51"/>
        <v>0</v>
      </c>
      <c r="Z93" s="143">
        <f t="shared" si="51"/>
        <v>0</v>
      </c>
      <c r="AA93" s="250">
        <f t="shared" si="23"/>
        <v>0</v>
      </c>
      <c r="AB93" s="144" t="str">
        <f t="shared" si="24"/>
        <v/>
      </c>
      <c r="AC93" s="140"/>
      <c r="AD93" s="143">
        <f t="shared" si="25"/>
        <v>0</v>
      </c>
      <c r="AE93" s="144" t="str">
        <f t="shared" si="26"/>
        <v/>
      </c>
      <c r="AF93" s="145">
        <f t="shared" si="27"/>
        <v>0</v>
      </c>
      <c r="AG93" s="143">
        <f t="shared" si="28"/>
        <v>0</v>
      </c>
      <c r="AH93" s="144" t="str">
        <f t="shared" si="29"/>
        <v/>
      </c>
      <c r="AI93" s="145">
        <f t="shared" si="30"/>
        <v>0</v>
      </c>
      <c r="AJ93" s="440">
        <f t="shared" si="31"/>
        <v>0</v>
      </c>
      <c r="AK93" s="441">
        <f t="shared" si="32"/>
        <v>0</v>
      </c>
      <c r="AL93" s="442">
        <f t="shared" si="33"/>
        <v>0</v>
      </c>
      <c r="AM93" s="443">
        <f t="shared" si="34"/>
        <v>0</v>
      </c>
      <c r="AN93" s="444">
        <f t="shared" si="35"/>
        <v>0</v>
      </c>
      <c r="AO93" s="11"/>
    </row>
    <row r="94" spans="1:41" x14ac:dyDescent="0.35">
      <c r="A94" s="65" t="s">
        <v>40</v>
      </c>
      <c r="B94" s="66"/>
      <c r="C94" s="11"/>
      <c r="D94" s="11"/>
      <c r="E94" s="11"/>
      <c r="F94" s="11"/>
      <c r="G94" s="11" t="s">
        <v>461</v>
      </c>
      <c r="H94" s="88" t="s">
        <v>436</v>
      </c>
      <c r="I94" s="122" t="str">
        <f>IF(_epmOfflineCondition_,"T5",_xll.EVPRO($B$1,$H94,"STYLE"))</f>
        <v>T5</v>
      </c>
      <c r="J94" s="122" t="str">
        <f>IF(_epmOfflineCondition_,"Y",_xll.EVPRO($B$1,$H94,"CALC"))</f>
        <v>Y</v>
      </c>
      <c r="K94" s="90"/>
      <c r="L94" s="90"/>
      <c r="M94" s="90"/>
      <c r="N94" s="90" t="str">
        <f t="shared" si="21"/>
        <v>Other 6</v>
      </c>
      <c r="O94" s="143">
        <f t="shared" ref="O94:Z94" si="52">IFERROR(O51-O73,"")</f>
        <v>0</v>
      </c>
      <c r="P94" s="143">
        <f t="shared" si="52"/>
        <v>0</v>
      </c>
      <c r="Q94" s="143">
        <f t="shared" si="52"/>
        <v>0</v>
      </c>
      <c r="R94" s="143">
        <f t="shared" si="52"/>
        <v>0</v>
      </c>
      <c r="S94" s="143">
        <f t="shared" si="52"/>
        <v>0</v>
      </c>
      <c r="T94" s="143">
        <f t="shared" si="52"/>
        <v>0</v>
      </c>
      <c r="U94" s="143">
        <f t="shared" si="52"/>
        <v>0</v>
      </c>
      <c r="V94" s="143">
        <f t="shared" si="52"/>
        <v>0</v>
      </c>
      <c r="W94" s="143">
        <f t="shared" si="52"/>
        <v>0</v>
      </c>
      <c r="X94" s="143">
        <f t="shared" si="52"/>
        <v>0</v>
      </c>
      <c r="Y94" s="143">
        <f t="shared" si="52"/>
        <v>0</v>
      </c>
      <c r="Z94" s="143">
        <f t="shared" si="52"/>
        <v>0</v>
      </c>
      <c r="AA94" s="250">
        <f t="shared" si="23"/>
        <v>0</v>
      </c>
      <c r="AB94" s="144" t="str">
        <f t="shared" si="24"/>
        <v/>
      </c>
      <c r="AC94" s="140"/>
      <c r="AD94" s="143">
        <f t="shared" si="25"/>
        <v>0</v>
      </c>
      <c r="AE94" s="144" t="str">
        <f t="shared" si="26"/>
        <v/>
      </c>
      <c r="AF94" s="145">
        <f t="shared" si="27"/>
        <v>0</v>
      </c>
      <c r="AG94" s="143">
        <f t="shared" si="28"/>
        <v>0</v>
      </c>
      <c r="AH94" s="144" t="str">
        <f t="shared" si="29"/>
        <v/>
      </c>
      <c r="AI94" s="145">
        <f t="shared" si="30"/>
        <v>0</v>
      </c>
      <c r="AJ94" s="440">
        <f t="shared" si="31"/>
        <v>0</v>
      </c>
      <c r="AK94" s="441">
        <f t="shared" si="32"/>
        <v>0</v>
      </c>
      <c r="AL94" s="442">
        <f t="shared" si="33"/>
        <v>0</v>
      </c>
      <c r="AM94" s="443">
        <f t="shared" si="34"/>
        <v>0</v>
      </c>
      <c r="AN94" s="444">
        <f t="shared" si="35"/>
        <v>0</v>
      </c>
      <c r="AO94" s="11"/>
    </row>
    <row r="95" spans="1:41" x14ac:dyDescent="0.35">
      <c r="A95" s="65" t="s">
        <v>41</v>
      </c>
      <c r="B95" s="66"/>
      <c r="C95" s="11"/>
      <c r="D95" s="11"/>
      <c r="E95" s="11"/>
      <c r="F95" s="11"/>
      <c r="G95" s="11"/>
      <c r="H95" s="88" t="s">
        <v>480</v>
      </c>
      <c r="I95" s="122" t="str">
        <f>IF(_epmOfflineCondition_,"T5",_xll.EVPRO($B$1,$H95,"STYLE"))</f>
        <v>T5</v>
      </c>
      <c r="J95" s="122" t="str">
        <f>IF(_epmOfflineCondition_,"Y",_xll.EVPRO($B$1,$H95,"CALC"))</f>
        <v>Y</v>
      </c>
      <c r="K95" s="90"/>
      <c r="L95" s="90"/>
      <c r="M95" s="90"/>
      <c r="N95" s="90" t="str">
        <f>IF(_epmOfflineCondition_,"Minor Operated: Allowances",IF(_xll.EVDES(H95,$B$1)="#NODATA","",_xll.EVDES(H95,$B$1)))</f>
        <v>Minor Operated: Allowances</v>
      </c>
      <c r="O95" s="143"/>
      <c r="P95" s="143"/>
      <c r="Q95" s="143"/>
      <c r="R95" s="143"/>
      <c r="S95" s="143"/>
      <c r="T95" s="143"/>
      <c r="U95" s="143"/>
      <c r="V95" s="143"/>
      <c r="W95" s="143"/>
      <c r="X95" s="143"/>
      <c r="Y95" s="143"/>
      <c r="Z95" s="143"/>
      <c r="AA95" s="250">
        <f t="shared" si="23"/>
        <v>0</v>
      </c>
      <c r="AB95" s="144"/>
      <c r="AC95" s="140"/>
      <c r="AD95" s="143"/>
      <c r="AE95" s="144"/>
      <c r="AF95" s="145">
        <f t="shared" si="27"/>
        <v>0</v>
      </c>
      <c r="AG95" s="143"/>
      <c r="AH95" s="144"/>
      <c r="AI95" s="145">
        <f t="shared" si="30"/>
        <v>0</v>
      </c>
      <c r="AJ95" s="449">
        <f t="shared" si="31"/>
        <v>0</v>
      </c>
      <c r="AK95" s="450">
        <f t="shared" si="32"/>
        <v>0</v>
      </c>
      <c r="AL95" s="451">
        <f t="shared" si="33"/>
        <v>0</v>
      </c>
      <c r="AM95" s="452" t="str">
        <f t="shared" si="34"/>
        <v>0 pts.</v>
      </c>
      <c r="AN95" s="453" t="str">
        <f t="shared" si="35"/>
        <v>0 pts.</v>
      </c>
      <c r="AO95" s="11"/>
    </row>
    <row r="96" spans="1:41" x14ac:dyDescent="0.35">
      <c r="A96" s="65" t="s">
        <v>42</v>
      </c>
      <c r="B96" s="66"/>
      <c r="C96" s="11"/>
      <c r="D96" s="11"/>
      <c r="E96" s="11"/>
      <c r="F96" s="11"/>
      <c r="G96" s="11"/>
      <c r="H96" s="88"/>
      <c r="I96" s="122"/>
      <c r="J96" s="122"/>
      <c r="K96" s="90"/>
      <c r="L96" s="90"/>
      <c r="M96" s="90"/>
      <c r="N96" s="53" t="s">
        <v>462</v>
      </c>
      <c r="O96" s="225">
        <f t="shared" ref="O96:Z96" si="53">SUM(O77:O95)</f>
        <v>740.84000000000015</v>
      </c>
      <c r="P96" s="225">
        <f t="shared" si="53"/>
        <v>939.66999999999985</v>
      </c>
      <c r="Q96" s="225">
        <f t="shared" si="53"/>
        <v>664.58</v>
      </c>
      <c r="R96" s="225">
        <f t="shared" si="53"/>
        <v>11.870000000000006</v>
      </c>
      <c r="S96" s="225">
        <f t="shared" si="53"/>
        <v>0</v>
      </c>
      <c r="T96" s="225">
        <f t="shared" si="53"/>
        <v>109.69</v>
      </c>
      <c r="U96" s="225">
        <f t="shared" si="53"/>
        <v>403.74</v>
      </c>
      <c r="V96" s="225">
        <f t="shared" si="53"/>
        <v>264.17</v>
      </c>
      <c r="W96" s="225">
        <f t="shared" si="53"/>
        <v>592.71</v>
      </c>
      <c r="X96" s="225">
        <f t="shared" si="53"/>
        <v>581.46</v>
      </c>
      <c r="Y96" s="225">
        <f t="shared" si="53"/>
        <v>-32.57</v>
      </c>
      <c r="Z96" s="225">
        <f t="shared" si="53"/>
        <v>278.75</v>
      </c>
      <c r="AA96" s="225">
        <f t="shared" si="23"/>
        <v>4554.9100000000008</v>
      </c>
      <c r="AB96" s="226">
        <f>IF(AA96=0,"",IFERROR(AA96/AA19,""))</f>
        <v>0.62389104770566572</v>
      </c>
      <c r="AC96" s="227"/>
      <c r="AD96" s="225">
        <f>SUM(AD77:AD95)</f>
        <v>10127.926149999999</v>
      </c>
      <c r="AE96" s="226">
        <f>IF(AD96=0,"",IFERROR(AD96/AD19,""))</f>
        <v>0.65358536585365845</v>
      </c>
      <c r="AF96" s="228">
        <f t="shared" si="27"/>
        <v>-5573.0161499999986</v>
      </c>
      <c r="AG96" s="225">
        <f>SUM(AG77:AG95)</f>
        <v>8638.2100000000009</v>
      </c>
      <c r="AH96" s="226">
        <f>IF(AG96=0,"",IFERROR(AG96/AG19,""))</f>
        <v>0.62872042709444043</v>
      </c>
      <c r="AI96" s="228">
        <f t="shared" si="30"/>
        <v>-4083.3</v>
      </c>
      <c r="AJ96" s="472">
        <f t="shared" si="31"/>
        <v>0.22717755610972573</v>
      </c>
      <c r="AK96" s="473">
        <f t="shared" si="32"/>
        <v>0.26796999999999999</v>
      </c>
      <c r="AL96" s="474">
        <f t="shared" si="33"/>
        <v>0.26270330271881276</v>
      </c>
      <c r="AM96" s="475" t="str">
        <f t="shared" si="34"/>
        <v>-2.97 pts.</v>
      </c>
      <c r="AN96" s="556" t="str">
        <f t="shared" si="35"/>
        <v>-0.48 pts.</v>
      </c>
      <c r="AO96" s="11"/>
    </row>
    <row r="97" spans="1:41" x14ac:dyDescent="0.35">
      <c r="A97" s="65" t="s">
        <v>43</v>
      </c>
      <c r="B97" s="66"/>
      <c r="C97" s="11"/>
      <c r="D97" s="11"/>
      <c r="E97" s="11"/>
      <c r="F97" s="11"/>
      <c r="G97" s="11"/>
      <c r="H97" s="11"/>
      <c r="I97" s="11"/>
      <c r="J97" s="11"/>
      <c r="K97" s="11"/>
      <c r="L97" s="11"/>
      <c r="M97" s="11"/>
      <c r="N97" s="11"/>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1"/>
    </row>
    <row r="98" spans="1:41" ht="15" thickBot="1" x14ac:dyDescent="0.4">
      <c r="A98" s="65" t="s">
        <v>44</v>
      </c>
      <c r="B98" s="66"/>
      <c r="C98" s="11"/>
      <c r="D98" s="11"/>
      <c r="E98" s="11"/>
      <c r="F98" s="11"/>
      <c r="G98" s="11"/>
      <c r="H98" s="88" t="s">
        <v>81</v>
      </c>
      <c r="I98" s="136" t="str">
        <f>IF(_epmOfflineCondition_,"T3",_xll.EVPRO($B$1,$H98,"STYLE"))</f>
        <v>T3</v>
      </c>
      <c r="J98" s="136" t="str">
        <f>IF(_epmOfflineCondition_,"Y",_xll.EVPRO($B$1,$H98,"CALC"))</f>
        <v>Y</v>
      </c>
      <c r="K98" s="106"/>
      <c r="L98" s="106"/>
      <c r="M98" s="106"/>
      <c r="N98" s="106" t="str">
        <f>IF(_epmOfflineCondition_,"Department Profit (Loss)",IF(_xll.EVDES(H98,$B$1)="#NODATA","",_xll.EVDES(H98,$B$1)))</f>
        <v>Department Profit (Loss)</v>
      </c>
      <c r="O98" s="169">
        <v>740.84000000000106</v>
      </c>
      <c r="P98" s="169">
        <v>939.67</v>
      </c>
      <c r="Q98" s="169">
        <v>664.58</v>
      </c>
      <c r="R98" s="169">
        <v>11.87</v>
      </c>
      <c r="S98" s="169"/>
      <c r="T98" s="169">
        <v>109.69</v>
      </c>
      <c r="U98" s="169">
        <v>403.74</v>
      </c>
      <c r="V98" s="169">
        <v>264.17</v>
      </c>
      <c r="W98" s="169">
        <v>592.71</v>
      </c>
      <c r="X98" s="169">
        <v>581.46</v>
      </c>
      <c r="Y98" s="169">
        <v>-32.57</v>
      </c>
      <c r="Z98" s="169">
        <v>278.75</v>
      </c>
      <c r="AA98" s="169">
        <f>IF($I98="B1","",SUM(O98:Z98))</f>
        <v>4554.9100000000017</v>
      </c>
      <c r="AB98" s="170">
        <f>IF(AA98=0,"",IFERROR(AA98/AA$19,""))</f>
        <v>0.62389104770566584</v>
      </c>
      <c r="AC98" s="140"/>
      <c r="AD98" s="169">
        <v>10127.926149999999</v>
      </c>
      <c r="AE98" s="170">
        <f>IF(AD98=0,"",IFERROR(AD98/AD$19,""))</f>
        <v>0.65358536585365845</v>
      </c>
      <c r="AF98" s="171">
        <f>IF(AND($AA98="",AD98=""),"",$AA98-AD98)</f>
        <v>-5573.0161499999977</v>
      </c>
      <c r="AG98" s="169">
        <v>8638.2099999999991</v>
      </c>
      <c r="AH98" s="170">
        <f>IF(AG98=0,"",IFERROR(AG98/AG$19,""))</f>
        <v>0.62872042709444032</v>
      </c>
      <c r="AI98" s="171">
        <f>IF(AND($AA98="",AG98=""),"",$AA98-AG98)</f>
        <v>-4083.2999999999975</v>
      </c>
      <c r="AJ98" s="477">
        <f>IFERROR(AA98/AA$20,0)</f>
        <v>0.22717755610972576</v>
      </c>
      <c r="AK98" s="478">
        <f>IFERROR(AD98/AD$20,0)</f>
        <v>0.26796999999999999</v>
      </c>
      <c r="AL98" s="479">
        <f>IFERROR(AG98/AG$20,0)</f>
        <v>0.2627033027188127</v>
      </c>
      <c r="AM98" s="480" t="str">
        <f>+IFERROR(ROUND(($AB98-AE98)*100,2)&amp;" pts.",0)</f>
        <v>-2.97 pts.</v>
      </c>
      <c r="AN98" s="557" t="str">
        <f>+IFERROR(ROUND(($AB98-AH98)*100,2)&amp;" pts.",0)</f>
        <v>-0.48 pts.</v>
      </c>
      <c r="AO98" s="11"/>
    </row>
    <row r="99" spans="1:41" ht="15" thickTop="1" x14ac:dyDescent="0.35">
      <c r="A99" s="65" t="s">
        <v>45</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46</v>
      </c>
      <c r="B100" s="66"/>
      <c r="C100" s="11"/>
      <c r="D100" s="11"/>
      <c r="E100" s="11"/>
      <c r="F100" s="11"/>
      <c r="G100" s="11"/>
      <c r="H100" s="11"/>
      <c r="I100" s="59"/>
      <c r="J100" s="59"/>
      <c r="K100" s="11"/>
      <c r="L100" s="11"/>
      <c r="M100" s="11"/>
      <c r="N100" s="104" t="str">
        <f>N98&amp;" - Check"</f>
        <v>Department Profit (Loss) - Check</v>
      </c>
      <c r="O100" s="209">
        <f t="shared" ref="O100:AA100" si="54">SUMIF($H$34:$H$74,"400000",O$34:O$74)-SUMIF($H$34:$H$74,"500001",O$34:O$74)-O96</f>
        <v>0</v>
      </c>
      <c r="P100" s="209">
        <f t="shared" si="54"/>
        <v>0</v>
      </c>
      <c r="Q100" s="209">
        <f t="shared" si="54"/>
        <v>0</v>
      </c>
      <c r="R100" s="209">
        <f t="shared" si="54"/>
        <v>0</v>
      </c>
      <c r="S100" s="209">
        <f t="shared" si="54"/>
        <v>0</v>
      </c>
      <c r="T100" s="209">
        <f t="shared" si="54"/>
        <v>0</v>
      </c>
      <c r="U100" s="209">
        <f t="shared" si="54"/>
        <v>0</v>
      </c>
      <c r="V100" s="209">
        <f t="shared" si="54"/>
        <v>0</v>
      </c>
      <c r="W100" s="209">
        <f t="shared" si="54"/>
        <v>0</v>
      </c>
      <c r="X100" s="209">
        <f t="shared" si="54"/>
        <v>0</v>
      </c>
      <c r="Y100" s="209">
        <f t="shared" si="54"/>
        <v>0</v>
      </c>
      <c r="Z100" s="209">
        <f t="shared" si="54"/>
        <v>0</v>
      </c>
      <c r="AA100" s="209">
        <f t="shared" si="54"/>
        <v>0</v>
      </c>
      <c r="AB100" s="100"/>
      <c r="AC100" s="11"/>
      <c r="AD100" s="209">
        <f>SUMIF($H$34:$H$74,"400000",AD$34:AD$74)-SUMIF($H$34:$H$74,"500001",AD$34:AD$74)-AD96</f>
        <v>0</v>
      </c>
      <c r="AE100" s="100"/>
      <c r="AF100" s="91"/>
      <c r="AG100" s="209">
        <f>SUMIF($H$34:$H$74,"400000",AG$34:AG$74)-SUMIF($H$34:$H$74,"500001",AG$34:AG$74)-AG96</f>
        <v>0</v>
      </c>
      <c r="AH100" s="100"/>
      <c r="AI100" s="91"/>
      <c r="AJ100" s="11"/>
      <c r="AK100" s="11"/>
      <c r="AL100" s="11"/>
      <c r="AM100" s="11"/>
      <c r="AN100" s="11"/>
      <c r="AO100" s="11"/>
    </row>
    <row r="101" spans="1:41"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37"/>
      <c r="P102" s="137"/>
      <c r="Q102" s="137"/>
      <c r="R102" s="137"/>
      <c r="S102" s="137"/>
      <c r="T102" s="137"/>
      <c r="U102" s="137"/>
      <c r="V102" s="137"/>
      <c r="W102" s="137"/>
      <c r="X102" s="137"/>
      <c r="Y102" s="137"/>
      <c r="Z102" s="137"/>
      <c r="AA102" s="137"/>
      <c r="AB102" s="11"/>
      <c r="AC102" s="11"/>
      <c r="AD102" s="137"/>
      <c r="AE102" s="11"/>
      <c r="AF102" s="11"/>
      <c r="AG102" s="137"/>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11"/>
      <c r="I104" s="59"/>
      <c r="J104" s="59"/>
      <c r="K104" s="11"/>
      <c r="L104" s="11"/>
      <c r="M104" s="11"/>
      <c r="N104" s="11"/>
      <c r="O104" s="137"/>
      <c r="P104" s="137"/>
      <c r="Q104" s="137"/>
      <c r="R104" s="137"/>
      <c r="S104" s="137"/>
      <c r="T104" s="137"/>
      <c r="U104" s="137"/>
      <c r="V104" s="137"/>
      <c r="W104" s="137"/>
      <c r="X104" s="137"/>
      <c r="Y104" s="137"/>
      <c r="Z104" s="137"/>
      <c r="AA104" s="137"/>
      <c r="AB104" s="11"/>
      <c r="AC104" s="11"/>
      <c r="AD104" s="137"/>
      <c r="AE104" s="11"/>
      <c r="AF104" s="11"/>
      <c r="AG104" s="137"/>
      <c r="AH104" s="11"/>
      <c r="AI104" s="11"/>
      <c r="AJ104" s="11"/>
      <c r="AK104" s="11"/>
      <c r="AL104" s="11"/>
      <c r="AM104" s="11"/>
      <c r="AN104" s="11"/>
      <c r="AO104" s="11"/>
    </row>
    <row r="105" spans="1:41" x14ac:dyDescent="0.3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11"/>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c r="B108" s="11"/>
      <c r="C108" s="11"/>
      <c r="D108" s="11"/>
      <c r="E108" s="11"/>
      <c r="F108" s="11"/>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11"/>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11"/>
      <c r="B115" s="11"/>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11"/>
      <c r="B116" s="11"/>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11"/>
      <c r="B117" s="11"/>
      <c r="C117" s="11"/>
      <c r="D117" s="11"/>
      <c r="E117" s="267"/>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11"/>
      <c r="B118" s="11"/>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11"/>
      <c r="B119" s="11"/>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267"/>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11"/>
      <c r="B124" s="11"/>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11"/>
      <c r="B125" s="11"/>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11"/>
      <c r="B126" s="11"/>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11"/>
      <c r="B127" s="11"/>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11"/>
      <c r="B128" s="11"/>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35">
      <c r="A129" s="11"/>
      <c r="B129" s="11"/>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11"/>
      <c r="B130" s="11"/>
      <c r="C130" s="11"/>
      <c r="D130" s="11"/>
      <c r="E130" s="11"/>
      <c r="F130" s="11"/>
      <c r="G130" s="11"/>
      <c r="H130" s="59"/>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11"/>
      <c r="B132" s="11"/>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11"/>
      <c r="B136" s="11"/>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3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3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3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3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3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3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3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3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35">
      <c r="A170" s="11"/>
      <c r="B170" s="11"/>
      <c r="C170" s="11"/>
      <c r="D170" s="11"/>
      <c r="E170" s="11"/>
      <c r="F170" s="11"/>
      <c r="G170" s="11"/>
      <c r="H170" s="11"/>
      <c r="I170" s="59"/>
      <c r="J170" s="11"/>
      <c r="K170" s="267"/>
      <c r="L170" s="267"/>
      <c r="M170" s="267"/>
      <c r="N170" s="11"/>
      <c r="O170" s="267"/>
      <c r="P170" s="267"/>
      <c r="Q170" s="267"/>
      <c r="R170" s="267"/>
      <c r="S170" s="267"/>
      <c r="T170" s="267"/>
      <c r="U170" s="267"/>
      <c r="V170" s="267"/>
      <c r="W170" s="267"/>
      <c r="X170" s="267"/>
      <c r="Y170" s="267"/>
      <c r="Z170" s="267"/>
      <c r="AA170" s="267"/>
      <c r="AB170" s="11"/>
      <c r="AC170" s="11"/>
      <c r="AD170" s="267"/>
      <c r="AE170" s="11"/>
      <c r="AF170" s="267"/>
      <c r="AG170" s="11"/>
      <c r="AH170" s="267"/>
      <c r="AI170" s="11"/>
      <c r="AJ170" s="11"/>
      <c r="AK170" s="11"/>
      <c r="AL170" s="11"/>
      <c r="AM170" s="11"/>
      <c r="AN170" s="11"/>
      <c r="AO170" s="11"/>
    </row>
    <row r="171" spans="1:41" x14ac:dyDescent="0.35">
      <c r="A171" s="11"/>
      <c r="B171" s="11"/>
      <c r="C171" s="11"/>
      <c r="D171" s="11"/>
      <c r="E171" s="11"/>
      <c r="F171" s="11"/>
      <c r="G171" s="11"/>
      <c r="H171" s="11"/>
      <c r="I171" s="267"/>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3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3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35">
      <c r="A174" s="11"/>
      <c r="B174" s="11"/>
      <c r="C174" s="11"/>
      <c r="D174" s="11"/>
      <c r="E174" s="11"/>
      <c r="F174" s="11"/>
      <c r="G174" s="11"/>
      <c r="H174" s="11"/>
      <c r="I174" s="59"/>
      <c r="J174" s="11"/>
      <c r="K174" s="267"/>
      <c r="L174" s="267"/>
      <c r="M174" s="267"/>
      <c r="N174" s="11"/>
      <c r="O174" s="267"/>
      <c r="P174" s="267"/>
      <c r="Q174" s="267"/>
      <c r="R174" s="267"/>
      <c r="S174" s="267"/>
      <c r="T174" s="267"/>
      <c r="U174" s="267"/>
      <c r="V174" s="267"/>
      <c r="W174" s="267"/>
      <c r="X174" s="267"/>
      <c r="Y174" s="267"/>
      <c r="Z174" s="267"/>
      <c r="AA174" s="267"/>
      <c r="AB174" s="11"/>
      <c r="AC174" s="11"/>
      <c r="AD174" s="267"/>
      <c r="AE174" s="11"/>
      <c r="AF174" s="267"/>
      <c r="AG174" s="11"/>
      <c r="AH174" s="267"/>
      <c r="AI174" s="11"/>
      <c r="AJ174" s="11"/>
      <c r="AK174" s="11"/>
      <c r="AL174" s="11"/>
      <c r="AM174" s="11"/>
      <c r="AN174" s="11"/>
      <c r="AO174" s="11"/>
    </row>
    <row r="175" spans="1:41" x14ac:dyDescent="0.35">
      <c r="A175" s="11"/>
      <c r="B175" s="11"/>
      <c r="C175" s="11"/>
      <c r="D175" s="11"/>
      <c r="E175" s="11"/>
      <c r="F175" s="11"/>
      <c r="G175" s="11"/>
      <c r="H175" s="11"/>
      <c r="I175" s="267"/>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3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3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3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3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3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3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3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3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3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3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3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3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3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3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3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3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3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3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3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4aIytcpKevu6Wt6N5TcW+mWTEWhq7/TS6C/GAtI0DZ1IgXhgjjeGFhQPxAoaDKVL9e8F1d0oDnVO4brTKpnEqw==" saltValue="YlGzQcexsaMERrDo9m+VLw==" spinCount="100000" sheet="1" scenarios="1"/>
  <mergeCells count="2">
    <mergeCell ref="AD31:AE31"/>
    <mergeCell ref="AG31:AH31"/>
  </mergeCells>
  <dataValidations disablePrompts="1" count="2">
    <dataValidation type="list" allowBlank="1" sqref="B51 B29" xr:uid="{00000000-0002-0000-2400-000000000000}">
      <formula1>"SELF,ALL,BAS,DEP,BASMEMBERS,MEMBERS,NOEXPAND,GDEP"</formula1>
    </dataValidation>
    <dataValidation type="list" allowBlank="1" sqref="B50 B28" xr:uid="{00000000-0002-0000-2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096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40967" r:id="rId7" name="FPMExcelClientSheetOptionstb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3" width="9.7265625" style="1" hidden="1" customWidth="1" outlineLevel="1"/>
    <col min="14" max="14" width="40.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472</v>
      </c>
      <c r="C6" s="11" t="str">
        <f>IF(_epmOfflineCondition_,"Miscellaneous Income",_xll.EVDES(B6,$B$1))</f>
        <v>Miscellaneous Income</v>
      </c>
      <c r="D6" s="11"/>
      <c r="E6" s="58" t="str">
        <f>IF(_epmOfflineCondition_,"D1139",_xll.EVPRO($B$1,$B$6,$F$6))</f>
        <v>D1139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11"/>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11"/>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IF(_epmOfflineCondition_,"'MISC_INC'!$B$2:$B$10",_xll.EVRNG($B$2:$B$10))</f>
        <v>'MISC_INC'!$B$2:$B$10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IF(_epmOfflineCondition_,"'MISC_INC'!$O$16:$AN$18",_xll.EVRNG($O$16:$AN$18))</f>
        <v>'MISC_INC'!$O$16:$AN$18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IF(_epmOfflineCondition_,"'MISC_INC'!$H$34:$H$50",_xll.EVRNG(H34:H50))</f>
        <v>'MISC_INC'!$H$34:$H$50</v>
      </c>
      <c r="C19" s="11"/>
      <c r="D19" s="11"/>
      <c r="E19" s="11"/>
      <c r="F19" s="11"/>
      <c r="G19" s="67" t="str">
        <f>$B$6</f>
        <v>D_ROI_CON</v>
      </c>
      <c r="H19" s="67">
        <v>400000</v>
      </c>
      <c r="I19" s="68"/>
      <c r="J19" s="68"/>
      <c r="K19" s="67"/>
      <c r="L19" s="67"/>
      <c r="M19" s="67"/>
      <c r="N19" s="67" t="str">
        <f>IF(_epmOfflineCondition_,"Total Revenue",_xll.EVDES(H19))</f>
        <v>Total Revenue</v>
      </c>
      <c r="O19" s="69">
        <f>IF(_epmOfflineCondition_,73882.67,_xll.EVGTS($B$1,1,$B$3,$B$5,$B$7,$B$9,O$16,O$17,O$18,$G$19,$H$19))</f>
        <v>73882.67</v>
      </c>
      <c r="P19" s="69">
        <f>IF(_epmOfflineCondition_,64589.75,_xll.EVGTS($B$1,1,$B$3,$B$5,$B$7,$B$9,P$16,P$17,P$18,$G$19,$H$19))</f>
        <v>64589.75</v>
      </c>
      <c r="Q19" s="69">
        <f>IF(_epmOfflineCondition_,69741.9,_xll.EVGTS($B$1,1,$B$3,$B$5,$B$7,$B$9,Q$16,Q$17,Q$18,$G$19,$H$19))</f>
        <v>69741.899999999994</v>
      </c>
      <c r="R19" s="69">
        <f>IF(_epmOfflineCondition_,2109.78,_xll.EVGTS($B$1,1,$B$3,$B$5,$B$7,$B$9,R$16,R$17,R$18,$G$19,$H$19))</f>
        <v>2109.7800000000002</v>
      </c>
      <c r="S19" s="69">
        <f>IF(_epmOfflineCondition_,-510,_xll.EVGTS($B$1,1,$B$3,$B$5,$B$7,$B$9,S$16,S$17,S$18,$G$19,$H$19))</f>
        <v>-510</v>
      </c>
      <c r="T19" s="69">
        <f>IF(_epmOfflineCondition_,10468.26,_xll.EVGTS($B$1,1,$B$3,$B$5,$B$7,$B$9,T$16,T$17,T$18,$G$19,$H$19))</f>
        <v>10468.26</v>
      </c>
      <c r="U19" s="69">
        <f>IF(_epmOfflineCondition_,8161.45,_xll.EVGTS($B$1,1,$B$3,$B$5,$B$7,$B$9,U$16,U$17,U$18,$G$19,$H$19))</f>
        <v>8161.45</v>
      </c>
      <c r="V19" s="69">
        <f>IF(_epmOfflineCondition_,25861.61,_xll.EVGTS($B$1,1,$B$3,$B$5,$B$7,$B$9,V$16,V$17,V$18,$G$19,$H$19))</f>
        <v>25861.61</v>
      </c>
      <c r="W19" s="69">
        <f>IF(_epmOfflineCondition_,43949.85,_xll.EVGTS($B$1,1,$B$3,$B$5,$B$7,$B$9,W$16,W$17,W$18,$G$19,$H$19))</f>
        <v>43949.85</v>
      </c>
      <c r="X19" s="69">
        <f>IF(_epmOfflineCondition_,51275.02,_xll.EVGTS($B$1,1,$B$3,$B$5,$B$7,$B$9,X$16,X$17,X$18,$G$19,$H$19))</f>
        <v>51275.02</v>
      </c>
      <c r="Y19" s="69">
        <f>IF(_epmOfflineCondition_,48855.08,_xll.EVGTS($B$1,1,$B$3,$B$5,$B$7,$B$9,Y$16,Y$17,Y$18,$G$19,$H$19))</f>
        <v>48855.08</v>
      </c>
      <c r="Z19" s="69">
        <f>IF(_epmOfflineCondition_,64872.03,_xll.EVGTS($B$1,1,$B$3,$B$5,$B$7,$B$9,Z$16,Z$17,Z$18,$G$19,$H$19))</f>
        <v>64872.03</v>
      </c>
      <c r="AA19" s="69">
        <f>SUM(O19:Z19)</f>
        <v>463257.4</v>
      </c>
      <c r="AB19" s="67"/>
      <c r="AC19" s="67"/>
      <c r="AD19" s="69">
        <f>IF(_epmOfflineCondition_,869208.9675,_xll.EVGTS($B$1,1,$B$3,$B$5,$B$7,$B$9,AD$16,AD$17,AD$18,$G$19,$H$19))</f>
        <v>869208.96750000003</v>
      </c>
      <c r="AE19" s="67"/>
      <c r="AF19" s="67"/>
      <c r="AG19" s="69">
        <f>IF(_epmOfflineCondition_,772402.78,_xll.EVGTS($B$1,1,$B$3,$B$5,$B$7,$B$9,AG$16,AG$17,AG$18,$G$19,$H$19))</f>
        <v>772402.78</v>
      </c>
      <c r="AH19" s="67"/>
      <c r="AI19" s="67"/>
      <c r="AJ19" s="11"/>
      <c r="AK19" s="11"/>
      <c r="AL19" s="11"/>
      <c r="AM19" s="11"/>
      <c r="AN19" s="11"/>
      <c r="AO19" s="11"/>
    </row>
    <row r="20" spans="1:41" hidden="1" outlineLevel="1" x14ac:dyDescent="0.3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IF(_epmOfflineCondition_,3596,_xll.EVGTS($B$1,1,$B$3,$B$5,$B$7,$B$9,O$16,O$17,O$18,$G$20,$H$20))</f>
        <v>3596</v>
      </c>
      <c r="P20" s="69">
        <f>IF(_epmOfflineCondition_,3382,_xll.EVGTS($B$1,1,$B$3,$B$5,$B$7,$B$9,P$16,P$17,P$18,$G$20,$H$20))</f>
        <v>3382</v>
      </c>
      <c r="Q20" s="69">
        <f>IF(_epmOfflineCondition_,1661,_xll.EVGTS($B$1,1,$B$3,$B$5,$B$7,$B$9,Q$16,Q$17,Q$18,$G$20,$H$20))</f>
        <v>1661</v>
      </c>
      <c r="R20" s="69">
        <f>IF(_epmOfflineCondition_,0,_xll.EVGTS($B$1,1,$B$3,$B$5,$B$7,$B$9,R$16,R$17,R$18,$G$20,$H$20))</f>
        <v>0</v>
      </c>
      <c r="S20" s="69">
        <f>IF(_epmOfflineCondition_,0,_xll.EVGTS($B$1,1,$B$3,$B$5,$B$7,$B$9,S$16,S$17,S$18,$G$20,$H$20))</f>
        <v>0</v>
      </c>
      <c r="T20" s="69">
        <f>IF(_epmOfflineCondition_,721,_xll.EVGTS($B$1,1,$B$3,$B$5,$B$7,$B$9,T$16,T$17,T$18,$G$20,$H$20))</f>
        <v>721</v>
      </c>
      <c r="U20" s="69">
        <f>IF(_epmOfflineCondition_,549,_xll.EVGTS($B$1,1,$B$3,$B$5,$B$7,$B$9,U$16,U$17,U$18,$G$20,$H$20))</f>
        <v>549</v>
      </c>
      <c r="V20" s="69">
        <f>IF(_epmOfflineCondition_,1066,_xll.EVGTS($B$1,1,$B$3,$B$5,$B$7,$B$9,V$16,V$17,V$18,$G$20,$H$20))</f>
        <v>1066</v>
      </c>
      <c r="W20" s="69">
        <f>IF(_epmOfflineCondition_,1892,_xll.EVGTS($B$1,1,$B$3,$B$5,$B$7,$B$9,W$16,W$17,W$18,$G$20,$H$20))</f>
        <v>1892</v>
      </c>
      <c r="X20" s="69">
        <f>IF(_epmOfflineCondition_,2174,_xll.EVGTS($B$1,1,$B$3,$B$5,$B$7,$B$9,X$16,X$17,X$18,$G$20,$H$20))</f>
        <v>2174</v>
      </c>
      <c r="Y20" s="69">
        <f>IF(_epmOfflineCondition_,2060,_xll.EVGTS($B$1,1,$B$3,$B$5,$B$7,$B$9,Y$16,Y$17,Y$18,$G$20,$H$20))</f>
        <v>2060</v>
      </c>
      <c r="Z20" s="69">
        <f>IF(_epmOfflineCondition_,2949,_xll.EVGTS($B$1,1,$B$3,$B$5,$B$7,$B$9,Z$16,Z$17,Z$18,$G$20,$H$20))</f>
        <v>2949</v>
      </c>
      <c r="AA20" s="69">
        <f>SUM(O20:Z20)</f>
        <v>20050</v>
      </c>
      <c r="AB20" s="67"/>
      <c r="AC20" s="67"/>
      <c r="AD20" s="69">
        <f>IF(_epmOfflineCondition_,37795,_xll.EVGTS($B$1,1,$B$3,$B$5,$B$7,$B$9,AD$16,AD$17,AD$18,$G$20,$H$20))</f>
        <v>37795</v>
      </c>
      <c r="AE20" s="67"/>
      <c r="AF20" s="67"/>
      <c r="AG20" s="69">
        <f>IF(_epmOfflineCondition_,32882,_xll.EVGTS($B$1,1,$B$3,$B$5,$B$7,$B$9,AG$16,AG$17,AG$18,$G$20,$H$20))</f>
        <v>32882</v>
      </c>
      <c r="AH20" s="67"/>
      <c r="AI20" s="67"/>
      <c r="AJ20" s="11"/>
      <c r="AK20" s="11"/>
      <c r="AL20" s="11"/>
      <c r="AM20" s="11"/>
      <c r="AN20" s="11"/>
      <c r="AO20" s="11"/>
    </row>
    <row r="21" spans="1:41" hidden="1" outlineLevel="1" x14ac:dyDescent="0.3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IF(_epmOfflineCondition_,"'MISC_INC'!$A$36:$F$41",_xll.EVRNG(A36:F41))</f>
        <v>'MISC_INC'!$A$36:$F$41</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IF(_epmOfflineCondition_,"'MISC_INC'!$A$45:$B$66",_xll.EVRNG($A$45:$B$66))</f>
        <v>'MISC_INC'!$A$45:$B$66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11"/>
      <c r="M27" s="11"/>
      <c r="N27" s="71" t="str">
        <f>IF(_epmOfflineCondition_,"Miscellaneous Income",IF(_xll.EVDES(B6,$B$1)="#NODATA","",_xll.EVDES(B6,$B$1)))</f>
        <v>Miscellaneous Income</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11"/>
      <c r="M28" s="11"/>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tr">
        <f>"DEP(455000) AND "&amp;$E$6&amp;"=Y,400000"</f>
        <v>DEP(455000) AND D1139=Y,400000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3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35">
      <c r="A34" s="11"/>
      <c r="B34" s="11"/>
      <c r="C34" s="11"/>
      <c r="D34" s="11"/>
      <c r="E34" s="11"/>
      <c r="F34" s="11"/>
      <c r="G34" s="11"/>
      <c r="H34" s="88" t="s">
        <v>640</v>
      </c>
      <c r="I34" s="122" t="str">
        <f>IF(_epmOfflineCondition_,"T5",_xll.EVPRO($B$1,$H34,"STYLE"))</f>
        <v>T5</v>
      </c>
      <c r="J34" s="122" t="str">
        <f>IF(_epmOfflineCondition_,"Y",_xll.EVPRO($B$1,$H34,"CALC"))</f>
        <v>Y</v>
      </c>
      <c r="K34" s="179" t="str">
        <f t="shared" ref="K34:K50" si="0">IF(AND(I34&gt;="T5"),"&gt;","")</f>
        <v>&gt;</v>
      </c>
      <c r="L34" s="90" t="str">
        <f>IF(_epmOfflineCondition_,"455100",_xll.EVPRO($B$1,H34,"JDEID"))</f>
        <v>455100</v>
      </c>
      <c r="M34" s="90" t="str">
        <f>IF(_epmOfflineCondition_,"",IF(AND(I34="N",J34="N"),_xll.EVPRO($B$1,H34,"PSFTID"),""))</f>
        <v/>
      </c>
      <c r="N34" s="90" t="str">
        <f>IF(_epmOfflineCondition_,"Space Rent &amp; Concessions",IF(_xll.EVDES(H34,$B$1)="#NODATA","",_xll.EVDES(H34,$B$1)))</f>
        <v>Space Rent &amp; Concessions</v>
      </c>
      <c r="O34" s="445"/>
      <c r="P34" s="251"/>
      <c r="Q34" s="251"/>
      <c r="R34" s="251"/>
      <c r="S34" s="251"/>
      <c r="T34" s="251"/>
      <c r="U34" s="251"/>
      <c r="V34" s="251"/>
      <c r="W34" s="251"/>
      <c r="X34" s="251"/>
      <c r="Y34" s="251"/>
      <c r="Z34" s="251"/>
      <c r="AA34" s="251">
        <f t="shared" ref="AA34:AA50" si="1">IF($I34="B1","",SUM(O34:Z34))</f>
        <v>0</v>
      </c>
      <c r="AB34" s="446" t="str">
        <f t="shared" ref="AB34:AB50" si="2">IF(AA34=0,"",IFERROR(AA34/AA$19,""))</f>
        <v/>
      </c>
      <c r="AC34" s="437"/>
      <c r="AD34" s="251">
        <v>3200</v>
      </c>
      <c r="AE34" s="446">
        <f t="shared" ref="AE34:AE50" si="3">IF(AD34=0,"",IFERROR(AD34/AD$19,""))</f>
        <v>3.6815082674581355E-3</v>
      </c>
      <c r="AF34" s="447">
        <f t="shared" ref="AF34:AF50" si="4">IF(AND($AA34="",AD34=""),"",$AA34-AD34)</f>
        <v>-3200</v>
      </c>
      <c r="AG34" s="251">
        <v>0</v>
      </c>
      <c r="AH34" s="446" t="str">
        <f t="shared" ref="AH34:AH50" si="5">IF(AG34=0,"",IFERROR(AG34/AG$19,""))</f>
        <v/>
      </c>
      <c r="AI34" s="448">
        <f t="shared" ref="AI34:AI50" si="6">IF(AND($AA34="",AG34=""),"",$AA34-AG34)</f>
        <v>0</v>
      </c>
      <c r="AJ34" s="440">
        <f t="shared" ref="AJ34:AJ50" si="7">IFERROR(AA34/AA$20,0)</f>
        <v>0</v>
      </c>
      <c r="AK34" s="441">
        <f t="shared" ref="AK34:AK50" si="8">IFERROR(AD34/AD$20,0)</f>
        <v>8.4667284032279397E-2</v>
      </c>
      <c r="AL34" s="442">
        <f t="shared" ref="AL34:AL50" si="9">IFERROR(AG34/AG$20,0)</f>
        <v>0</v>
      </c>
      <c r="AM34" s="443">
        <f t="shared" ref="AM34:AM50" si="10">+IFERROR(ROUND(($AB34-AE34)*100,2)&amp;" pts.",0)</f>
        <v>0</v>
      </c>
      <c r="AN34" s="444">
        <f t="shared" ref="AN34:AN50" si="11">+IFERROR(ROUND(($AB34-AH34)*100,2)&amp;" pts.",0)</f>
        <v>0</v>
      </c>
      <c r="AO34" s="11"/>
    </row>
    <row r="35" spans="1:41" x14ac:dyDescent="0.35">
      <c r="A35" s="97" t="s">
        <v>92</v>
      </c>
      <c r="B35" s="98" t="s">
        <v>93</v>
      </c>
      <c r="C35" s="98" t="s">
        <v>94</v>
      </c>
      <c r="D35" s="98" t="s">
        <v>95</v>
      </c>
      <c r="E35" s="98" t="s">
        <v>96</v>
      </c>
      <c r="F35" s="99" t="s">
        <v>97</v>
      </c>
      <c r="G35" s="11"/>
      <c r="H35" s="88" t="s">
        <v>641</v>
      </c>
      <c r="I35" s="122" t="str">
        <f>IF(_epmOfflineCondition_,"T5",_xll.EVPRO($B$1,$H35,"STYLE"))</f>
        <v>T5</v>
      </c>
      <c r="J35" s="122" t="str">
        <f>IF(_epmOfflineCondition_,"Y",_xll.EVPRO($B$1,$H35,"CALC"))</f>
        <v>Y</v>
      </c>
      <c r="K35" s="179" t="str">
        <f t="shared" si="0"/>
        <v>&gt;</v>
      </c>
      <c r="L35" s="90" t="str">
        <f>IF(_epmOfflineCondition_,"455200",_xll.EVPRO($B$1,H35,"JDEID"))</f>
        <v>455200</v>
      </c>
      <c r="M35" s="90" t="str">
        <f>IF(_epmOfflineCondition_,"",IF(AND(I35="N",J35="N"),_xll.EVPRO($B$1,H35,"PSFTID"),""))</f>
        <v/>
      </c>
      <c r="N35" s="90" t="str">
        <f>IF(_epmOfflineCondition_,"Commissions",IF(_xll.EVDES(H35,$B$1)="#NODATA","",_xll.EVDES(H35,$B$1)))</f>
        <v>Commissions</v>
      </c>
      <c r="O35" s="445"/>
      <c r="P35" s="251"/>
      <c r="Q35" s="251"/>
      <c r="R35" s="251"/>
      <c r="S35" s="251"/>
      <c r="T35" s="251"/>
      <c r="U35" s="251"/>
      <c r="V35" s="251"/>
      <c r="W35" s="251"/>
      <c r="X35" s="251">
        <v>752.04</v>
      </c>
      <c r="Y35" s="251">
        <v>304.49</v>
      </c>
      <c r="Z35" s="251">
        <v>-377.82</v>
      </c>
      <c r="AA35" s="251">
        <f t="shared" si="1"/>
        <v>678.71</v>
      </c>
      <c r="AB35" s="446">
        <f t="shared" si="2"/>
        <v>1.465081831396541E-3</v>
      </c>
      <c r="AC35" s="437"/>
      <c r="AD35" s="251">
        <v>1303.9275</v>
      </c>
      <c r="AE35" s="446">
        <f t="shared" si="3"/>
        <v>1.5001312098175056E-3</v>
      </c>
      <c r="AF35" s="447">
        <f t="shared" si="4"/>
        <v>-625.21749999999997</v>
      </c>
      <c r="AG35" s="251">
        <v>372</v>
      </c>
      <c r="AH35" s="446">
        <f t="shared" si="5"/>
        <v>4.8161400972689404E-4</v>
      </c>
      <c r="AI35" s="448">
        <f t="shared" si="6"/>
        <v>306.71000000000004</v>
      </c>
      <c r="AJ35" s="440">
        <f t="shared" si="7"/>
        <v>3.3850872817955117E-2</v>
      </c>
      <c r="AK35" s="441">
        <f t="shared" si="8"/>
        <v>3.4500000000000003E-2</v>
      </c>
      <c r="AL35" s="442">
        <f t="shared" si="9"/>
        <v>1.1313180463475458E-2</v>
      </c>
      <c r="AM35" s="443" t="str">
        <f t="shared" si="10"/>
        <v>0 pts.</v>
      </c>
      <c r="AN35" s="444" t="str">
        <f t="shared" si="11"/>
        <v>0.1 pts.</v>
      </c>
      <c r="AO35" s="11"/>
    </row>
    <row r="36" spans="1:41" x14ac:dyDescent="0.35">
      <c r="A36" s="11"/>
      <c r="B36" s="11"/>
      <c r="C36" s="11"/>
      <c r="D36" s="11"/>
      <c r="E36" s="11"/>
      <c r="F36" s="11"/>
      <c r="G36" s="11"/>
      <c r="H36" s="88" t="s">
        <v>642</v>
      </c>
      <c r="I36" s="122" t="str">
        <f>IF(_epmOfflineCondition_,"N",_xll.EVPRO($B$1,$H36,"STYLE"))</f>
        <v>N</v>
      </c>
      <c r="J36" s="122" t="str">
        <f>IF(_epmOfflineCondition_,"N",_xll.EVPRO($B$1,$H36,"CALC"))</f>
        <v>N</v>
      </c>
      <c r="K36" s="179" t="str">
        <f t="shared" si="0"/>
        <v/>
      </c>
      <c r="L36" s="90" t="str">
        <f>IF(_epmOfflineCondition_,"455250",_xll.EVPRO($B$1,H36,"JDEID"))</f>
        <v>455250</v>
      </c>
      <c r="M36" s="90" t="str">
        <f>IF(_epmOfflineCondition_,"206088",IF(AND(I36="N",J36="N"),_xll.EVPRO($B$1,H36,"PSFTID"),""))</f>
        <v>206088</v>
      </c>
      <c r="N36" s="90" t="str">
        <f>IF(_epmOfflineCondition_,"Cash Discounts Earned",IF(_xll.EVDES(H36,$B$1)="#NODATA","",_xll.EVDES(H36,$B$1)))</f>
        <v>Cash Discounts Earned</v>
      </c>
      <c r="O36" s="445"/>
      <c r="P36" s="251"/>
      <c r="Q36" s="251"/>
      <c r="R36" s="251"/>
      <c r="S36" s="251"/>
      <c r="T36" s="251">
        <v>1714.8</v>
      </c>
      <c r="U36" s="251"/>
      <c r="V36" s="251"/>
      <c r="W36" s="251"/>
      <c r="X36" s="251"/>
      <c r="Y36" s="251"/>
      <c r="Z36" s="251"/>
      <c r="AA36" s="251">
        <f t="shared" si="1"/>
        <v>1714.8</v>
      </c>
      <c r="AB36" s="446">
        <f t="shared" si="2"/>
        <v>3.7016138328281423E-3</v>
      </c>
      <c r="AC36" s="437"/>
      <c r="AD36" s="251">
        <v>2460</v>
      </c>
      <c r="AE36" s="446">
        <f t="shared" si="3"/>
        <v>2.8301594806084416E-3</v>
      </c>
      <c r="AF36" s="447">
        <f t="shared" si="4"/>
        <v>-745.2</v>
      </c>
      <c r="AG36" s="251">
        <v>2459.94</v>
      </c>
      <c r="AH36" s="446">
        <f t="shared" si="5"/>
        <v>3.1847891588375693E-3</v>
      </c>
      <c r="AI36" s="448">
        <f t="shared" si="6"/>
        <v>-745.1400000000001</v>
      </c>
      <c r="AJ36" s="440">
        <f t="shared" si="7"/>
        <v>8.5526184538653363E-2</v>
      </c>
      <c r="AK36" s="441">
        <f t="shared" si="8"/>
        <v>6.5087974599814788E-2</v>
      </c>
      <c r="AL36" s="442">
        <f t="shared" si="9"/>
        <v>7.4811142874521022E-2</v>
      </c>
      <c r="AM36" s="443" t="str">
        <f t="shared" si="10"/>
        <v>0.09 pts.</v>
      </c>
      <c r="AN36" s="444" t="str">
        <f t="shared" si="11"/>
        <v>0.05 pts.</v>
      </c>
      <c r="AO36" s="11"/>
    </row>
    <row r="37" spans="1:41" x14ac:dyDescent="0.35">
      <c r="A37" s="11" t="s">
        <v>209</v>
      </c>
      <c r="B37" s="11" t="s">
        <v>21</v>
      </c>
      <c r="C37" s="395"/>
      <c r="D37" s="11" t="s">
        <v>590</v>
      </c>
      <c r="E37" s="11"/>
      <c r="F37" s="11" t="s">
        <v>99</v>
      </c>
      <c r="G37" s="11"/>
      <c r="H37" s="88" t="s">
        <v>643</v>
      </c>
      <c r="I37" s="122" t="str">
        <f>IF(_epmOfflineCondition_,"T5",_xll.EVPRO($B$1,$H37,"STYLE"))</f>
        <v>T5</v>
      </c>
      <c r="J37" s="122" t="str">
        <f>IF(_epmOfflineCondition_,"Y",_xll.EVPRO($B$1,$H37,"CALC"))</f>
        <v>Y</v>
      </c>
      <c r="K37" s="179" t="str">
        <f t="shared" si="0"/>
        <v>&gt;</v>
      </c>
      <c r="L37" s="90" t="str">
        <f>IF(_epmOfflineCondition_,"455300",_xll.EVPRO($B$1,H37,"JDEID"))</f>
        <v>455300</v>
      </c>
      <c r="M37" s="90" t="str">
        <f>IF(_epmOfflineCondition_,"",IF(AND(I37="N",J37="N"),_xll.EVPRO($B$1,H37,"PSFTID"),""))</f>
        <v/>
      </c>
      <c r="N37" s="90" t="str">
        <f>IF(_epmOfflineCondition_,"Attrition Penalties",IF(_xll.EVDES(H37,$B$1)="#NODATA","",_xll.EVDES(H37,$B$1)))</f>
        <v>Attrition Penalties</v>
      </c>
      <c r="O37" s="445"/>
      <c r="P37" s="251"/>
      <c r="Q37" s="251"/>
      <c r="R37" s="251"/>
      <c r="S37" s="251"/>
      <c r="T37" s="251"/>
      <c r="U37" s="251"/>
      <c r="V37" s="251"/>
      <c r="W37" s="251"/>
      <c r="X37" s="251"/>
      <c r="Y37" s="251"/>
      <c r="Z37" s="251"/>
      <c r="AA37" s="251">
        <f t="shared" si="1"/>
        <v>0</v>
      </c>
      <c r="AB37" s="446" t="str">
        <f t="shared" si="2"/>
        <v/>
      </c>
      <c r="AC37" s="437"/>
      <c r="AD37" s="251">
        <v>18443.04</v>
      </c>
      <c r="AE37" s="446">
        <f t="shared" si="3"/>
        <v>2.1218188824081594E-2</v>
      </c>
      <c r="AF37" s="447">
        <f t="shared" si="4"/>
        <v>-18443.04</v>
      </c>
      <c r="AG37" s="251">
        <v>16442.77</v>
      </c>
      <c r="AH37" s="446">
        <f t="shared" si="5"/>
        <v>2.1287818254615811E-2</v>
      </c>
      <c r="AI37" s="448">
        <f t="shared" si="6"/>
        <v>-16442.77</v>
      </c>
      <c r="AJ37" s="440">
        <f t="shared" si="7"/>
        <v>0</v>
      </c>
      <c r="AK37" s="441">
        <f t="shared" si="8"/>
        <v>0.48797565815584076</v>
      </c>
      <c r="AL37" s="442">
        <f t="shared" si="9"/>
        <v>0.5000538288425278</v>
      </c>
      <c r="AM37" s="443">
        <f t="shared" si="10"/>
        <v>0</v>
      </c>
      <c r="AN37" s="444">
        <f t="shared" si="11"/>
        <v>0</v>
      </c>
      <c r="AO37" s="11"/>
    </row>
    <row r="38" spans="1:41" x14ac:dyDescent="0.35">
      <c r="A38" s="11" t="s">
        <v>105</v>
      </c>
      <c r="B38" s="11"/>
      <c r="C38" s="104" t="s">
        <v>101</v>
      </c>
      <c r="D38" s="11" t="s">
        <v>106</v>
      </c>
      <c r="E38" s="11"/>
      <c r="F38" s="11" t="s">
        <v>98</v>
      </c>
      <c r="G38" s="11"/>
      <c r="H38" s="88" t="s">
        <v>644</v>
      </c>
      <c r="I38" s="122" t="str">
        <f>IF(_epmOfflineCondition_,"T5",_xll.EVPRO($B$1,$H38,"STYLE"))</f>
        <v>T5</v>
      </c>
      <c r="J38" s="122" t="str">
        <f>IF(_epmOfflineCondition_,"Y",_xll.EVPRO($B$1,$H38,"CALC"))</f>
        <v>Y</v>
      </c>
      <c r="K38" s="179" t="str">
        <f t="shared" si="0"/>
        <v>&gt;</v>
      </c>
      <c r="L38" s="90" t="str">
        <f>IF(_epmOfflineCondition_,"455400",_xll.EVPRO($B$1,H38,"JDEID"))</f>
        <v>455400</v>
      </c>
      <c r="M38" s="90" t="str">
        <f>IF(_epmOfflineCondition_,"",IF(AND(I38="N",J38="N"),_xll.EVPRO($B$1,H38,"PSFTID"),""))</f>
        <v/>
      </c>
      <c r="N38" s="90" t="str">
        <f>IF(_epmOfflineCondition_,"Cancellation Penalties",IF(_xll.EVDES(H38,$B$1)="#NODATA","",_xll.EVDES(H38,$B$1)))</f>
        <v>Cancellation Penalties</v>
      </c>
      <c r="O38" s="445">
        <v>1172.01</v>
      </c>
      <c r="P38" s="251">
        <v>1546.08</v>
      </c>
      <c r="Q38" s="251">
        <v>31708.400000000001</v>
      </c>
      <c r="R38" s="251">
        <v>1735.57</v>
      </c>
      <c r="S38" s="251"/>
      <c r="T38" s="251">
        <v>90.06</v>
      </c>
      <c r="U38" s="251">
        <v>439.51</v>
      </c>
      <c r="V38" s="251">
        <v>406.63</v>
      </c>
      <c r="W38" s="251">
        <v>1365.49</v>
      </c>
      <c r="X38" s="251">
        <v>608.05999999999995</v>
      </c>
      <c r="Y38" s="251">
        <v>824.79</v>
      </c>
      <c r="Z38" s="251">
        <v>1813.18</v>
      </c>
      <c r="AA38" s="251">
        <f t="shared" si="1"/>
        <v>41709.78</v>
      </c>
      <c r="AB38" s="446">
        <f t="shared" si="2"/>
        <v>9.0035863431431412E-2</v>
      </c>
      <c r="AC38" s="437"/>
      <c r="AD38" s="251">
        <v>27451.9999999998</v>
      </c>
      <c r="AE38" s="446">
        <f t="shared" si="3"/>
        <v>3.158273904945625E-2</v>
      </c>
      <c r="AF38" s="447">
        <f t="shared" si="4"/>
        <v>14257.780000000199</v>
      </c>
      <c r="AG38" s="251">
        <v>29634.5</v>
      </c>
      <c r="AH38" s="446">
        <f t="shared" si="5"/>
        <v>3.8366640782934516E-2</v>
      </c>
      <c r="AI38" s="448">
        <f t="shared" si="6"/>
        <v>12075.279999999999</v>
      </c>
      <c r="AJ38" s="440">
        <f t="shared" si="7"/>
        <v>2.0802882793017456</v>
      </c>
      <c r="AK38" s="441">
        <f t="shared" si="8"/>
        <v>0.72633946289191165</v>
      </c>
      <c r="AL38" s="442">
        <f t="shared" si="9"/>
        <v>0.90123775926038563</v>
      </c>
      <c r="AM38" s="443" t="str">
        <f t="shared" si="10"/>
        <v>5.85 pts.</v>
      </c>
      <c r="AN38" s="444" t="str">
        <f t="shared" si="11"/>
        <v>5.17 pts.</v>
      </c>
      <c r="AO38" s="11"/>
    </row>
    <row r="39" spans="1:41" x14ac:dyDescent="0.35">
      <c r="A39" s="11" t="s">
        <v>104</v>
      </c>
      <c r="B39" s="11"/>
      <c r="C39" s="104" t="s">
        <v>101</v>
      </c>
      <c r="D39" s="11" t="s">
        <v>106</v>
      </c>
      <c r="E39" s="11"/>
      <c r="F39" s="11" t="s">
        <v>98</v>
      </c>
      <c r="G39" s="11"/>
      <c r="H39" s="88" t="s">
        <v>645</v>
      </c>
      <c r="I39" s="122" t="str">
        <f>IF(_epmOfflineCondition_,"N",_xll.EVPRO($B$1,$H39,"STYLE"))</f>
        <v>N</v>
      </c>
      <c r="J39" s="122" t="str">
        <f>IF(_epmOfflineCondition_,"N",_xll.EVPRO($B$1,$H39,"CALC"))</f>
        <v>N</v>
      </c>
      <c r="K39" s="179" t="str">
        <f t="shared" si="0"/>
        <v/>
      </c>
      <c r="L39" s="90" t="str">
        <f>IF(_epmOfflineCondition_,"455500",_xll.EVPRO($B$1,H39,"JDEID"))</f>
        <v>455500</v>
      </c>
      <c r="M39" s="90" t="str">
        <f>IF(_epmOfflineCondition_,"206065",IF(AND(I39="N",J39="N"),_xll.EVPRO($B$1,H39,"PSFTID"),""))</f>
        <v>206065</v>
      </c>
      <c r="N39" s="90" t="str">
        <f>IF(_epmOfflineCondition_,"Guest Foreign Currency Trans. (Gain/Loss)",IF(_xll.EVDES(H39,$B$1)="#NODATA","",_xll.EVDES(H39,$B$1)))</f>
        <v>Guest Foreign Currency Trans. (Gain/Loss)</v>
      </c>
      <c r="O39" s="445"/>
      <c r="P39" s="251"/>
      <c r="Q39" s="251"/>
      <c r="R39" s="251"/>
      <c r="S39" s="251"/>
      <c r="T39" s="251"/>
      <c r="U39" s="251"/>
      <c r="V39" s="251"/>
      <c r="W39" s="251"/>
      <c r="X39" s="251"/>
      <c r="Y39" s="251"/>
      <c r="Z39" s="251"/>
      <c r="AA39" s="251">
        <f t="shared" si="1"/>
        <v>0</v>
      </c>
      <c r="AB39" s="446" t="str">
        <f t="shared" si="2"/>
        <v/>
      </c>
      <c r="AC39" s="437"/>
      <c r="AD39" s="251"/>
      <c r="AE39" s="446" t="str">
        <f t="shared" si="3"/>
        <v/>
      </c>
      <c r="AF39" s="447">
        <f t="shared" si="4"/>
        <v>0</v>
      </c>
      <c r="AG39" s="251"/>
      <c r="AH39" s="446" t="str">
        <f t="shared" si="5"/>
        <v/>
      </c>
      <c r="AI39" s="448">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06" t="s">
        <v>101</v>
      </c>
      <c r="D40" s="11" t="s">
        <v>106</v>
      </c>
      <c r="E40" s="11"/>
      <c r="F40" s="11" t="s">
        <v>98</v>
      </c>
      <c r="G40" s="11"/>
      <c r="H40" s="88" t="s">
        <v>646</v>
      </c>
      <c r="I40" s="122" t="str">
        <f>IF(_epmOfflineCondition_,"N",_xll.EVPRO($B$1,$H40,"STYLE"))</f>
        <v>N</v>
      </c>
      <c r="J40" s="122" t="str">
        <f>IF(_epmOfflineCondition_,"N",_xll.EVPRO($B$1,$H40,"CALC"))</f>
        <v>N</v>
      </c>
      <c r="K40" s="179" t="str">
        <f t="shared" si="0"/>
        <v/>
      </c>
      <c r="L40" s="90" t="str">
        <f>IF(_epmOfflineCondition_,"455510",_xll.EVPRO($B$1,H40,"JDEID"))</f>
        <v>455510</v>
      </c>
      <c r="M40" s="90" t="str">
        <f>IF(_epmOfflineCondition_,"207065",IF(AND(I40="N",J40="N"),_xll.EVPRO($B$1,H40,"PSFTID"),""))</f>
        <v>207065</v>
      </c>
      <c r="N40" s="90" t="str">
        <f>IF(_epmOfflineCondition_,"Guest Laundry &amp; Dry Cleaning",IF(_xll.EVDES(H40,$B$1)="#NODATA","",_xll.EVDES(H40,$B$1)))</f>
        <v>Guest Laundry &amp; Dry Cleaning</v>
      </c>
      <c r="O40" s="445"/>
      <c r="P40" s="251"/>
      <c r="Q40" s="251"/>
      <c r="R40" s="251"/>
      <c r="S40" s="251"/>
      <c r="T40" s="251"/>
      <c r="U40" s="251"/>
      <c r="V40" s="251"/>
      <c r="W40" s="251"/>
      <c r="X40" s="251"/>
      <c r="Y40" s="251"/>
      <c r="Z40" s="251"/>
      <c r="AA40" s="251">
        <f t="shared" si="1"/>
        <v>0</v>
      </c>
      <c r="AB40" s="446" t="str">
        <f t="shared" si="2"/>
        <v/>
      </c>
      <c r="AC40" s="437"/>
      <c r="AD40" s="251"/>
      <c r="AE40" s="446" t="str">
        <f t="shared" si="3"/>
        <v/>
      </c>
      <c r="AF40" s="447">
        <f t="shared" si="4"/>
        <v>0</v>
      </c>
      <c r="AG40" s="251"/>
      <c r="AH40" s="446" t="str">
        <f t="shared" si="5"/>
        <v/>
      </c>
      <c r="AI40" s="448">
        <f t="shared" si="6"/>
        <v>0</v>
      </c>
      <c r="AJ40" s="440">
        <f t="shared" si="7"/>
        <v>0</v>
      </c>
      <c r="AK40" s="441">
        <f t="shared" si="8"/>
        <v>0</v>
      </c>
      <c r="AL40" s="442">
        <f t="shared" si="9"/>
        <v>0</v>
      </c>
      <c r="AM40" s="443">
        <f t="shared" si="10"/>
        <v>0</v>
      </c>
      <c r="AN40" s="444">
        <f t="shared" si="11"/>
        <v>0</v>
      </c>
      <c r="AO40" s="11"/>
    </row>
    <row r="41" spans="1:41" x14ac:dyDescent="0.35">
      <c r="A41" s="11" t="s">
        <v>108</v>
      </c>
      <c r="B41" s="11"/>
      <c r="C41" s="196" t="s">
        <v>101</v>
      </c>
      <c r="D41" s="11" t="s">
        <v>107</v>
      </c>
      <c r="E41" s="11"/>
      <c r="F41" s="11" t="s">
        <v>99</v>
      </c>
      <c r="G41" s="11"/>
      <c r="H41" s="88" t="s">
        <v>647</v>
      </c>
      <c r="I41" s="122" t="str">
        <f>IF(_epmOfflineCondition_,"N",_xll.EVPRO($B$1,$H41,"STYLE"))</f>
        <v>N</v>
      </c>
      <c r="J41" s="122" t="str">
        <f>IF(_epmOfflineCondition_,"N",_xll.EVPRO($B$1,$H41,"CALC"))</f>
        <v>N</v>
      </c>
      <c r="K41" s="179" t="str">
        <f t="shared" si="0"/>
        <v/>
      </c>
      <c r="L41" s="90" t="str">
        <f>IF(_epmOfflineCondition_,"455550",_xll.EVPRO($B$1,H41,"JDEID"))</f>
        <v>455550</v>
      </c>
      <c r="M41" s="90" t="str">
        <f>IF(_epmOfflineCondition_,"207070",IF(AND(I41="N",J41="N"),_xll.EVPRO($B$1,H41,"PSFTID"),""))</f>
        <v>207070</v>
      </c>
      <c r="N41" s="90" t="str">
        <f>IF(_epmOfflineCondition_,"Interest Income (Unrestricted Accounts)",IF(_xll.EVDES(H41,$B$1)="#NODATA","",_xll.EVDES(H41,$B$1)))</f>
        <v>Interest Income (Unrestricted Accounts)</v>
      </c>
      <c r="O41" s="445"/>
      <c r="P41" s="251"/>
      <c r="Q41" s="251"/>
      <c r="R41" s="251"/>
      <c r="S41" s="251"/>
      <c r="T41" s="251"/>
      <c r="U41" s="251"/>
      <c r="V41" s="251"/>
      <c r="W41" s="251"/>
      <c r="X41" s="251"/>
      <c r="Y41" s="251"/>
      <c r="Z41" s="251"/>
      <c r="AA41" s="251">
        <f t="shared" si="1"/>
        <v>0</v>
      </c>
      <c r="AB41" s="446" t="str">
        <f t="shared" si="2"/>
        <v/>
      </c>
      <c r="AC41" s="437"/>
      <c r="AD41" s="251"/>
      <c r="AE41" s="446" t="str">
        <f t="shared" si="3"/>
        <v/>
      </c>
      <c r="AF41" s="447">
        <f t="shared" si="4"/>
        <v>0</v>
      </c>
      <c r="AG41" s="251"/>
      <c r="AH41" s="446" t="str">
        <f t="shared" si="5"/>
        <v/>
      </c>
      <c r="AI41" s="448">
        <f t="shared" si="6"/>
        <v>0</v>
      </c>
      <c r="AJ41" s="440">
        <f t="shared" si="7"/>
        <v>0</v>
      </c>
      <c r="AK41" s="441">
        <f t="shared" si="8"/>
        <v>0</v>
      </c>
      <c r="AL41" s="442">
        <f t="shared" si="9"/>
        <v>0</v>
      </c>
      <c r="AM41" s="443">
        <f t="shared" si="10"/>
        <v>0</v>
      </c>
      <c r="AN41" s="444">
        <f t="shared" si="11"/>
        <v>0</v>
      </c>
      <c r="AO41" s="11"/>
    </row>
    <row r="42" spans="1:41" x14ac:dyDescent="0.35">
      <c r="A42" s="11"/>
      <c r="B42" s="11"/>
      <c r="C42" s="11"/>
      <c r="D42" s="11"/>
      <c r="E42" s="11"/>
      <c r="F42" s="11"/>
      <c r="G42" s="11"/>
      <c r="H42" s="88" t="s">
        <v>648</v>
      </c>
      <c r="I42" s="122" t="str">
        <f>IF(_epmOfflineCondition_,"N",_xll.EVPRO($B$1,$H42,"STYLE"))</f>
        <v>N</v>
      </c>
      <c r="J42" s="122" t="str">
        <f>IF(_epmOfflineCondition_,"N",_xll.EVPRO($B$1,$H42,"CALC"))</f>
        <v>N</v>
      </c>
      <c r="K42" s="179" t="str">
        <f t="shared" si="0"/>
        <v/>
      </c>
      <c r="L42" s="90" t="str">
        <f>IF(_epmOfflineCondition_,"455560",_xll.EVPRO($B$1,H42,"JDEID"))</f>
        <v>455560</v>
      </c>
      <c r="M42" s="90" t="str">
        <f>IF(_epmOfflineCondition_,"207075",IF(AND(I42="N",J42="N"),_xll.EVPRO($B$1,H42,"PSFTID"),""))</f>
        <v>207075</v>
      </c>
      <c r="N42" s="90" t="str">
        <f>IF(_epmOfflineCondition_,"Net Rev: Renting Mixed Ownership Units",IF(_xll.EVDES(H42,$B$1)="#NODATA","",_xll.EVDES(H42,$B$1)))</f>
        <v>Net Rev: Renting Mixed Ownership Units</v>
      </c>
      <c r="O42" s="445"/>
      <c r="P42" s="251"/>
      <c r="Q42" s="251"/>
      <c r="R42" s="251"/>
      <c r="S42" s="251"/>
      <c r="T42" s="251"/>
      <c r="U42" s="251"/>
      <c r="V42" s="251"/>
      <c r="W42" s="251"/>
      <c r="X42" s="251"/>
      <c r="Y42" s="251"/>
      <c r="Z42" s="251"/>
      <c r="AA42" s="251">
        <f t="shared" si="1"/>
        <v>0</v>
      </c>
      <c r="AB42" s="446" t="str">
        <f t="shared" si="2"/>
        <v/>
      </c>
      <c r="AC42" s="437"/>
      <c r="AD42" s="251"/>
      <c r="AE42" s="446" t="str">
        <f t="shared" si="3"/>
        <v/>
      </c>
      <c r="AF42" s="447">
        <f t="shared" si="4"/>
        <v>0</v>
      </c>
      <c r="AG42" s="251"/>
      <c r="AH42" s="446" t="str">
        <f t="shared" si="5"/>
        <v/>
      </c>
      <c r="AI42" s="448">
        <f t="shared" si="6"/>
        <v>0</v>
      </c>
      <c r="AJ42" s="440">
        <f t="shared" si="7"/>
        <v>0</v>
      </c>
      <c r="AK42" s="441">
        <f t="shared" si="8"/>
        <v>0</v>
      </c>
      <c r="AL42" s="442">
        <f t="shared" si="9"/>
        <v>0</v>
      </c>
      <c r="AM42" s="443">
        <f t="shared" si="10"/>
        <v>0</v>
      </c>
      <c r="AN42" s="444">
        <f t="shared" si="11"/>
        <v>0</v>
      </c>
      <c r="AO42" s="11"/>
    </row>
    <row r="43" spans="1:41" x14ac:dyDescent="0.35">
      <c r="A43" s="11"/>
      <c r="B43" s="11"/>
      <c r="C43" s="11"/>
      <c r="D43" s="11"/>
      <c r="E43" s="11"/>
      <c r="F43" s="11"/>
      <c r="G43" s="11"/>
      <c r="H43" s="88" t="s">
        <v>649</v>
      </c>
      <c r="I43" s="122" t="str">
        <f>IF(_epmOfflineCondition_,"N",_xll.EVPRO($B$1,$H43,"STYLE"))</f>
        <v>N</v>
      </c>
      <c r="J43" s="122" t="str">
        <f>IF(_epmOfflineCondition_,"N",_xll.EVPRO($B$1,$H43,"CALC"))</f>
        <v>N</v>
      </c>
      <c r="K43" s="179" t="str">
        <f t="shared" si="0"/>
        <v/>
      </c>
      <c r="L43" s="90" t="str">
        <f>IF(_epmOfflineCondition_,"455565",_xll.EVPRO($B$1,H43,"JDEID"))</f>
        <v>455565</v>
      </c>
      <c r="M43" s="90" t="str">
        <f>IF(_epmOfflineCondition_,"207080",IF(AND(I43="N",J43="N"),_xll.EVPRO($B$1,H43,"PSFTID"),""))</f>
        <v>207080</v>
      </c>
      <c r="N43" s="90" t="str">
        <f>IF(_epmOfflineCondition_,"Other Breakage",IF(_xll.EVDES(H43,$B$1)="#NODATA","",_xll.EVDES(H43,$B$1)))</f>
        <v>Other Breakage</v>
      </c>
      <c r="O43" s="445"/>
      <c r="P43" s="251"/>
      <c r="Q43" s="251"/>
      <c r="R43" s="251"/>
      <c r="S43" s="251"/>
      <c r="T43" s="251"/>
      <c r="U43" s="251"/>
      <c r="V43" s="251"/>
      <c r="W43" s="251"/>
      <c r="X43" s="251"/>
      <c r="Y43" s="251"/>
      <c r="Z43" s="251"/>
      <c r="AA43" s="251">
        <f t="shared" si="1"/>
        <v>0</v>
      </c>
      <c r="AB43" s="446" t="str">
        <f t="shared" si="2"/>
        <v/>
      </c>
      <c r="AC43" s="437"/>
      <c r="AD43" s="251"/>
      <c r="AE43" s="446" t="str">
        <f t="shared" si="3"/>
        <v/>
      </c>
      <c r="AF43" s="447">
        <f t="shared" si="4"/>
        <v>0</v>
      </c>
      <c r="AG43" s="251"/>
      <c r="AH43" s="446" t="str">
        <f t="shared" si="5"/>
        <v/>
      </c>
      <c r="AI43" s="448">
        <f t="shared" si="6"/>
        <v>0</v>
      </c>
      <c r="AJ43" s="440">
        <f t="shared" si="7"/>
        <v>0</v>
      </c>
      <c r="AK43" s="441">
        <f t="shared" si="8"/>
        <v>0</v>
      </c>
      <c r="AL43" s="442">
        <f t="shared" si="9"/>
        <v>0</v>
      </c>
      <c r="AM43" s="443">
        <f t="shared" si="10"/>
        <v>0</v>
      </c>
      <c r="AN43" s="444">
        <f t="shared" si="11"/>
        <v>0</v>
      </c>
      <c r="AO43" s="11"/>
    </row>
    <row r="44" spans="1:41" x14ac:dyDescent="0.35">
      <c r="A44" s="62" t="s">
        <v>23</v>
      </c>
      <c r="B44" s="63" t="s">
        <v>24</v>
      </c>
      <c r="C44" s="11"/>
      <c r="D44" s="11"/>
      <c r="E44" s="11"/>
      <c r="F44" s="11"/>
      <c r="G44" s="11"/>
      <c r="H44" s="88" t="s">
        <v>650</v>
      </c>
      <c r="I44" s="122" t="str">
        <f>IF(_epmOfflineCondition_,"N",_xll.EVPRO($B$1,$H44,"STYLE"))</f>
        <v>N</v>
      </c>
      <c r="J44" s="122" t="str">
        <f>IF(_epmOfflineCondition_,"N",_xll.EVPRO($B$1,$H44,"CALC"))</f>
        <v>N</v>
      </c>
      <c r="K44" s="179" t="str">
        <f t="shared" si="0"/>
        <v/>
      </c>
      <c r="L44" s="90" t="str">
        <f>IF(_epmOfflineCondition_,"455570",_xll.EVPRO($B$1,H44,"JDEID"))</f>
        <v>455570</v>
      </c>
      <c r="M44" s="90" t="str">
        <f>IF(_epmOfflineCondition_,"NA",IF(AND(I44="N",J44="N"),_xll.EVPRO($B$1,H44,"PSFTID"),""))</f>
        <v>NA</v>
      </c>
      <c r="N44" s="90" t="str">
        <f>IF(_epmOfflineCondition_,"Interest Income - FF&amp;E Reserves",IF(_xll.EVDES(H44,$B$1)="#NODATA","",_xll.EVDES(H44,$B$1)))</f>
        <v>Interest Income - FF&amp;E Reserves</v>
      </c>
      <c r="O44" s="445"/>
      <c r="P44" s="251"/>
      <c r="Q44" s="251"/>
      <c r="R44" s="251"/>
      <c r="S44" s="251"/>
      <c r="T44" s="251"/>
      <c r="U44" s="251"/>
      <c r="V44" s="251"/>
      <c r="W44" s="251"/>
      <c r="X44" s="251"/>
      <c r="Y44" s="251"/>
      <c r="Z44" s="251"/>
      <c r="AA44" s="251">
        <f t="shared" si="1"/>
        <v>0</v>
      </c>
      <c r="AB44" s="446" t="str">
        <f t="shared" si="2"/>
        <v/>
      </c>
      <c r="AC44" s="437"/>
      <c r="AD44" s="251"/>
      <c r="AE44" s="446" t="str">
        <f t="shared" si="3"/>
        <v/>
      </c>
      <c r="AF44" s="447">
        <f t="shared" si="4"/>
        <v>0</v>
      </c>
      <c r="AG44" s="251"/>
      <c r="AH44" s="446" t="str">
        <f t="shared" si="5"/>
        <v/>
      </c>
      <c r="AI44" s="448">
        <f t="shared" si="6"/>
        <v>0</v>
      </c>
      <c r="AJ44" s="440">
        <f t="shared" si="7"/>
        <v>0</v>
      </c>
      <c r="AK44" s="441">
        <f t="shared" si="8"/>
        <v>0</v>
      </c>
      <c r="AL44" s="442">
        <f t="shared" si="9"/>
        <v>0</v>
      </c>
      <c r="AM44" s="443">
        <f t="shared" si="10"/>
        <v>0</v>
      </c>
      <c r="AN44" s="444">
        <f t="shared" si="11"/>
        <v>0</v>
      </c>
      <c r="AO44" s="11"/>
    </row>
    <row r="45" spans="1:41" ht="14.25" customHeight="1" x14ac:dyDescent="0.35">
      <c r="A45" s="65" t="s">
        <v>25</v>
      </c>
      <c r="B45" s="66"/>
      <c r="C45" s="11"/>
      <c r="D45" s="11"/>
      <c r="E45" s="11"/>
      <c r="F45" s="11"/>
      <c r="G45" s="11"/>
      <c r="H45" s="88" t="s">
        <v>651</v>
      </c>
      <c r="I45" s="122" t="str">
        <f>IF(_epmOfflineCondition_,"T5",_xll.EVPRO($B$1,$H45,"STYLE"))</f>
        <v>T5</v>
      </c>
      <c r="J45" s="122" t="str">
        <f>IF(_epmOfflineCondition_,"Y",_xll.EVPRO($B$1,$H45,"CALC"))</f>
        <v>Y</v>
      </c>
      <c r="K45" s="179" t="str">
        <f t="shared" si="0"/>
        <v>&gt;</v>
      </c>
      <c r="L45" s="90" t="str">
        <f>IF(_epmOfflineCondition_,"455575",_xll.EVPRO($B$1,H45,"JDEID"))</f>
        <v>455575</v>
      </c>
      <c r="M45" s="90" t="str">
        <f>IF(_epmOfflineCondition_,"",IF(AND(I45="N",J45="N"),_xll.EVPRO($B$1,H45,"PSFTID"),""))</f>
        <v/>
      </c>
      <c r="N45" s="90" t="str">
        <f>IF(_epmOfflineCondition_,"Package Breakage",IF(_xll.EVDES(H45,$B$1)="#NODATA","",_xll.EVDES(H45,$B$1)))</f>
        <v>Package Breakage</v>
      </c>
      <c r="O45" s="445">
        <v>246.35</v>
      </c>
      <c r="P45" s="251">
        <v>471.05</v>
      </c>
      <c r="Q45" s="251">
        <v>281.43</v>
      </c>
      <c r="R45" s="251"/>
      <c r="S45" s="251"/>
      <c r="T45" s="251">
        <v>979.65</v>
      </c>
      <c r="U45" s="251">
        <v>108.61</v>
      </c>
      <c r="V45" s="251">
        <v>93.01</v>
      </c>
      <c r="W45" s="251">
        <v>37.340000000000003</v>
      </c>
      <c r="X45" s="251"/>
      <c r="Y45" s="251">
        <v>-258</v>
      </c>
      <c r="Z45" s="251">
        <v>28.49</v>
      </c>
      <c r="AA45" s="251">
        <f t="shared" si="1"/>
        <v>1987.9300000000005</v>
      </c>
      <c r="AB45" s="446">
        <f t="shared" si="2"/>
        <v>4.2911996656718283E-3</v>
      </c>
      <c r="AC45" s="437"/>
      <c r="AD45" s="251">
        <v>6042.0000000004002</v>
      </c>
      <c r="AE45" s="446">
        <f t="shared" si="3"/>
        <v>6.9511477974948527E-3</v>
      </c>
      <c r="AF45" s="447">
        <f t="shared" si="4"/>
        <v>-4054.0700000003999</v>
      </c>
      <c r="AG45" s="251">
        <v>6208.24</v>
      </c>
      <c r="AH45" s="446">
        <f t="shared" si="5"/>
        <v>8.0375681713626135E-3</v>
      </c>
      <c r="AI45" s="448">
        <f t="shared" si="6"/>
        <v>-4220.3099999999995</v>
      </c>
      <c r="AJ45" s="440">
        <f t="shared" si="7"/>
        <v>9.9148628428927701E-2</v>
      </c>
      <c r="AK45" s="441">
        <f t="shared" si="8"/>
        <v>0.15986241566345813</v>
      </c>
      <c r="AL45" s="442">
        <f t="shared" si="9"/>
        <v>0.18880360075421201</v>
      </c>
      <c r="AM45" s="443" t="str">
        <f t="shared" si="10"/>
        <v>-0.27 pts.</v>
      </c>
      <c r="AN45" s="444" t="str">
        <f t="shared" si="11"/>
        <v>-0.37 pts.</v>
      </c>
      <c r="AO45" s="11"/>
    </row>
    <row r="46" spans="1:41" x14ac:dyDescent="0.35">
      <c r="A46" s="65" t="s">
        <v>26</v>
      </c>
      <c r="B46" s="66"/>
      <c r="C46" s="11"/>
      <c r="D46" s="11"/>
      <c r="E46" s="11"/>
      <c r="F46" s="11"/>
      <c r="G46" s="11"/>
      <c r="H46" s="88" t="s">
        <v>652</v>
      </c>
      <c r="I46" s="122" t="str">
        <f>IF(_epmOfflineCondition_,"N",_xll.EVPRO($B$1,$H46,"STYLE"))</f>
        <v>N</v>
      </c>
      <c r="J46" s="122" t="str">
        <f>IF(_epmOfflineCondition_,"N",_xll.EVPRO($B$1,$H46,"CALC"))</f>
        <v>N</v>
      </c>
      <c r="K46" s="179" t="str">
        <f t="shared" si="0"/>
        <v/>
      </c>
      <c r="L46" s="90" t="str">
        <f>IF(_epmOfflineCondition_,"455580",_xll.EVPRO($B$1,H46,"JDEID"))</f>
        <v>455580</v>
      </c>
      <c r="M46" s="90" t="str">
        <f>IF(_epmOfflineCondition_,"207095",IF(AND(I46="N",J46="N"),_xll.EVPRO($B$1,H46,"PSFTID"),""))</f>
        <v>207095</v>
      </c>
      <c r="N46" s="90" t="str">
        <f>IF(_epmOfflineCondition_,"Resort Fees",IF(_xll.EVDES(H46,$B$1)="#NODATA","",_xll.EVDES(H46,$B$1)))</f>
        <v>Resort Fees</v>
      </c>
      <c r="O46" s="445">
        <v>72464.31</v>
      </c>
      <c r="P46" s="251">
        <v>62572.62</v>
      </c>
      <c r="Q46" s="251">
        <v>37752.07</v>
      </c>
      <c r="R46" s="251">
        <v>374.21</v>
      </c>
      <c r="S46" s="251">
        <v>-510</v>
      </c>
      <c r="T46" s="251">
        <v>7683.75</v>
      </c>
      <c r="U46" s="251">
        <v>7613.33</v>
      </c>
      <c r="V46" s="251">
        <v>25361.97</v>
      </c>
      <c r="W46" s="251">
        <v>42547.02</v>
      </c>
      <c r="X46" s="251">
        <v>49914.92</v>
      </c>
      <c r="Y46" s="251">
        <v>47983.8</v>
      </c>
      <c r="Z46" s="251">
        <v>63408.18</v>
      </c>
      <c r="AA46" s="251">
        <f t="shared" si="1"/>
        <v>417166.17999999993</v>
      </c>
      <c r="AB46" s="446">
        <f t="shared" si="2"/>
        <v>0.90050624123867185</v>
      </c>
      <c r="AC46" s="437"/>
      <c r="AD46" s="251">
        <v>810308</v>
      </c>
      <c r="AE46" s="446">
        <f t="shared" si="3"/>
        <v>0.93223612537108347</v>
      </c>
      <c r="AF46" s="447">
        <f t="shared" si="4"/>
        <v>-393141.82000000007</v>
      </c>
      <c r="AG46" s="251">
        <v>717285.33</v>
      </c>
      <c r="AH46" s="446">
        <f t="shared" si="5"/>
        <v>0.92864156962252253</v>
      </c>
      <c r="AI46" s="448">
        <f t="shared" si="6"/>
        <v>-300119.15000000002</v>
      </c>
      <c r="AJ46" s="440">
        <f t="shared" si="7"/>
        <v>20.806293266832913</v>
      </c>
      <c r="AK46" s="441">
        <f t="shared" si="8"/>
        <v>21.439555496758832</v>
      </c>
      <c r="AL46" s="442">
        <f t="shared" si="9"/>
        <v>21.813920381971897</v>
      </c>
      <c r="AM46" s="443" t="str">
        <f t="shared" si="10"/>
        <v>-3.17 pts.</v>
      </c>
      <c r="AN46" s="444" t="str">
        <f t="shared" si="11"/>
        <v>-2.81 pts.</v>
      </c>
      <c r="AO46" s="11"/>
    </row>
    <row r="47" spans="1:41" x14ac:dyDescent="0.35">
      <c r="A47" s="65" t="s">
        <v>27</v>
      </c>
      <c r="B47" s="66"/>
      <c r="C47" s="11"/>
      <c r="D47" s="11"/>
      <c r="E47" s="11"/>
      <c r="F47" s="11"/>
      <c r="G47" s="11"/>
      <c r="H47" s="88" t="s">
        <v>653</v>
      </c>
      <c r="I47" s="122" t="str">
        <f>IF(_epmOfflineCondition_,"N",_xll.EVPRO($B$1,$H47,"STYLE"))</f>
        <v>N</v>
      </c>
      <c r="J47" s="122" t="str">
        <f>IF(_epmOfflineCondition_,"N",_xll.EVPRO($B$1,$H47,"CALC"))</f>
        <v>N</v>
      </c>
      <c r="K47" s="179" t="str">
        <f t="shared" si="0"/>
        <v/>
      </c>
      <c r="L47" s="90" t="str">
        <f>IF(_epmOfflineCondition_,"455600",_xll.EVPRO($B$1,H47,"JDEID"))</f>
        <v>455600</v>
      </c>
      <c r="M47" s="90" t="str">
        <f>IF(_epmOfflineCondition_,"290040",IF(AND(I47="N",J47="N"),_xll.EVPRO($B$1,H47,"PSFTID"),""))</f>
        <v>290040</v>
      </c>
      <c r="N47" s="90" t="str">
        <f>IF(_epmOfflineCondition_,"Proceeds from Business Interruption",IF(_xll.EVDES(H47,$B$1)="#NODATA","",_xll.EVDES(H47,$B$1)))</f>
        <v>Proceeds from Business Interruption</v>
      </c>
      <c r="O47" s="445"/>
      <c r="P47" s="251"/>
      <c r="Q47" s="251"/>
      <c r="R47" s="251"/>
      <c r="S47" s="251"/>
      <c r="T47" s="251"/>
      <c r="U47" s="251"/>
      <c r="V47" s="251"/>
      <c r="W47" s="251"/>
      <c r="X47" s="251"/>
      <c r="Y47" s="251"/>
      <c r="Z47" s="251"/>
      <c r="AA47" s="251">
        <f t="shared" si="1"/>
        <v>0</v>
      </c>
      <c r="AB47" s="446" t="str">
        <f t="shared" si="2"/>
        <v/>
      </c>
      <c r="AC47" s="437"/>
      <c r="AD47" s="251"/>
      <c r="AE47" s="446" t="str">
        <f t="shared" si="3"/>
        <v/>
      </c>
      <c r="AF47" s="447">
        <f t="shared" si="4"/>
        <v>0</v>
      </c>
      <c r="AG47" s="251"/>
      <c r="AH47" s="446" t="str">
        <f t="shared" si="5"/>
        <v/>
      </c>
      <c r="AI47" s="448">
        <f t="shared" si="6"/>
        <v>0</v>
      </c>
      <c r="AJ47" s="440">
        <f t="shared" si="7"/>
        <v>0</v>
      </c>
      <c r="AK47" s="441">
        <f t="shared" si="8"/>
        <v>0</v>
      </c>
      <c r="AL47" s="442">
        <f t="shared" si="9"/>
        <v>0</v>
      </c>
      <c r="AM47" s="443">
        <f t="shared" si="10"/>
        <v>0</v>
      </c>
      <c r="AN47" s="444">
        <f t="shared" si="11"/>
        <v>0</v>
      </c>
      <c r="AO47" s="11"/>
    </row>
    <row r="48" spans="1:41" x14ac:dyDescent="0.35">
      <c r="A48" s="65" t="s">
        <v>28</v>
      </c>
      <c r="B48" s="66"/>
      <c r="C48" s="11"/>
      <c r="D48" s="11"/>
      <c r="E48" s="11"/>
      <c r="F48" s="11"/>
      <c r="G48" s="11"/>
      <c r="H48" s="88" t="s">
        <v>654</v>
      </c>
      <c r="I48" s="122" t="str">
        <f>IF(_epmOfflineCondition_,"N",_xll.EVPRO($B$1,$H48,"STYLE"))</f>
        <v>N</v>
      </c>
      <c r="J48" s="122" t="str">
        <f>IF(_epmOfflineCondition_,"N",_xll.EVPRO($B$1,$H48,"CALC"))</f>
        <v>N</v>
      </c>
      <c r="K48" s="179" t="str">
        <f t="shared" si="0"/>
        <v/>
      </c>
      <c r="L48" s="90" t="str">
        <f>IF(_epmOfflineCondition_,"455610",_xll.EVPRO($B$1,H48,"JDEID"))</f>
        <v>455610</v>
      </c>
      <c r="M48" s="90" t="str">
        <f>IF(_epmOfflineCondition_,"NA",IF(AND(I48="N",J48="N"),_xll.EVPRO($B$1,H48,"PSFTID"),""))</f>
        <v>NA</v>
      </c>
      <c r="N48" s="90" t="str">
        <f>IF(_epmOfflineCondition_,"Shared Facilities &amp; Services Revenue",IF(_xll.EVDES(H48,$B$1)="#NODATA","",_xll.EVDES(H48,$B$1)))</f>
        <v>Shared Facilities &amp; Services Revenue</v>
      </c>
      <c r="O48" s="445"/>
      <c r="P48" s="251"/>
      <c r="Q48" s="251"/>
      <c r="R48" s="251"/>
      <c r="S48" s="251"/>
      <c r="T48" s="251"/>
      <c r="U48" s="251"/>
      <c r="V48" s="251"/>
      <c r="W48" s="251"/>
      <c r="X48" s="251"/>
      <c r="Y48" s="251"/>
      <c r="Z48" s="251"/>
      <c r="AA48" s="251">
        <f t="shared" si="1"/>
        <v>0</v>
      </c>
      <c r="AB48" s="446" t="str">
        <f t="shared" si="2"/>
        <v/>
      </c>
      <c r="AC48" s="437"/>
      <c r="AD48" s="251"/>
      <c r="AE48" s="446" t="str">
        <f t="shared" si="3"/>
        <v/>
      </c>
      <c r="AF48" s="447">
        <f t="shared" si="4"/>
        <v>0</v>
      </c>
      <c r="AG48" s="251"/>
      <c r="AH48" s="446" t="str">
        <f t="shared" si="5"/>
        <v/>
      </c>
      <c r="AI48" s="448">
        <f t="shared" si="6"/>
        <v>0</v>
      </c>
      <c r="AJ48" s="440">
        <f t="shared" si="7"/>
        <v>0</v>
      </c>
      <c r="AK48" s="441">
        <f t="shared" si="8"/>
        <v>0</v>
      </c>
      <c r="AL48" s="442">
        <f t="shared" si="9"/>
        <v>0</v>
      </c>
      <c r="AM48" s="443">
        <f t="shared" si="10"/>
        <v>0</v>
      </c>
      <c r="AN48" s="444">
        <f t="shared" si="11"/>
        <v>0</v>
      </c>
      <c r="AO48" s="11"/>
    </row>
    <row r="49" spans="1:41" x14ac:dyDescent="0.35">
      <c r="A49" s="65" t="s">
        <v>29</v>
      </c>
      <c r="B49" s="66"/>
      <c r="C49" s="11"/>
      <c r="D49" s="11"/>
      <c r="E49" s="11"/>
      <c r="F49" s="11"/>
      <c r="G49" s="11"/>
      <c r="H49" s="88" t="s">
        <v>655</v>
      </c>
      <c r="I49" s="122" t="str">
        <f>IF(_epmOfflineCondition_,"N",_xll.EVPRO($B$1,$H49,"STYLE"))</f>
        <v>N</v>
      </c>
      <c r="J49" s="122" t="str">
        <f>IF(_epmOfflineCondition_,"N",_xll.EVPRO($B$1,$H49,"CALC"))</f>
        <v>N</v>
      </c>
      <c r="K49" s="179" t="str">
        <f t="shared" si="0"/>
        <v/>
      </c>
      <c r="L49" s="90" t="str">
        <f>IF(_epmOfflineCondition_,"455650",_xll.EVPRO($B$1,H49,"JDEID"))</f>
        <v>455650</v>
      </c>
      <c r="M49" s="90" t="str">
        <f>IF(_epmOfflineCondition_,"290098",IF(AND(I49="N",J49="N"),_xll.EVPRO($B$1,H49,"PSFTID"),""))</f>
        <v>290098</v>
      </c>
      <c r="N49" s="90" t="str">
        <f>IF(_epmOfflineCondition_,"Other",IF(_xll.EVDES(H49,$B$1)="#NODATA","",_xll.EVDES(H49,$B$1)))</f>
        <v>Other</v>
      </c>
      <c r="O49" s="445"/>
      <c r="P49" s="251"/>
      <c r="Q49" s="251"/>
      <c r="R49" s="251"/>
      <c r="S49" s="251"/>
      <c r="T49" s="251"/>
      <c r="U49" s="251"/>
      <c r="V49" s="251"/>
      <c r="W49" s="251"/>
      <c r="X49" s="251"/>
      <c r="Y49" s="251"/>
      <c r="Z49" s="251"/>
      <c r="AA49" s="251">
        <f t="shared" si="1"/>
        <v>0</v>
      </c>
      <c r="AB49" s="446" t="str">
        <f t="shared" si="2"/>
        <v/>
      </c>
      <c r="AC49" s="437"/>
      <c r="AD49" s="251"/>
      <c r="AE49" s="446" t="str">
        <f t="shared" si="3"/>
        <v/>
      </c>
      <c r="AF49" s="447">
        <f t="shared" si="4"/>
        <v>0</v>
      </c>
      <c r="AG49" s="251"/>
      <c r="AH49" s="446" t="str">
        <f t="shared" si="5"/>
        <v/>
      </c>
      <c r="AI49" s="448">
        <f t="shared" si="6"/>
        <v>0</v>
      </c>
      <c r="AJ49" s="449">
        <f t="shared" si="7"/>
        <v>0</v>
      </c>
      <c r="AK49" s="450">
        <f t="shared" si="8"/>
        <v>0</v>
      </c>
      <c r="AL49" s="451">
        <f t="shared" si="9"/>
        <v>0</v>
      </c>
      <c r="AM49" s="452">
        <f t="shared" si="10"/>
        <v>0</v>
      </c>
      <c r="AN49" s="453">
        <f t="shared" si="11"/>
        <v>0</v>
      </c>
      <c r="AO49" s="11"/>
    </row>
    <row r="50" spans="1:41" x14ac:dyDescent="0.35">
      <c r="A50" s="65" t="s">
        <v>30</v>
      </c>
      <c r="B50" s="66" t="s">
        <v>78</v>
      </c>
      <c r="C50" s="11"/>
      <c r="D50" s="11"/>
      <c r="E50" s="11"/>
      <c r="F50" s="11"/>
      <c r="G50" s="11"/>
      <c r="H50" s="88" t="s">
        <v>280</v>
      </c>
      <c r="I50" s="188" t="str">
        <f>IF(_epmOfflineCondition_,"T3",_xll.EVPRO($B$1,$H50,"STYLE"))</f>
        <v>T3</v>
      </c>
      <c r="J50" s="188" t="str">
        <f>IF(_epmOfflineCondition_,"Y",_xll.EVPRO($B$1,$H50,"CALC"))</f>
        <v>Y</v>
      </c>
      <c r="K50" s="189" t="str">
        <f t="shared" si="0"/>
        <v/>
      </c>
      <c r="L50" s="190" t="str">
        <f>IF(_epmOfflineCondition_,"400000",_xll.EVPRO($B$1,H50,"JDEID"))</f>
        <v>400000</v>
      </c>
      <c r="M50" s="190" t="str">
        <f>IF(_epmOfflineCondition_,"",IF(AND(I50="N",J50="N"),_xll.EVPRO($B$1,H50,"PSFTID"),""))</f>
        <v/>
      </c>
      <c r="N50" s="190" t="str">
        <f>IF(_epmOfflineCondition_,"Total Revenue",IF(_xll.EVDES(H50,$B$1)="#NODATA","",_xll.EVDES(H50,$B$1)))</f>
        <v>Total Revenue</v>
      </c>
      <c r="O50" s="454">
        <v>73882.67</v>
      </c>
      <c r="P50" s="225">
        <v>64589.75</v>
      </c>
      <c r="Q50" s="225">
        <v>69741.899999999994</v>
      </c>
      <c r="R50" s="225">
        <v>2109.7800000000002</v>
      </c>
      <c r="S50" s="225">
        <v>-510</v>
      </c>
      <c r="T50" s="225">
        <v>10468.26</v>
      </c>
      <c r="U50" s="225">
        <v>8161.45</v>
      </c>
      <c r="V50" s="225">
        <v>25861.61</v>
      </c>
      <c r="W50" s="225">
        <v>43949.85</v>
      </c>
      <c r="X50" s="225">
        <v>51275.02</v>
      </c>
      <c r="Y50" s="225">
        <v>48855.08</v>
      </c>
      <c r="Z50" s="225">
        <v>64872.03</v>
      </c>
      <c r="AA50" s="225">
        <f t="shared" si="1"/>
        <v>463257.4</v>
      </c>
      <c r="AB50" s="226">
        <f t="shared" si="2"/>
        <v>1</v>
      </c>
      <c r="AC50" s="227"/>
      <c r="AD50" s="225">
        <v>869208.96750000003</v>
      </c>
      <c r="AE50" s="226">
        <f t="shared" si="3"/>
        <v>1</v>
      </c>
      <c r="AF50" s="228">
        <f t="shared" si="4"/>
        <v>-405951.5675</v>
      </c>
      <c r="AG50" s="225">
        <v>772402.78</v>
      </c>
      <c r="AH50" s="226">
        <f t="shared" si="5"/>
        <v>1</v>
      </c>
      <c r="AI50" s="455">
        <f t="shared" si="6"/>
        <v>-309145.38</v>
      </c>
      <c r="AJ50" s="229">
        <f t="shared" si="7"/>
        <v>23.105107231920201</v>
      </c>
      <c r="AK50" s="230">
        <f t="shared" si="8"/>
        <v>22.997988292102132</v>
      </c>
      <c r="AL50" s="232">
        <f t="shared" si="9"/>
        <v>23.490139894167022</v>
      </c>
      <c r="AM50" s="427" t="str">
        <f t="shared" si="10"/>
        <v>0 pts.</v>
      </c>
      <c r="AN50" s="456" t="str">
        <f t="shared" si="11"/>
        <v>0 pts.</v>
      </c>
      <c r="AO50" s="11"/>
    </row>
    <row r="51" spans="1:41" x14ac:dyDescent="0.35">
      <c r="A51" s="65" t="s">
        <v>31</v>
      </c>
      <c r="B51" s="66" t="s">
        <v>78</v>
      </c>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ht="15" thickBot="1" x14ac:dyDescent="0.4">
      <c r="A52" s="65" t="s">
        <v>32</v>
      </c>
      <c r="B52" s="66"/>
      <c r="C52" s="11"/>
      <c r="D52" s="11"/>
      <c r="E52" s="11"/>
      <c r="F52" s="11"/>
      <c r="G52" s="11"/>
      <c r="H52" s="88" t="s">
        <v>81</v>
      </c>
      <c r="I52" s="136" t="str">
        <f>IF(_epmOfflineCondition_,"T3",_xll.EVPRO($B$1,$H52,"STYLE"))</f>
        <v>T3</v>
      </c>
      <c r="J52" s="136" t="str">
        <f>IF(_epmOfflineCondition_,"Y",_xll.EVPRO($B$1,$H52,"CALC"))</f>
        <v>Y</v>
      </c>
      <c r="K52" s="106"/>
      <c r="L52" s="106"/>
      <c r="M52" s="106"/>
      <c r="N52" s="106" t="str">
        <f>IF(_epmOfflineCondition_,"Department Profit (Loss)",IF(_xll.EVDES(H52,$B$1)="#NODATA","",_xll.EVDES(H52,$B$1)))</f>
        <v>Department Profit (Loss)</v>
      </c>
      <c r="O52" s="126">
        <f>IF(_epmOfflineCondition_,73882.67,_xll.EVGTS($B$1,1,$B$3,$B$5,$B$7,$B$9,O$16,O$17,O$18,$B$6,$H52))</f>
        <v>73882.67</v>
      </c>
      <c r="P52" s="126">
        <f>IF(_epmOfflineCondition_,64589.75,_xll.EVGTS($B$1,1,$B$3,$B$5,$B$7,$B$9,P$16,P$17,P$18,$B$6,$H52))</f>
        <v>64589.75</v>
      </c>
      <c r="Q52" s="126">
        <f>IF(_epmOfflineCondition_,69741.9,_xll.EVGTS($B$1,1,$B$3,$B$5,$B$7,$B$9,Q$16,Q$17,Q$18,$B$6,$H52))</f>
        <v>69741.899999999994</v>
      </c>
      <c r="R52" s="126">
        <f>IF(_epmOfflineCondition_,2109.78,_xll.EVGTS($B$1,1,$B$3,$B$5,$B$7,$B$9,R$16,R$17,R$18,$B$6,$H52))</f>
        <v>2109.7800000000002</v>
      </c>
      <c r="S52" s="126">
        <f>IF(_epmOfflineCondition_,-510,_xll.EVGTS($B$1,1,$B$3,$B$5,$B$7,$B$9,S$16,S$17,S$18,$B$6,$H52))</f>
        <v>-510</v>
      </c>
      <c r="T52" s="126">
        <f>IF(_epmOfflineCondition_,10468.26,_xll.EVGTS($B$1,1,$B$3,$B$5,$B$7,$B$9,T$16,T$17,T$18,$B$6,$H52))</f>
        <v>10468.26</v>
      </c>
      <c r="U52" s="126">
        <f>IF(_epmOfflineCondition_,8161.45,_xll.EVGTS($B$1,1,$B$3,$B$5,$B$7,$B$9,U$16,U$17,U$18,$B$6,$H52))</f>
        <v>8161.45</v>
      </c>
      <c r="V52" s="126">
        <f>IF(_epmOfflineCondition_,25861.61,_xll.EVGTS($B$1,1,$B$3,$B$5,$B$7,$B$9,V$16,V$17,V$18,$B$6,$H52))</f>
        <v>25861.61</v>
      </c>
      <c r="W52" s="126">
        <f>IF(_epmOfflineCondition_,43949.85,_xll.EVGTS($B$1,1,$B$3,$B$5,$B$7,$B$9,W$16,W$17,W$18,$B$6,$H52))</f>
        <v>43949.85</v>
      </c>
      <c r="X52" s="126">
        <f>IF(_epmOfflineCondition_,51275.02,_xll.EVGTS($B$1,1,$B$3,$B$5,$B$7,$B$9,X$16,X$17,X$18,$B$6,$H52))</f>
        <v>51275.02</v>
      </c>
      <c r="Y52" s="126">
        <f>IF(_epmOfflineCondition_,48855.08,_xll.EVGTS($B$1,1,$B$3,$B$5,$B$7,$B$9,Y$16,Y$17,Y$18,$B$6,$H52))</f>
        <v>48855.08</v>
      </c>
      <c r="Z52" s="126">
        <f>IF(_epmOfflineCondition_,64872.03,_xll.EVGTS($B$1,1,$B$3,$B$5,$B$7,$B$9,Z$16,Z$17,Z$18,$B$6,$H52))</f>
        <v>64872.03</v>
      </c>
      <c r="AA52" s="126">
        <f>IF($I52="B1","",SUM(O52:Z52))</f>
        <v>463257.4</v>
      </c>
      <c r="AB52" s="127">
        <f>IF(AA52=0,"",IFERROR(AA52/AA$19,""))</f>
        <v>1</v>
      </c>
      <c r="AC52" s="11"/>
      <c r="AD52" s="126">
        <f>IF(_epmOfflineCondition_,869208.9675,_xll.EVGTS($B$1,1,$B$3,$B$5,$B$7,$B$9,AD$16,AD$17,AD$18,$B$6,$H52))</f>
        <v>869208.96750000003</v>
      </c>
      <c r="AE52" s="127">
        <f>IF(AD52=0,"",IFERROR(AD52/AD$19,""))</f>
        <v>1</v>
      </c>
      <c r="AF52" s="128">
        <f>IF(AND($AA52="",AD52=""),"",$AA52-AD52)</f>
        <v>-405951.5675</v>
      </c>
      <c r="AG52" s="126">
        <f>IF(_epmOfflineCondition_,772402.78,_xll.EVGTS($B$1,1,$B$3,$B$5,$B$7,$B$9,AG$16,AG$17,AG$18,$B$6,$H52))</f>
        <v>772402.78</v>
      </c>
      <c r="AH52" s="127">
        <f>IF(AG52=0,"",IFERROR(AG52/AG$19,""))</f>
        <v>1</v>
      </c>
      <c r="AI52" s="128">
        <f>IF(AND($AA52="",AG52=""),"",$AA52-AG52)</f>
        <v>-309145.38</v>
      </c>
      <c r="AJ52" s="419">
        <f>IFERROR(AA52/AA$20,0)</f>
        <v>23.105107231920201</v>
      </c>
      <c r="AK52" s="420">
        <f>IFERROR(AD52/AD$20,0)</f>
        <v>22.997988292102132</v>
      </c>
      <c r="AL52" s="421">
        <f>IFERROR(AG52/AG$20,0)</f>
        <v>23.490139894167022</v>
      </c>
      <c r="AM52" s="422" t="str">
        <f>+IFERROR(ROUND(($AB52-AE52)*100,2)&amp;" pts.",0)</f>
        <v>0 pts.</v>
      </c>
      <c r="AN52" s="545" t="str">
        <f>+IFERROR(ROUND(($AB52-AH52)*100,2)&amp;" pts.",0)</f>
        <v>0 pts.</v>
      </c>
      <c r="AO52" s="11"/>
    </row>
    <row r="53" spans="1:41" ht="15" thickTop="1" x14ac:dyDescent="0.35">
      <c r="A53" s="65" t="s">
        <v>33</v>
      </c>
      <c r="B53" s="66"/>
      <c r="C53" s="11"/>
      <c r="D53" s="11"/>
      <c r="E53" s="11"/>
      <c r="F53" s="11"/>
      <c r="G53" s="11"/>
      <c r="H53" s="11"/>
      <c r="I53" s="59"/>
      <c r="J53" s="59"/>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34</v>
      </c>
      <c r="B54" s="66"/>
      <c r="C54" s="11"/>
      <c r="D54" s="11"/>
      <c r="E54" s="11"/>
      <c r="F54" s="11"/>
      <c r="G54" s="11"/>
      <c r="H54" s="11"/>
      <c r="I54" s="59"/>
      <c r="J54" s="59"/>
      <c r="K54" s="11"/>
      <c r="L54" s="11"/>
      <c r="M54" s="11"/>
      <c r="N54" s="104" t="str">
        <f>N52&amp;" - Check"</f>
        <v>Department Profit (Loss) - Check</v>
      </c>
      <c r="O54" s="209">
        <f t="shared" ref="O54:AA54" si="12">SUMIF($H$34:$H$50,"400000",O$34:O$50)-O52</f>
        <v>0</v>
      </c>
      <c r="P54" s="209">
        <f t="shared" si="12"/>
        <v>0</v>
      </c>
      <c r="Q54" s="209">
        <f t="shared" si="12"/>
        <v>0</v>
      </c>
      <c r="R54" s="209">
        <f t="shared" si="12"/>
        <v>0</v>
      </c>
      <c r="S54" s="209">
        <f t="shared" si="12"/>
        <v>0</v>
      </c>
      <c r="T54" s="209">
        <f t="shared" si="12"/>
        <v>0</v>
      </c>
      <c r="U54" s="209">
        <f t="shared" si="12"/>
        <v>0</v>
      </c>
      <c r="V54" s="209">
        <f t="shared" si="12"/>
        <v>0</v>
      </c>
      <c r="W54" s="209">
        <f t="shared" si="12"/>
        <v>0</v>
      </c>
      <c r="X54" s="209">
        <f t="shared" si="12"/>
        <v>0</v>
      </c>
      <c r="Y54" s="209">
        <f t="shared" si="12"/>
        <v>0</v>
      </c>
      <c r="Z54" s="209">
        <f t="shared" si="12"/>
        <v>0</v>
      </c>
      <c r="AA54" s="209">
        <f t="shared" si="12"/>
        <v>0</v>
      </c>
      <c r="AB54" s="100"/>
      <c r="AC54" s="11"/>
      <c r="AD54" s="209">
        <f>SUMIF($H$34:$H$50,"400000",AD$34:AD$50)-AD52</f>
        <v>0</v>
      </c>
      <c r="AE54" s="209"/>
      <c r="AF54" s="91"/>
      <c r="AG54" s="209">
        <f>SUMIF($H$34:$H$50,"400000",AG$34:AG$50)-AG52</f>
        <v>0</v>
      </c>
      <c r="AH54" s="100"/>
      <c r="AI54" s="91"/>
      <c r="AJ54" s="11"/>
      <c r="AK54" s="11"/>
      <c r="AL54" s="11"/>
      <c r="AM54" s="11"/>
      <c r="AN54" s="11"/>
      <c r="AO54" s="11"/>
    </row>
    <row r="55" spans="1:41" x14ac:dyDescent="0.35">
      <c r="A55" s="65" t="s">
        <v>35</v>
      </c>
      <c r="B55" s="66"/>
      <c r="C55" s="11"/>
      <c r="D55" s="11"/>
      <c r="E55" s="11"/>
      <c r="F55" s="11"/>
      <c r="G55" s="11"/>
      <c r="H55" s="11"/>
      <c r="I55" s="59"/>
      <c r="J55" s="59"/>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36</v>
      </c>
      <c r="B56" s="66"/>
      <c r="C56" s="11"/>
      <c r="D56" s="11"/>
      <c r="E56" s="11"/>
      <c r="F56" s="11"/>
      <c r="G56" s="11"/>
      <c r="H56" s="11"/>
      <c r="I56" s="59"/>
      <c r="J56" s="59"/>
      <c r="K56" s="11"/>
      <c r="L56" s="11"/>
      <c r="M56" s="11"/>
      <c r="N56" s="11"/>
      <c r="O56" s="137"/>
      <c r="P56" s="137"/>
      <c r="Q56" s="137"/>
      <c r="R56" s="137"/>
      <c r="S56" s="137"/>
      <c r="T56" s="137"/>
      <c r="U56" s="137"/>
      <c r="V56" s="137"/>
      <c r="W56" s="137"/>
      <c r="X56" s="137"/>
      <c r="Y56" s="137"/>
      <c r="Z56" s="137"/>
      <c r="AA56" s="137"/>
      <c r="AB56" s="11"/>
      <c r="AC56" s="11"/>
      <c r="AD56" s="137"/>
      <c r="AE56" s="11"/>
      <c r="AF56" s="11"/>
      <c r="AG56" s="137"/>
      <c r="AH56" s="11"/>
      <c r="AI56" s="11"/>
      <c r="AJ56" s="11"/>
      <c r="AK56" s="11"/>
      <c r="AL56" s="11"/>
      <c r="AM56" s="11"/>
      <c r="AN56" s="11"/>
      <c r="AO56" s="11"/>
    </row>
    <row r="57" spans="1:41" x14ac:dyDescent="0.35">
      <c r="A57" s="65" t="s">
        <v>37</v>
      </c>
      <c r="B57" s="66"/>
      <c r="C57" s="11"/>
      <c r="D57" s="11"/>
      <c r="E57" s="11"/>
      <c r="F57" s="11"/>
      <c r="G57" s="11"/>
      <c r="H57" s="11"/>
      <c r="I57" s="59"/>
      <c r="J57" s="59"/>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38</v>
      </c>
      <c r="B58" s="66"/>
      <c r="C58" s="11"/>
      <c r="D58" s="11"/>
      <c r="E58" s="11"/>
      <c r="F58" s="11"/>
      <c r="G58" s="11"/>
      <c r="H58" s="11"/>
      <c r="I58" s="59"/>
      <c r="J58" s="59"/>
      <c r="K58" s="11"/>
      <c r="L58" s="11"/>
      <c r="M58" s="11"/>
      <c r="N58" s="11"/>
      <c r="O58" s="137"/>
      <c r="P58" s="137"/>
      <c r="Q58" s="137"/>
      <c r="R58" s="137"/>
      <c r="S58" s="137"/>
      <c r="T58" s="137"/>
      <c r="U58" s="137"/>
      <c r="V58" s="137"/>
      <c r="W58" s="137"/>
      <c r="X58" s="137"/>
      <c r="Y58" s="137"/>
      <c r="Z58" s="137"/>
      <c r="AA58" s="137"/>
      <c r="AB58" s="11"/>
      <c r="AC58" s="11"/>
      <c r="AD58" s="137"/>
      <c r="AE58" s="11"/>
      <c r="AF58" s="11"/>
      <c r="AG58" s="137"/>
      <c r="AH58" s="11"/>
      <c r="AI58" s="11"/>
      <c r="AJ58" s="11"/>
      <c r="AK58" s="11"/>
      <c r="AL58" s="11"/>
      <c r="AM58" s="11"/>
      <c r="AN58" s="11"/>
      <c r="AO58" s="11"/>
    </row>
    <row r="59" spans="1:41" x14ac:dyDescent="0.35">
      <c r="A59" s="65" t="s">
        <v>39</v>
      </c>
      <c r="B59" s="66"/>
      <c r="C59" s="11"/>
      <c r="D59" s="11"/>
      <c r="E59" s="11"/>
      <c r="F59" s="11"/>
      <c r="G59" s="11"/>
      <c r="H59" s="11"/>
      <c r="I59" s="59"/>
      <c r="J59" s="59"/>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65" t="s">
        <v>40</v>
      </c>
      <c r="B60" s="66"/>
      <c r="C60" s="11"/>
      <c r="D60" s="11"/>
      <c r="E60" s="11"/>
      <c r="F60" s="11"/>
      <c r="G60" s="11"/>
      <c r="H60" s="11"/>
      <c r="I60" s="59"/>
      <c r="J60" s="59"/>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65" t="s">
        <v>41</v>
      </c>
      <c r="B61" s="66"/>
      <c r="C61" s="11"/>
      <c r="D61" s="11"/>
      <c r="E61" s="11"/>
      <c r="F61" s="11"/>
      <c r="G61" s="11"/>
      <c r="H61" s="11"/>
      <c r="I61" s="59"/>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42</v>
      </c>
      <c r="B62" s="66"/>
      <c r="C62" s="11"/>
      <c r="D62" s="11"/>
      <c r="E62" s="11"/>
      <c r="F62" s="11"/>
      <c r="G62" s="11"/>
      <c r="H62" s="59"/>
      <c r="I62" s="59"/>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43</v>
      </c>
      <c r="B63" s="66"/>
      <c r="C63" s="11"/>
      <c r="D63" s="11"/>
      <c r="E63" s="11"/>
      <c r="F63" s="11"/>
      <c r="G63" s="11"/>
      <c r="H63" s="59"/>
      <c r="I63" s="59"/>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44</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45</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46</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208"/>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208"/>
      <c r="D68" s="11"/>
      <c r="E68" s="11"/>
      <c r="F68" s="11"/>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59"/>
      <c r="I84" s="59"/>
      <c r="J84" s="59"/>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11"/>
      <c r="I85" s="59"/>
      <c r="J85" s="59"/>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267"/>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267"/>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c r="B108" s="11"/>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11"/>
      <c r="B116" s="11"/>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11"/>
      <c r="B117" s="11"/>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11"/>
      <c r="B118" s="11"/>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11"/>
      <c r="B119" s="11"/>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11"/>
      <c r="B124" s="11"/>
      <c r="C124" s="11"/>
      <c r="D124" s="11"/>
      <c r="E124" s="11"/>
      <c r="F124" s="11"/>
      <c r="G124" s="11"/>
      <c r="H124" s="11"/>
      <c r="I124" s="59"/>
      <c r="J124" s="11"/>
      <c r="K124" s="267"/>
      <c r="L124" s="267"/>
      <c r="M124" s="267"/>
      <c r="N124" s="11"/>
      <c r="O124" s="267"/>
      <c r="P124" s="267"/>
      <c r="Q124" s="267"/>
      <c r="R124" s="267"/>
      <c r="S124" s="267"/>
      <c r="T124" s="267"/>
      <c r="U124" s="267"/>
      <c r="V124" s="267"/>
      <c r="W124" s="267"/>
      <c r="X124" s="267"/>
      <c r="Y124" s="267"/>
      <c r="Z124" s="267"/>
      <c r="AA124" s="267"/>
      <c r="AB124" s="11"/>
      <c r="AC124" s="11"/>
      <c r="AD124" s="267"/>
      <c r="AE124" s="11"/>
      <c r="AF124" s="267"/>
      <c r="AG124" s="11"/>
      <c r="AH124" s="267"/>
      <c r="AI124" s="11"/>
      <c r="AJ124" s="11"/>
      <c r="AK124" s="11"/>
      <c r="AL124" s="11"/>
      <c r="AM124" s="11"/>
      <c r="AN124" s="11"/>
      <c r="AO124" s="11"/>
    </row>
    <row r="125" spans="1:41" x14ac:dyDescent="0.35">
      <c r="A125" s="11"/>
      <c r="B125" s="11"/>
      <c r="C125" s="11"/>
      <c r="D125" s="11"/>
      <c r="E125" s="11"/>
      <c r="F125" s="11"/>
      <c r="G125" s="11"/>
      <c r="H125" s="11"/>
      <c r="I125" s="267"/>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11"/>
      <c r="B126" s="11"/>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35">
      <c r="A127" s="11"/>
      <c r="B127" s="11"/>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35">
      <c r="A128" s="11"/>
      <c r="B128" s="11"/>
      <c r="C128" s="11"/>
      <c r="D128" s="11"/>
      <c r="E128" s="11"/>
      <c r="F128" s="11"/>
      <c r="G128" s="11"/>
      <c r="H128" s="11"/>
      <c r="I128" s="59"/>
      <c r="J128" s="11"/>
      <c r="K128" s="267"/>
      <c r="L128" s="267"/>
      <c r="M128" s="267"/>
      <c r="N128" s="11"/>
      <c r="O128" s="267"/>
      <c r="P128" s="267"/>
      <c r="Q128" s="267"/>
      <c r="R128" s="267"/>
      <c r="S128" s="267"/>
      <c r="T128" s="267"/>
      <c r="U128" s="267"/>
      <c r="V128" s="267"/>
      <c r="W128" s="267"/>
      <c r="X128" s="267"/>
      <c r="Y128" s="267"/>
      <c r="Z128" s="267"/>
      <c r="AA128" s="267"/>
      <c r="AB128" s="11"/>
      <c r="AC128" s="11"/>
      <c r="AD128" s="267"/>
      <c r="AE128" s="11"/>
      <c r="AF128" s="267"/>
      <c r="AG128" s="11"/>
      <c r="AH128" s="267"/>
      <c r="AI128" s="11"/>
      <c r="AJ128" s="11"/>
      <c r="AK128" s="11"/>
      <c r="AL128" s="11"/>
      <c r="AM128" s="11"/>
      <c r="AN128" s="11"/>
      <c r="AO128" s="11"/>
    </row>
    <row r="129" spans="1:41" x14ac:dyDescent="0.35">
      <c r="A129" s="11"/>
      <c r="B129" s="11"/>
      <c r="C129" s="11"/>
      <c r="D129" s="11"/>
      <c r="E129" s="11"/>
      <c r="F129" s="11"/>
      <c r="G129" s="11"/>
      <c r="H129" s="11"/>
      <c r="I129" s="267"/>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35">
      <c r="A130" s="11"/>
      <c r="B130" s="11"/>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3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35">
      <c r="A132" s="11"/>
      <c r="B132" s="11"/>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3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3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3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35">
      <c r="A136" s="11"/>
      <c r="B136" s="11"/>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3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3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3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3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3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3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3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3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3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3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3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3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3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3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3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3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3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3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3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3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35">
      <c r="A157" s="11"/>
      <c r="B157" s="11"/>
      <c r="C157" s="11"/>
      <c r="D157" s="11"/>
      <c r="E157" s="11"/>
      <c r="F157" s="11"/>
      <c r="G157" s="267"/>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3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3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3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35">
      <c r="A161" s="11"/>
      <c r="B161" s="11"/>
      <c r="C161" s="11"/>
      <c r="D161" s="11"/>
      <c r="E161" s="11"/>
      <c r="F161" s="11"/>
      <c r="G161" s="267"/>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sheetData>
  <sheetProtection algorithmName="SHA-512" hashValue="Jw1ziH10DQ1YLo7abfRTtezUvLTCr5s24mPGgbKui/Ev4OSHddISzqP3leYRz4Os+IMSRxYtGTU1cRhhJ7AIEQ==" saltValue="us8Uw5koxJRktK5e22Mabg==" spinCount="100000" sheet="1" scenarios="1"/>
  <mergeCells count="2">
    <mergeCell ref="AD31:AE31"/>
    <mergeCell ref="AG31:AH31"/>
  </mergeCells>
  <dataValidations disablePrompts="1" count="2">
    <dataValidation type="list" allowBlank="1" sqref="B28" xr:uid="{00000000-0002-0000-2500-000000000000}">
      <formula1>"ACCOUNT,BUSINESSUNIT,CATEGORY,DATASRC,DEPARTMENT,INTCO,MEASURES,RPTCURRENCY,TIME"</formula1>
    </dataValidation>
    <dataValidation type="list" allowBlank="1" sqref="B29" xr:uid="{00000000-0002-0000-25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20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1206" r:id="rId7" name="FPMExcelClientSheetOptionstb1"/>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2">
    <tabColor theme="2" tint="-0.499984740745262"/>
    <pageSetUpPr fitToPage="1"/>
  </sheetPr>
  <dimension ref="A1:AO10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497</v>
      </c>
      <c r="C6" s="11" t="str">
        <f>IF(_epmOfflineCondition_,"Administrative &amp; General",_xll.EVDES(B6,$B$1))</f>
        <v>Administrative &amp; General</v>
      </c>
      <c r="D6" s="11"/>
      <c r="E6" s="58" t="str">
        <f>IF(_epmOfflineCondition_,"D_AG",_xll.EVPRO($B$1,$B$6,$F$6))</f>
        <v>D_AG</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IF(_epmOfflineCondition_,"Evdre:Ok",_xll.EVDRE($B$1,A17:B24,A27:C33))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IF(_epmOfflineCondition_,"'AG'!$B$2:$B$10",_xll.EVRNG($B$2:$B$10))</f>
        <v>'AG'!$B$2:$B$10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IF(_epmOfflineCondition_,"'AG'!$O$16:$AN$18",_xll.EVRNG($O$16:$AN$18))</f>
        <v>'AG'!$O$16:$AN$18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IF(_epmOfflineCondition_,"'AG'!$G$35:$H$36,'AG'!$G$38:$H$47,'AG'!$G$50:$H$72",_xll.EVRNG(G35:H36,G38:H47,G50:H72))</f>
        <v>'AG'!$G$35:$H$36,'AG'!$G$38:$H$47,'AG'!$G$50:$H$72</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IF(_epmOfflineCondition_,"'AG'!$A$36:$F$42",_xll.EVRNG(A36:F42))</f>
        <v>'AG'!$A$36:$F$42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IF(_epmOfflineCondition_,"'AG'!$A$59:$B$80",_xll.EVRNG($A$59:$B$80))</f>
        <v>'AG'!$A$59:$B$80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63" t="s">
        <v>357</v>
      </c>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66" t="s">
        <v>21</v>
      </c>
      <c r="D27" s="11"/>
      <c r="E27" s="11"/>
      <c r="F27" s="11"/>
      <c r="G27" s="11"/>
      <c r="H27" s="11"/>
      <c r="I27" s="59"/>
      <c r="J27" s="59"/>
      <c r="K27" s="11"/>
      <c r="L27" s="59"/>
      <c r="M27" s="59"/>
      <c r="N27" s="71" t="str">
        <f>IF(_epmOfflineCondition_,"Administrative &amp; General Department",IF(_xll.EVDES(B6,$B$1)="#NODATA","",_xll.EVDES(B6,$B$1)&amp;" Department"))</f>
        <v>Administrative &amp; General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52</v>
      </c>
      <c r="C28" s="66" t="s">
        <v>22</v>
      </c>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738</v>
      </c>
      <c r="C29" s="66" t="s">
        <v>735</v>
      </c>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66"/>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66"/>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2" t="s">
        <v>78</v>
      </c>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66"/>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88" t="s">
        <v>497</v>
      </c>
      <c r="H35" s="88" t="s">
        <v>859</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10">
        <v>27258.720000000001</v>
      </c>
      <c r="P35" s="210">
        <v>28103.54</v>
      </c>
      <c r="Q35" s="210">
        <v>29107.59</v>
      </c>
      <c r="R35" s="210">
        <v>17372.43</v>
      </c>
      <c r="S35" s="210">
        <v>16487.22</v>
      </c>
      <c r="T35" s="210">
        <v>23618.11</v>
      </c>
      <c r="U35" s="210">
        <v>15464.16</v>
      </c>
      <c r="V35" s="210">
        <v>26516.17</v>
      </c>
      <c r="W35" s="210">
        <v>16665.21</v>
      </c>
      <c r="X35" s="210">
        <v>19874.87</v>
      </c>
      <c r="Y35" s="210">
        <v>21802.63</v>
      </c>
      <c r="Z35" s="210">
        <v>20368.11</v>
      </c>
      <c r="AA35" s="250">
        <f t="shared" ref="AA35:AA47" si="1">IF($I35="B1","",SUM(O35:Z35))</f>
        <v>262638.76</v>
      </c>
      <c r="AB35" s="211">
        <f>IF(AA35=0,"",IFERROR(AA35/AA$19,""))</f>
        <v>5.037816149176088E-2</v>
      </c>
      <c r="AC35" s="140"/>
      <c r="AD35" s="143">
        <v>344655.45050225197</v>
      </c>
      <c r="AE35" s="144">
        <f>IF(AD35=0,"",IFERROR(AD35/AD$19,""))</f>
        <v>2.6569693514357843E-2</v>
      </c>
      <c r="AF35" s="145">
        <f>IF(AND($AA35="",AD35=""),"",$AA35-AD35)</f>
        <v>-82016.690502251964</v>
      </c>
      <c r="AG35" s="143">
        <v>314292.05</v>
      </c>
      <c r="AH35" s="144">
        <f>IF(AG35=0,"",IFERROR(AG35/AG$19,""))</f>
        <v>3.7478229418454301E-2</v>
      </c>
      <c r="AI35" s="145">
        <f>IF(AND($AA35="",AG35=""),"",$AA35-AG35)</f>
        <v>-51653.289999999979</v>
      </c>
      <c r="AJ35" s="440">
        <f t="shared" ref="AJ35:AJ47" si="2">IFERROR(AA35/AA$20,0)</f>
        <v>5.4363048517966552</v>
      </c>
      <c r="AK35" s="441">
        <f t="shared" ref="AK35:AK47" si="3">IFERROR(AD35/AD$20,0)</f>
        <v>7.1339512026463812</v>
      </c>
      <c r="AL35" s="442">
        <f t="shared" ref="AL35:AL47" si="4">IFERROR(AG35/AG$20,0)</f>
        <v>6.523288709007887</v>
      </c>
      <c r="AM35" s="443" t="str">
        <f t="shared" ref="AM35:AM47" si="5">+IFERROR(ROUND(($AB35-AE35)*100,2)&amp;" pts.",0)</f>
        <v>2.38 pts.</v>
      </c>
      <c r="AN35" s="444" t="str">
        <f t="shared" ref="AN35:AN47" si="6">+IFERROR(ROUND(($AB35-AH35)*100,2)&amp;" pts.",0)</f>
        <v>1.29 pts.</v>
      </c>
      <c r="AO35" s="11"/>
    </row>
    <row r="36" spans="1:41" hidden="1" x14ac:dyDescent="0.35">
      <c r="A36" s="11"/>
      <c r="B36" s="11"/>
      <c r="C36" s="11"/>
      <c r="D36" s="11"/>
      <c r="E36" s="11"/>
      <c r="F36" s="11"/>
      <c r="G36" s="88"/>
      <c r="H36" s="185"/>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10"/>
      <c r="P36" s="210"/>
      <c r="Q36" s="210"/>
      <c r="R36" s="210"/>
      <c r="S36" s="210"/>
      <c r="T36" s="210"/>
      <c r="U36" s="210"/>
      <c r="V36" s="210"/>
      <c r="W36" s="210"/>
      <c r="X36" s="210"/>
      <c r="Y36" s="210"/>
      <c r="Z36" s="210"/>
      <c r="AA36" s="250">
        <f t="shared" si="1"/>
        <v>0</v>
      </c>
      <c r="AB36" s="211" t="str">
        <f>IF(AA36=0,"",IFERROR(AA36/AA$19,""))</f>
        <v/>
      </c>
      <c r="AC36" s="140"/>
      <c r="AD36" s="143"/>
      <c r="AE36" s="144" t="str">
        <f>IF(AD36=0,"",IFERROR(AD36/AD$19,""))</f>
        <v/>
      </c>
      <c r="AF36" s="145">
        <f>IF(AND($AA36="",AD36=""),"",$AA36-AD36)</f>
        <v>0</v>
      </c>
      <c r="AG36" s="143"/>
      <c r="AH36" s="144" t="str">
        <f>IF(AG36=0,"",IFERROR(AG36/AG$19,""))</f>
        <v/>
      </c>
      <c r="AI36" s="145">
        <f>IF(AND($AA36="",AG36=""),"",$AA36-AG36)</f>
        <v>0</v>
      </c>
      <c r="AJ36" s="440">
        <f t="shared" si="2"/>
        <v>0</v>
      </c>
      <c r="AK36" s="441">
        <f t="shared" si="3"/>
        <v>0</v>
      </c>
      <c r="AL36" s="442">
        <f t="shared" si="4"/>
        <v>0</v>
      </c>
      <c r="AM36" s="443">
        <f t="shared" si="5"/>
        <v>0</v>
      </c>
      <c r="AN36" s="444">
        <f t="shared" si="6"/>
        <v>0</v>
      </c>
      <c r="AO36" s="11"/>
    </row>
    <row r="37" spans="1:41" x14ac:dyDescent="0.35">
      <c r="A37" s="11" t="s">
        <v>108</v>
      </c>
      <c r="B37" s="11"/>
      <c r="C37" s="104" t="s">
        <v>101</v>
      </c>
      <c r="D37" s="11" t="s">
        <v>106</v>
      </c>
      <c r="E37" s="11"/>
      <c r="F37" s="11" t="s">
        <v>98</v>
      </c>
      <c r="G37" s="88" t="s">
        <v>497</v>
      </c>
      <c r="H37" s="185" t="s">
        <v>75</v>
      </c>
      <c r="I37" s="122" t="str">
        <f>IF(_epmOfflineCondition_,"B1",_xll.EVPRO($B$1,$H37,"STYLE"))</f>
        <v>B1</v>
      </c>
      <c r="J37" s="122" t="str">
        <f>IF(_epmOfflineCondition_,"Y",_xll.EVPRO($B$1,$H37,"CALC"))</f>
        <v>Y</v>
      </c>
      <c r="K37" s="179" t="str">
        <f t="shared" si="0"/>
        <v/>
      </c>
      <c r="L37" s="90" t="str">
        <f>IF(_epmOfflineCondition_,"",_xll.EVPRO($B$1,H37,"JDEID"))</f>
        <v/>
      </c>
      <c r="M37" s="90" t="str">
        <f>IF(_epmOfflineCondition_,"",IF(AND(I37="N",J37="N"),_xll.EVPRO($B$1,H37,"PSFTID"),""))</f>
        <v/>
      </c>
      <c r="N37" s="53"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c r="AC37" s="11"/>
      <c r="AD37" s="91"/>
      <c r="AE37" s="100"/>
      <c r="AF37" s="92"/>
      <c r="AG37" s="91"/>
      <c r="AH37" s="100"/>
      <c r="AI37" s="92"/>
      <c r="AJ37" s="397">
        <f t="shared" si="2"/>
        <v>0</v>
      </c>
      <c r="AK37" s="398">
        <f t="shared" si="3"/>
        <v>0</v>
      </c>
      <c r="AL37" s="399">
        <f t="shared" si="4"/>
        <v>0</v>
      </c>
      <c r="AM37" s="400" t="str">
        <f t="shared" si="5"/>
        <v>0 pts.</v>
      </c>
      <c r="AN37" s="401" t="str">
        <f t="shared" si="6"/>
        <v>0 pts.</v>
      </c>
      <c r="AO37" s="11"/>
    </row>
    <row r="38" spans="1:41" x14ac:dyDescent="0.35">
      <c r="A38" s="11" t="s">
        <v>100</v>
      </c>
      <c r="B38" s="11"/>
      <c r="C38" s="53" t="s">
        <v>101</v>
      </c>
      <c r="D38" s="11" t="s">
        <v>106</v>
      </c>
      <c r="E38" s="11"/>
      <c r="F38" s="11" t="s">
        <v>98</v>
      </c>
      <c r="G38" s="88" t="s">
        <v>497</v>
      </c>
      <c r="H38" s="185" t="s">
        <v>850</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IF(_epmOfflineCondition_,"Accounting",IF(_xll.EVDES(H38,$B$1)="#NODATA","",_xll.EVDES(H38,$B$1)))</f>
        <v>Accounting</v>
      </c>
      <c r="O38" s="216">
        <v>6016.54</v>
      </c>
      <c r="P38" s="216">
        <v>6500.56</v>
      </c>
      <c r="Q38" s="216">
        <v>6127.22</v>
      </c>
      <c r="R38" s="216"/>
      <c r="S38" s="216"/>
      <c r="T38" s="216">
        <v>1485.17</v>
      </c>
      <c r="U38" s="216">
        <v>3243.8</v>
      </c>
      <c r="V38" s="216">
        <v>2621.45</v>
      </c>
      <c r="W38" s="216">
        <v>3083.49</v>
      </c>
      <c r="X38" s="216">
        <v>3654.04</v>
      </c>
      <c r="Y38" s="216">
        <v>3423.03</v>
      </c>
      <c r="Z38" s="216">
        <v>3922.73</v>
      </c>
      <c r="AA38" s="216">
        <f t="shared" si="1"/>
        <v>40078.03</v>
      </c>
      <c r="AB38" s="218">
        <f t="shared" ref="AB38:AB47" si="7">IF(AA38=0,"",IFERROR(AA38/AA$19,""))</f>
        <v>7.6875837656697633E-3</v>
      </c>
      <c r="AC38" s="140"/>
      <c r="AD38" s="217">
        <v>64610.172857143298</v>
      </c>
      <c r="AE38" s="219">
        <f t="shared" ref="AE38:AE47" si="8">IF(AD38=0,"",IFERROR(AD38/AD$19,""))</f>
        <v>4.9808366245836077E-3</v>
      </c>
      <c r="AF38" s="220">
        <f t="shared" ref="AF38:AF47" si="9">IF(AND($AA38="",AD38=""),"",$AA38-AD38)</f>
        <v>-24532.142857143299</v>
      </c>
      <c r="AG38" s="217">
        <v>49080.9</v>
      </c>
      <c r="AH38" s="219">
        <f t="shared" ref="AH38:AH47" si="10">IF(AG38=0,"",IFERROR(AG38/AG$19,""))</f>
        <v>5.8527259288429787E-3</v>
      </c>
      <c r="AI38" s="220">
        <f t="shared" ref="AI38:AI47" si="11">IF(AND($AA38="",AG38=""),"",$AA38-AG38)</f>
        <v>-9002.8700000000026</v>
      </c>
      <c r="AJ38" s="449">
        <f t="shared" si="2"/>
        <v>0.82956677430038084</v>
      </c>
      <c r="AK38" s="450">
        <f t="shared" si="3"/>
        <v>1.3373524767582237</v>
      </c>
      <c r="AL38" s="451">
        <f t="shared" si="4"/>
        <v>1.0186986301369862</v>
      </c>
      <c r="AM38" s="452" t="str">
        <f t="shared" si="5"/>
        <v>0.27 pts.</v>
      </c>
      <c r="AN38" s="453" t="str">
        <f t="shared" si="6"/>
        <v>0.18 pts.</v>
      </c>
      <c r="AO38" s="11"/>
    </row>
    <row r="39" spans="1:41" x14ac:dyDescent="0.35">
      <c r="A39" s="11" t="s">
        <v>109</v>
      </c>
      <c r="B39" s="11"/>
      <c r="C39" s="106" t="s">
        <v>101</v>
      </c>
      <c r="D39" s="11" t="s">
        <v>106</v>
      </c>
      <c r="E39" s="11"/>
      <c r="F39" s="11" t="s">
        <v>98</v>
      </c>
      <c r="G39" s="88" t="s">
        <v>497</v>
      </c>
      <c r="H39" s="185" t="s">
        <v>851</v>
      </c>
      <c r="I39" s="122" t="str">
        <f>IF(_epmOfflineCondition_,"T3",_xll.EVPRO($B$1,$H39,"STYLE"))</f>
        <v>T3</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IF(_epmOfflineCondition_,"Human Resources",IF(_xll.EVDES(H39,$B$1)="#NODATA","",_xll.EVDES(H39,$B$1)))</f>
        <v>Human Resources</v>
      </c>
      <c r="O39" s="216">
        <v>444.03</v>
      </c>
      <c r="P39" s="216">
        <v>401.02</v>
      </c>
      <c r="Q39" s="216">
        <v>461.38</v>
      </c>
      <c r="R39" s="216"/>
      <c r="S39" s="216"/>
      <c r="T39" s="216"/>
      <c r="U39" s="216"/>
      <c r="V39" s="216"/>
      <c r="W39" s="216"/>
      <c r="X39" s="216"/>
      <c r="Y39" s="216"/>
      <c r="Z39" s="216"/>
      <c r="AA39" s="216">
        <f t="shared" si="1"/>
        <v>1306.4299999999998</v>
      </c>
      <c r="AB39" s="218">
        <f t="shared" si="7"/>
        <v>2.5059340638708909E-4</v>
      </c>
      <c r="AC39" s="140"/>
      <c r="AD39" s="217">
        <v>5183.8147857143003</v>
      </c>
      <c r="AE39" s="219">
        <f t="shared" si="8"/>
        <v>3.9962336266817749E-4</v>
      </c>
      <c r="AF39" s="220">
        <f t="shared" si="9"/>
        <v>-3877.3847857143005</v>
      </c>
      <c r="AG39" s="217">
        <v>5968.85</v>
      </c>
      <c r="AH39" s="219">
        <f t="shared" si="10"/>
        <v>7.1176451858817613E-4</v>
      </c>
      <c r="AI39" s="220">
        <f t="shared" si="11"/>
        <v>-4662.42</v>
      </c>
      <c r="AJ39" s="449">
        <f t="shared" si="2"/>
        <v>2.7041521775128328E-2</v>
      </c>
      <c r="AK39" s="450">
        <f t="shared" si="3"/>
        <v>0.10729869982021652</v>
      </c>
      <c r="AL39" s="451">
        <f t="shared" si="4"/>
        <v>0.12388646741386468</v>
      </c>
      <c r="AM39" s="452" t="str">
        <f t="shared" si="5"/>
        <v>-0.01 pts.</v>
      </c>
      <c r="AN39" s="453" t="str">
        <f t="shared" si="6"/>
        <v>-0.05 pts.</v>
      </c>
      <c r="AO39" s="11"/>
    </row>
    <row r="40" spans="1:41" x14ac:dyDescent="0.35">
      <c r="A40" s="11" t="s">
        <v>109</v>
      </c>
      <c r="B40" s="11"/>
      <c r="C40" s="196" t="s">
        <v>101</v>
      </c>
      <c r="D40" s="11" t="s">
        <v>107</v>
      </c>
      <c r="E40" s="11"/>
      <c r="F40" s="11" t="s">
        <v>99</v>
      </c>
      <c r="G40" s="88" t="s">
        <v>497</v>
      </c>
      <c r="H40" s="185" t="s">
        <v>852</v>
      </c>
      <c r="I40" s="188" t="str">
        <f>IF(_epmOfflineCondition_,"T2",_xll.EVPRO($B$1,$H40,"STYLE"))</f>
        <v>T2</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Salaries and Wages",IF(_xll.EVDES(H40,$B$1)="#NODATA","",_xll.EVDES(H40,$B$1)))</f>
        <v>Total Salaries and Wages</v>
      </c>
      <c r="O40" s="225">
        <v>33719.29</v>
      </c>
      <c r="P40" s="225">
        <v>35005.120000000003</v>
      </c>
      <c r="Q40" s="225">
        <v>35696.19</v>
      </c>
      <c r="R40" s="225">
        <v>17372.43</v>
      </c>
      <c r="S40" s="225">
        <v>16487.22</v>
      </c>
      <c r="T40" s="225">
        <v>25103.279999999999</v>
      </c>
      <c r="U40" s="225">
        <v>18707.96</v>
      </c>
      <c r="V40" s="225">
        <v>29137.62</v>
      </c>
      <c r="W40" s="225">
        <v>19748.7</v>
      </c>
      <c r="X40" s="225">
        <v>23528.91</v>
      </c>
      <c r="Y40" s="225">
        <v>25225.66</v>
      </c>
      <c r="Z40" s="225">
        <v>24290.84</v>
      </c>
      <c r="AA40" s="225">
        <f t="shared" si="1"/>
        <v>304023.22000000003</v>
      </c>
      <c r="AB40" s="226">
        <f t="shared" si="7"/>
        <v>5.8316338663817739E-2</v>
      </c>
      <c r="AC40" s="227"/>
      <c r="AD40" s="225">
        <v>414449.43814510899</v>
      </c>
      <c r="AE40" s="226">
        <f t="shared" si="8"/>
        <v>3.1950153501609582E-2</v>
      </c>
      <c r="AF40" s="228">
        <f t="shared" si="9"/>
        <v>-110426.21814510896</v>
      </c>
      <c r="AG40" s="225">
        <v>369341.8</v>
      </c>
      <c r="AH40" s="226">
        <f t="shared" si="10"/>
        <v>4.4042719865885455E-2</v>
      </c>
      <c r="AI40" s="228">
        <f t="shared" si="11"/>
        <v>-65318.579999999958</v>
      </c>
      <c r="AJ40" s="229">
        <f t="shared" si="2"/>
        <v>6.2929131478721647</v>
      </c>
      <c r="AK40" s="230">
        <f t="shared" si="3"/>
        <v>8.5786023792248098</v>
      </c>
      <c r="AL40" s="232">
        <f t="shared" si="4"/>
        <v>7.6658738065587375</v>
      </c>
      <c r="AM40" s="427" t="str">
        <f t="shared" si="5"/>
        <v>2.64 pts.</v>
      </c>
      <c r="AN40" s="456" t="str">
        <f t="shared" si="6"/>
        <v>1.43 pts.</v>
      </c>
      <c r="AO40" s="11"/>
    </row>
    <row r="41" spans="1:41" x14ac:dyDescent="0.35">
      <c r="A41" s="11" t="s">
        <v>110</v>
      </c>
      <c r="B41" s="11"/>
      <c r="C41" s="106" t="s">
        <v>101</v>
      </c>
      <c r="D41" s="11" t="s">
        <v>106</v>
      </c>
      <c r="E41" s="11"/>
      <c r="F41" s="11" t="s">
        <v>98</v>
      </c>
      <c r="G41" s="88" t="s">
        <v>497</v>
      </c>
      <c r="H41" s="185" t="s">
        <v>853</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16">
        <v>6065.09</v>
      </c>
      <c r="P41" s="216">
        <v>5748.56</v>
      </c>
      <c r="Q41" s="216">
        <v>6065.09</v>
      </c>
      <c r="R41" s="216"/>
      <c r="S41" s="216"/>
      <c r="T41" s="216"/>
      <c r="U41" s="216"/>
      <c r="V41" s="216"/>
      <c r="W41" s="216"/>
      <c r="X41" s="216">
        <v>-11654.58</v>
      </c>
      <c r="Y41" s="216"/>
      <c r="Z41" s="216">
        <v>2860.94</v>
      </c>
      <c r="AA41" s="216">
        <f t="shared" si="1"/>
        <v>9085.1000000000022</v>
      </c>
      <c r="AB41" s="218">
        <f t="shared" si="7"/>
        <v>1.7426621834827306E-3</v>
      </c>
      <c r="AC41" s="140"/>
      <c r="AD41" s="216">
        <v>79275.421863699303</v>
      </c>
      <c r="AE41" s="218">
        <f t="shared" si="8"/>
        <v>6.1113893863290313E-3</v>
      </c>
      <c r="AF41" s="233">
        <f t="shared" si="9"/>
        <v>-70190.321863699297</v>
      </c>
      <c r="AG41" s="216">
        <v>88115.82</v>
      </c>
      <c r="AH41" s="218">
        <f t="shared" si="10"/>
        <v>1.0507503824405436E-2</v>
      </c>
      <c r="AI41" s="233">
        <f t="shared" si="11"/>
        <v>-79030.720000000001</v>
      </c>
      <c r="AJ41" s="537">
        <f t="shared" si="2"/>
        <v>0.18805058784566986</v>
      </c>
      <c r="AK41" s="538">
        <f t="shared" si="3"/>
        <v>1.6409054037029993</v>
      </c>
      <c r="AL41" s="539">
        <f t="shared" si="4"/>
        <v>1.8288879202988793</v>
      </c>
      <c r="AM41" s="540" t="str">
        <f t="shared" si="5"/>
        <v>-0.44 pts.</v>
      </c>
      <c r="AN41" s="541" t="str">
        <f t="shared" si="6"/>
        <v>-0.88 pts.</v>
      </c>
      <c r="AO41" s="11"/>
    </row>
    <row r="42" spans="1:41" x14ac:dyDescent="0.35">
      <c r="A42" s="11" t="s">
        <v>110</v>
      </c>
      <c r="B42" s="11"/>
      <c r="C42" s="109" t="s">
        <v>101</v>
      </c>
      <c r="D42" s="11" t="s">
        <v>107</v>
      </c>
      <c r="E42" s="11"/>
      <c r="F42" s="11" t="s">
        <v>99</v>
      </c>
      <c r="G42" s="88" t="s">
        <v>497</v>
      </c>
      <c r="H42" s="185" t="s">
        <v>854</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5">
        <v>39784.379999999997</v>
      </c>
      <c r="P42" s="225">
        <v>40753.68</v>
      </c>
      <c r="Q42" s="225">
        <v>41761.279999999999</v>
      </c>
      <c r="R42" s="225">
        <v>17372.43</v>
      </c>
      <c r="S42" s="225">
        <v>16487.22</v>
      </c>
      <c r="T42" s="225">
        <v>25103.279999999999</v>
      </c>
      <c r="U42" s="225">
        <v>18707.96</v>
      </c>
      <c r="V42" s="225">
        <v>29137.62</v>
      </c>
      <c r="W42" s="225">
        <v>19748.7</v>
      </c>
      <c r="X42" s="225">
        <v>11874.33</v>
      </c>
      <c r="Y42" s="225">
        <v>25225.66</v>
      </c>
      <c r="Z42" s="225">
        <v>27151.78</v>
      </c>
      <c r="AA42" s="225">
        <f t="shared" si="1"/>
        <v>313108.31999999995</v>
      </c>
      <c r="AB42" s="226">
        <f t="shared" si="7"/>
        <v>6.0059000847300453E-2</v>
      </c>
      <c r="AC42" s="227"/>
      <c r="AD42" s="225">
        <v>493724.86000880902</v>
      </c>
      <c r="AE42" s="226">
        <f t="shared" si="8"/>
        <v>3.8061542887938671E-2</v>
      </c>
      <c r="AF42" s="228">
        <f t="shared" si="9"/>
        <v>-180616.54000880907</v>
      </c>
      <c r="AG42" s="225">
        <v>457457.62</v>
      </c>
      <c r="AH42" s="226">
        <f t="shared" si="10"/>
        <v>5.4550223690290889E-2</v>
      </c>
      <c r="AI42" s="228">
        <f t="shared" si="11"/>
        <v>-144349.30000000005</v>
      </c>
      <c r="AJ42" s="229">
        <f t="shared" si="2"/>
        <v>6.4809637357178334</v>
      </c>
      <c r="AK42" s="230">
        <f t="shared" si="3"/>
        <v>10.219507782927824</v>
      </c>
      <c r="AL42" s="232">
        <f t="shared" si="4"/>
        <v>9.4947617268576163</v>
      </c>
      <c r="AM42" s="427" t="str">
        <f t="shared" si="5"/>
        <v>2.2 pts.</v>
      </c>
      <c r="AN42" s="456" t="str">
        <f t="shared" si="6"/>
        <v>0.55 pts.</v>
      </c>
      <c r="AO42" s="11"/>
    </row>
    <row r="43" spans="1:41" x14ac:dyDescent="0.35">
      <c r="A43" s="11"/>
      <c r="B43" s="11"/>
      <c r="C43" s="208"/>
      <c r="D43" s="11"/>
      <c r="E43" s="11"/>
      <c r="F43" s="11"/>
      <c r="G43" s="88" t="s">
        <v>497</v>
      </c>
      <c r="H43" s="185" t="s">
        <v>855</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16">
        <v>3273.83</v>
      </c>
      <c r="P43" s="216">
        <v>2992.96</v>
      </c>
      <c r="Q43" s="216">
        <v>3067.69</v>
      </c>
      <c r="R43" s="216">
        <v>1490.2</v>
      </c>
      <c r="S43" s="216">
        <v>1191.8399999999999</v>
      </c>
      <c r="T43" s="216">
        <v>1298.79</v>
      </c>
      <c r="U43" s="216">
        <v>2177.17</v>
      </c>
      <c r="V43" s="216">
        <v>1983.29</v>
      </c>
      <c r="W43" s="216">
        <v>1791.2</v>
      </c>
      <c r="X43" s="216">
        <v>1352.67</v>
      </c>
      <c r="Y43" s="216">
        <v>1784.56</v>
      </c>
      <c r="Z43" s="216">
        <v>2474.46</v>
      </c>
      <c r="AA43" s="216">
        <f t="shared" si="1"/>
        <v>24878.66</v>
      </c>
      <c r="AB43" s="218">
        <f t="shared" si="7"/>
        <v>4.7721103738785995E-3</v>
      </c>
      <c r="AC43" s="140"/>
      <c r="AD43" s="216">
        <v>39035.286158178402</v>
      </c>
      <c r="AE43" s="218">
        <f t="shared" si="8"/>
        <v>3.0092534093299605E-3</v>
      </c>
      <c r="AF43" s="233">
        <f t="shared" si="9"/>
        <v>-14156.626158178402</v>
      </c>
      <c r="AG43" s="216">
        <v>36991.160000000003</v>
      </c>
      <c r="AH43" s="218">
        <f t="shared" si="10"/>
        <v>4.4110666526078219E-3</v>
      </c>
      <c r="AI43" s="233">
        <f t="shared" si="11"/>
        <v>-12112.500000000004</v>
      </c>
      <c r="AJ43" s="537">
        <f t="shared" si="2"/>
        <v>0.51495818844179497</v>
      </c>
      <c r="AK43" s="538">
        <f t="shared" si="3"/>
        <v>0.80798323725323729</v>
      </c>
      <c r="AL43" s="539">
        <f t="shared" si="4"/>
        <v>0.76777002905770031</v>
      </c>
      <c r="AM43" s="540" t="str">
        <f t="shared" si="5"/>
        <v>0.18 pts.</v>
      </c>
      <c r="AN43" s="541" t="str">
        <f t="shared" si="6"/>
        <v>0.04 pts.</v>
      </c>
      <c r="AO43" s="11"/>
    </row>
    <row r="44" spans="1:41" x14ac:dyDescent="0.35">
      <c r="A44" s="11"/>
      <c r="B44" s="11"/>
      <c r="C44" s="11"/>
      <c r="D44" s="11"/>
      <c r="E44" s="11"/>
      <c r="F44" s="11"/>
      <c r="G44" s="88" t="s">
        <v>497</v>
      </c>
      <c r="H44" s="185" t="s">
        <v>856</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16">
        <v>4617.53</v>
      </c>
      <c r="P44" s="216">
        <v>2043.41</v>
      </c>
      <c r="Q44" s="216">
        <v>2881.19</v>
      </c>
      <c r="R44" s="216">
        <v>1552.81</v>
      </c>
      <c r="S44" s="216">
        <v>2073.6</v>
      </c>
      <c r="T44" s="216">
        <v>1436.33</v>
      </c>
      <c r="U44" s="216">
        <v>9456.8799999999992</v>
      </c>
      <c r="V44" s="216">
        <v>3124.71</v>
      </c>
      <c r="W44" s="216">
        <v>7915.09</v>
      </c>
      <c r="X44" s="216">
        <v>-1270.22</v>
      </c>
      <c r="Y44" s="216">
        <v>2850.45</v>
      </c>
      <c r="Z44" s="216">
        <v>3230.58</v>
      </c>
      <c r="AA44" s="216">
        <f t="shared" si="1"/>
        <v>39912.36</v>
      </c>
      <c r="AB44" s="218">
        <f t="shared" si="7"/>
        <v>7.6558057066569204E-3</v>
      </c>
      <c r="AC44" s="140"/>
      <c r="AD44" s="217">
        <v>35180.850800194101</v>
      </c>
      <c r="AE44" s="219">
        <f t="shared" si="8"/>
        <v>2.7121126968203874E-3</v>
      </c>
      <c r="AF44" s="220">
        <f t="shared" si="9"/>
        <v>4731.5091998058997</v>
      </c>
      <c r="AG44" s="217">
        <v>32239.26</v>
      </c>
      <c r="AH44" s="219">
        <f t="shared" si="10"/>
        <v>3.84441917179005E-3</v>
      </c>
      <c r="AI44" s="220">
        <f t="shared" si="11"/>
        <v>7673.1000000000022</v>
      </c>
      <c r="AJ44" s="449">
        <f t="shared" si="2"/>
        <v>0.82613760556383509</v>
      </c>
      <c r="AK44" s="450">
        <f t="shared" si="3"/>
        <v>0.72820108462067601</v>
      </c>
      <c r="AL44" s="451">
        <f t="shared" si="4"/>
        <v>0.66914196762141964</v>
      </c>
      <c r="AM44" s="452" t="str">
        <f t="shared" si="5"/>
        <v>0.49 pts.</v>
      </c>
      <c r="AN44" s="453" t="str">
        <f t="shared" si="6"/>
        <v>0.38 pts.</v>
      </c>
      <c r="AO44" s="11"/>
    </row>
    <row r="45" spans="1:41" x14ac:dyDescent="0.35">
      <c r="A45" s="61" t="str">
        <f>IF(_epmOfflineCondition_,"Evdre:Ok",_xll.EVDRE($B$1,A48:B55))</f>
        <v>Evdre:Ok</v>
      </c>
      <c r="B45" s="11" t="s">
        <v>736</v>
      </c>
      <c r="C45" s="11"/>
      <c r="D45" s="11"/>
      <c r="E45" s="11"/>
      <c r="F45" s="11"/>
      <c r="G45" s="88" t="s">
        <v>497</v>
      </c>
      <c r="H45" s="185" t="s">
        <v>857</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16">
        <v>3259.43</v>
      </c>
      <c r="P45" s="216">
        <v>3611.67</v>
      </c>
      <c r="Q45" s="216">
        <v>2798.83</v>
      </c>
      <c r="R45" s="216">
        <v>3091.42</v>
      </c>
      <c r="S45" s="216">
        <v>2799.7</v>
      </c>
      <c r="T45" s="216">
        <v>1947.21</v>
      </c>
      <c r="U45" s="216">
        <v>2236.2600000000002</v>
      </c>
      <c r="V45" s="216">
        <v>2603.5700000000002</v>
      </c>
      <c r="W45" s="216">
        <v>1633.14</v>
      </c>
      <c r="X45" s="216">
        <v>2962.76</v>
      </c>
      <c r="Y45" s="216">
        <v>2945.38</v>
      </c>
      <c r="Z45" s="216">
        <v>2110.42</v>
      </c>
      <c r="AA45" s="216">
        <f t="shared" si="1"/>
        <v>31999.79</v>
      </c>
      <c r="AB45" s="218">
        <f t="shared" si="7"/>
        <v>6.1380528461314502E-3</v>
      </c>
      <c r="AC45" s="140"/>
      <c r="AD45" s="217">
        <v>39222.040972947099</v>
      </c>
      <c r="AE45" s="219">
        <f t="shared" si="8"/>
        <v>3.0236504489923365E-3</v>
      </c>
      <c r="AF45" s="220">
        <f t="shared" si="9"/>
        <v>-7222.2509729470985</v>
      </c>
      <c r="AG45" s="217">
        <v>30426.48</v>
      </c>
      <c r="AH45" s="219">
        <f t="shared" si="10"/>
        <v>3.6282514872266465E-3</v>
      </c>
      <c r="AI45" s="220">
        <f t="shared" si="11"/>
        <v>1573.3100000000013</v>
      </c>
      <c r="AJ45" s="449">
        <f t="shared" si="2"/>
        <v>0.66235697135287297</v>
      </c>
      <c r="AK45" s="450">
        <f t="shared" si="3"/>
        <v>0.81184883616797276</v>
      </c>
      <c r="AL45" s="451">
        <f t="shared" si="4"/>
        <v>0.63151681195516807</v>
      </c>
      <c r="AM45" s="452" t="str">
        <f t="shared" si="5"/>
        <v>0.31 pts.</v>
      </c>
      <c r="AN45" s="453" t="str">
        <f t="shared" si="6"/>
        <v>0.25 pts.</v>
      </c>
      <c r="AO45" s="11"/>
    </row>
    <row r="46" spans="1:41" x14ac:dyDescent="0.35">
      <c r="A46" s="11"/>
      <c r="B46" s="11"/>
      <c r="C46" s="11"/>
      <c r="D46" s="11"/>
      <c r="E46" s="11"/>
      <c r="F46" s="11"/>
      <c r="G46" s="88" t="s">
        <v>497</v>
      </c>
      <c r="H46" s="185" t="s">
        <v>858</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38">
        <v>11150.79</v>
      </c>
      <c r="P46" s="238">
        <v>8648.0400000000009</v>
      </c>
      <c r="Q46" s="238">
        <v>8747.7099999999991</v>
      </c>
      <c r="R46" s="238">
        <v>6134.43</v>
      </c>
      <c r="S46" s="238">
        <v>6065.14</v>
      </c>
      <c r="T46" s="238">
        <v>4682.33</v>
      </c>
      <c r="U46" s="238">
        <v>13870.31</v>
      </c>
      <c r="V46" s="238">
        <v>7711.57</v>
      </c>
      <c r="W46" s="238">
        <v>11339.43</v>
      </c>
      <c r="X46" s="238">
        <v>3045.21</v>
      </c>
      <c r="Y46" s="238">
        <v>7580.39</v>
      </c>
      <c r="Z46" s="238">
        <v>7815.46</v>
      </c>
      <c r="AA46" s="238">
        <f t="shared" si="1"/>
        <v>96790.810000000012</v>
      </c>
      <c r="AB46" s="239">
        <f t="shared" si="7"/>
        <v>1.8565968926666971E-2</v>
      </c>
      <c r="AC46" s="240"/>
      <c r="AD46" s="238">
        <v>113438.17793131999</v>
      </c>
      <c r="AE46" s="239">
        <f t="shared" si="8"/>
        <v>8.7450165551427143E-3</v>
      </c>
      <c r="AF46" s="241">
        <f t="shared" si="9"/>
        <v>-16647.367931319983</v>
      </c>
      <c r="AG46" s="238">
        <v>99656.9</v>
      </c>
      <c r="AH46" s="239">
        <f t="shared" si="10"/>
        <v>1.1883737311624518E-2</v>
      </c>
      <c r="AI46" s="241">
        <f t="shared" si="11"/>
        <v>-2866.089999999982</v>
      </c>
      <c r="AJ46" s="242">
        <f t="shared" si="2"/>
        <v>2.0034527653585035</v>
      </c>
      <c r="AK46" s="243">
        <f t="shared" si="3"/>
        <v>2.3480331580418943</v>
      </c>
      <c r="AL46" s="245">
        <f t="shared" si="4"/>
        <v>2.0684288086342879</v>
      </c>
      <c r="AM46" s="431" t="str">
        <f t="shared" si="5"/>
        <v>0.98 pts.</v>
      </c>
      <c r="AN46" s="465" t="str">
        <f t="shared" si="6"/>
        <v>0.67 pts.</v>
      </c>
      <c r="AO46" s="11"/>
    </row>
    <row r="47" spans="1:41" x14ac:dyDescent="0.35">
      <c r="A47" s="62" t="s">
        <v>0</v>
      </c>
      <c r="B47" s="63" t="s">
        <v>1</v>
      </c>
      <c r="C47" s="11"/>
      <c r="D47" s="11"/>
      <c r="E47" s="11"/>
      <c r="F47" s="11"/>
      <c r="G47" s="88" t="s">
        <v>497</v>
      </c>
      <c r="H47" s="185"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38">
        <v>50935.17</v>
      </c>
      <c r="P47" s="238">
        <v>49401.72</v>
      </c>
      <c r="Q47" s="238">
        <v>50508.99</v>
      </c>
      <c r="R47" s="238">
        <v>23506.86</v>
      </c>
      <c r="S47" s="238">
        <v>22552.36</v>
      </c>
      <c r="T47" s="238">
        <v>29785.61</v>
      </c>
      <c r="U47" s="238">
        <v>32578.27</v>
      </c>
      <c r="V47" s="238">
        <v>36849.19</v>
      </c>
      <c r="W47" s="238">
        <v>31088.13</v>
      </c>
      <c r="X47" s="238">
        <v>14919.54</v>
      </c>
      <c r="Y47" s="238">
        <v>32806.050000000003</v>
      </c>
      <c r="Z47" s="238">
        <v>34967.24</v>
      </c>
      <c r="AA47" s="238">
        <f t="shared" si="1"/>
        <v>409899.12999999989</v>
      </c>
      <c r="AB47" s="239">
        <f t="shared" si="7"/>
        <v>7.8624969773967407E-2</v>
      </c>
      <c r="AC47" s="240"/>
      <c r="AD47" s="238">
        <v>607163.03794012801</v>
      </c>
      <c r="AE47" s="239">
        <f t="shared" si="8"/>
        <v>4.6806559443081305E-2</v>
      </c>
      <c r="AF47" s="241">
        <f t="shared" si="9"/>
        <v>-197263.90794012812</v>
      </c>
      <c r="AG47" s="238">
        <v>557114.52</v>
      </c>
      <c r="AH47" s="239">
        <f t="shared" si="10"/>
        <v>6.6433961001915412E-2</v>
      </c>
      <c r="AI47" s="241">
        <f t="shared" si="11"/>
        <v>-147215.39000000013</v>
      </c>
      <c r="AJ47" s="242">
        <f t="shared" si="2"/>
        <v>8.4844165010763355</v>
      </c>
      <c r="AK47" s="243">
        <f t="shared" si="3"/>
        <v>12.567540940969698</v>
      </c>
      <c r="AL47" s="245">
        <f t="shared" si="4"/>
        <v>11.563190535491906</v>
      </c>
      <c r="AM47" s="431" t="str">
        <f t="shared" si="5"/>
        <v>3.18 pts.</v>
      </c>
      <c r="AN47" s="465" t="str">
        <f t="shared" si="6"/>
        <v>1.22 pts.</v>
      </c>
      <c r="AO47" s="11"/>
    </row>
    <row r="48" spans="1:41" x14ac:dyDescent="0.35">
      <c r="A48" s="65" t="s">
        <v>2</v>
      </c>
      <c r="B48" s="66" t="str">
        <f>IF(_epmOfflineCondition_,"'AG'!$B$2:$B$10",_xll.EVRNG($B$2:$B$10))</f>
        <v>'AG'!$B$2:$B$10</v>
      </c>
      <c r="C48" s="11"/>
      <c r="D48" s="11"/>
      <c r="E48" s="11"/>
      <c r="F48" s="11"/>
      <c r="G48" s="106"/>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35">
      <c r="A49" s="65" t="s">
        <v>3</v>
      </c>
      <c r="B49" s="66" t="str">
        <f>IF(_epmOfflineCondition_,"'AG'!$O$16:$AN$18",_xll.EVRNG($O$16:$AN$18))</f>
        <v>'AG'!$O$16:$AN$18</v>
      </c>
      <c r="C49" s="11"/>
      <c r="D49" s="11"/>
      <c r="E49" s="11"/>
      <c r="F49" s="11"/>
      <c r="G49" s="76"/>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35">
      <c r="A50" s="65" t="s">
        <v>4</v>
      </c>
      <c r="B50" s="66" t="str">
        <f>IF(_epmOfflineCondition_,"'AG'!$G$73:$H$77",_xll.EVRNG(G73:H77))</f>
        <v>'AG'!$G$73:$H$77</v>
      </c>
      <c r="C50" s="11"/>
      <c r="D50" s="11"/>
      <c r="E50" s="11"/>
      <c r="F50" s="11"/>
      <c r="G50" s="88" t="s">
        <v>827</v>
      </c>
      <c r="H50" s="88" t="s">
        <v>826</v>
      </c>
      <c r="I50" s="122" t="str">
        <f>IF(_epmOfflineCondition_,"N",_xll.EVPRO($B$1,$H50,"STYLE"))</f>
        <v>N</v>
      </c>
      <c r="J50" s="122" t="str">
        <f>IF(_epmOfflineCondition_,"N",_xll.EVPRO($B$1,$H50,"CALC"))</f>
        <v>N</v>
      </c>
      <c r="K50" s="179" t="str">
        <f t="shared" ref="K50:K72"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43"/>
      <c r="P50" s="143"/>
      <c r="Q50" s="143"/>
      <c r="R50" s="143"/>
      <c r="S50" s="143"/>
      <c r="T50" s="143"/>
      <c r="U50" s="143"/>
      <c r="V50" s="143"/>
      <c r="W50" s="143"/>
      <c r="X50" s="143"/>
      <c r="Y50" s="143"/>
      <c r="Z50" s="143"/>
      <c r="AA50" s="143">
        <f t="shared" ref="AA50:AA74" si="13">IF($I50="B1","",SUM(O50:Z50))</f>
        <v>0</v>
      </c>
      <c r="AB50" s="144" t="str">
        <f t="shared" ref="AB50:AB74" si="14">IF(AA50=0,"",IFERROR(AA50/AA$19,""))</f>
        <v/>
      </c>
      <c r="AC50" s="140"/>
      <c r="AD50" s="143">
        <v>1109</v>
      </c>
      <c r="AE50" s="144">
        <f t="shared" ref="AE50:AE74" si="15">IF(AD50=0,"",IFERROR(AD50/AD$19,""))</f>
        <v>8.5493469099309422E-5</v>
      </c>
      <c r="AF50" s="145">
        <f t="shared" ref="AF50:AF74" si="16">IF(AND($AA50="",AD50=""),"",$AA50-AD50)</f>
        <v>-1109</v>
      </c>
      <c r="AG50" s="143">
        <v>432.44</v>
      </c>
      <c r="AH50" s="144">
        <f t="shared" ref="AH50:AH74" si="17">IF(AG50=0,"",IFERROR(AG50/AG$19,""))</f>
        <v>5.1566959869702013E-5</v>
      </c>
      <c r="AI50" s="145">
        <f t="shared" ref="AI50:AI74" si="18">IF(AND($AA50="",AG50=""),"",$AA50-AG50)</f>
        <v>-432.44</v>
      </c>
      <c r="AJ50" s="440">
        <f t="shared" ref="AJ50:AJ74" si="19">IFERROR(AA50/AA$20,0)</f>
        <v>0</v>
      </c>
      <c r="AK50" s="441">
        <f t="shared" ref="AK50:AK74" si="20">IFERROR(AD50/AD$20,0)</f>
        <v>2.2954959430369265E-2</v>
      </c>
      <c r="AL50" s="442">
        <f t="shared" ref="AL50:AL74" si="21">IFERROR(AG50/AG$20,0)</f>
        <v>8.9755085097550855E-3</v>
      </c>
      <c r="AM50" s="443">
        <f t="shared" ref="AM50:AM74" si="22">+IFERROR(ROUND(($AB50-AE50)*100,2)&amp;" pts.",0)</f>
        <v>0</v>
      </c>
      <c r="AN50" s="444">
        <f t="shared" ref="AN50:AN74" si="23">+IFERROR(ROUND(($AB50-AH50)*100,2)&amp;" pts.",0)</f>
        <v>0</v>
      </c>
      <c r="AO50" s="11"/>
    </row>
    <row r="51" spans="1:41" x14ac:dyDescent="0.35">
      <c r="A51" s="65" t="s">
        <v>5</v>
      </c>
      <c r="B51" s="66"/>
      <c r="C51" s="11"/>
      <c r="D51" s="11"/>
      <c r="E51" s="11"/>
      <c r="F51" s="11"/>
      <c r="G51" s="88" t="s">
        <v>827</v>
      </c>
      <c r="H51" s="88" t="s">
        <v>828</v>
      </c>
      <c r="I51" s="122" t="str">
        <f>IF(_epmOfflineCondition_,"N",_xll.EVPRO($B$1,$H51,"STYLE"))</f>
        <v>N</v>
      </c>
      <c r="J51" s="122" t="str">
        <f>IF(_epmOfflineCondition_,"N",_xll.EVPRO($B$1,$H51,"CALC"))</f>
        <v>N</v>
      </c>
      <c r="K51" s="179" t="str">
        <f t="shared" si="12"/>
        <v/>
      </c>
      <c r="L51" s="90" t="str">
        <f>IF(_epmOfflineCondition_,"701200",_xll.EVPRO($B$1,H51,"JDEID"))</f>
        <v>701200</v>
      </c>
      <c r="M51" s="90" t="str">
        <f>IF(_epmOfflineCondition_,"690010",IF(AND(I51="N",J51="N"),_xll.EVPRO($B$1,H51,"PSFTID"),""))</f>
        <v>690010</v>
      </c>
      <c r="N51" s="90" t="str">
        <f>IF(_epmOfflineCondition_,"Postage and Overnight Delivery",IF(_xll.EVDES(H51,$B$1)="#NODATA","",_xll.EVDES(H51,$B$1)))</f>
        <v>Postage and Overnight Delivery</v>
      </c>
      <c r="O51" s="143">
        <v>168.91</v>
      </c>
      <c r="P51" s="143">
        <v>165.61</v>
      </c>
      <c r="Q51" s="143">
        <v>335.85</v>
      </c>
      <c r="R51" s="143">
        <v>200</v>
      </c>
      <c r="S51" s="143">
        <v>200</v>
      </c>
      <c r="T51" s="143">
        <v>45.87</v>
      </c>
      <c r="U51" s="143"/>
      <c r="V51" s="143"/>
      <c r="W51" s="143"/>
      <c r="X51" s="143">
        <v>200</v>
      </c>
      <c r="Y51" s="143"/>
      <c r="Z51" s="143">
        <v>377.53</v>
      </c>
      <c r="AA51" s="143">
        <f t="shared" si="13"/>
        <v>1693.7699999999998</v>
      </c>
      <c r="AB51" s="144">
        <f t="shared" si="14"/>
        <v>3.2489118738566921E-4</v>
      </c>
      <c r="AC51" s="140"/>
      <c r="AD51" s="143">
        <v>2499.9999999995998</v>
      </c>
      <c r="AE51" s="144">
        <f t="shared" si="15"/>
        <v>1.9272648579642864E-4</v>
      </c>
      <c r="AF51" s="145">
        <f t="shared" si="16"/>
        <v>-806.22999999960007</v>
      </c>
      <c r="AG51" s="143">
        <v>3320.9</v>
      </c>
      <c r="AH51" s="144">
        <f t="shared" si="17"/>
        <v>3.9600572803462542E-4</v>
      </c>
      <c r="AI51" s="145">
        <f t="shared" si="18"/>
        <v>-1627.1300000000003</v>
      </c>
      <c r="AJ51" s="440">
        <f t="shared" si="19"/>
        <v>3.5058991554893192E-2</v>
      </c>
      <c r="AK51" s="441">
        <f t="shared" si="20"/>
        <v>5.1746977976477891E-2</v>
      </c>
      <c r="AL51" s="442">
        <f t="shared" si="21"/>
        <v>6.8926940639269407E-2</v>
      </c>
      <c r="AM51" s="443" t="str">
        <f t="shared" si="22"/>
        <v>0.01 pts.</v>
      </c>
      <c r="AN51" s="444" t="str">
        <f t="shared" si="23"/>
        <v>-0.01 pts.</v>
      </c>
      <c r="AO51" s="11"/>
    </row>
    <row r="52" spans="1:41" x14ac:dyDescent="0.35">
      <c r="A52" s="65" t="s">
        <v>6</v>
      </c>
      <c r="B52" s="66"/>
      <c r="C52" s="11"/>
      <c r="D52" s="11"/>
      <c r="E52" s="11"/>
      <c r="F52" s="11"/>
      <c r="G52" s="88" t="s">
        <v>827</v>
      </c>
      <c r="H52" s="88" t="s">
        <v>829</v>
      </c>
      <c r="I52" s="122" t="str">
        <f>IF(_epmOfflineCondition_,"N",_xll.EVPRO($B$1,$H52,"STYLE"))</f>
        <v>N</v>
      </c>
      <c r="J52" s="122" t="str">
        <f>IF(_epmOfflineCondition_,"N",_xll.EVPRO($B$1,$H52,"CALC"))</f>
        <v>N</v>
      </c>
      <c r="K52" s="179" t="str">
        <f t="shared" si="12"/>
        <v/>
      </c>
      <c r="L52" s="90" t="str">
        <f>IF(_epmOfflineCondition_,"701400",_xll.EVPRO($B$1,H52,"JDEID"))</f>
        <v>701400</v>
      </c>
      <c r="M52" s="90" t="str">
        <f>IF(_epmOfflineCondition_,"590399",IF(AND(I52="N",J52="N"),_xll.EVPRO($B$1,H52,"PSFTID"),""))</f>
        <v>590399</v>
      </c>
      <c r="N52" s="90" t="str">
        <f>IF(_epmOfflineCondition_,"Professional Fees",IF(_xll.EVDES(H52,$B$1)="#NODATA","",_xll.EVDES(H52,$B$1)))</f>
        <v>Professional Fees</v>
      </c>
      <c r="O52" s="143">
        <v>78.2</v>
      </c>
      <c r="P52" s="143">
        <v>2000</v>
      </c>
      <c r="Q52" s="143"/>
      <c r="R52" s="143"/>
      <c r="S52" s="143"/>
      <c r="T52" s="143"/>
      <c r="U52" s="143"/>
      <c r="V52" s="143">
        <v>2515</v>
      </c>
      <c r="W52" s="143"/>
      <c r="X52" s="143">
        <v>-1765</v>
      </c>
      <c r="Y52" s="143"/>
      <c r="Z52" s="143">
        <v>79.8</v>
      </c>
      <c r="AA52" s="143">
        <f t="shared" si="13"/>
        <v>2908</v>
      </c>
      <c r="AB52" s="144">
        <f t="shared" si="14"/>
        <v>5.577992129495305E-4</v>
      </c>
      <c r="AC52" s="140"/>
      <c r="AD52" s="143">
        <v>2515</v>
      </c>
      <c r="AE52" s="144">
        <f t="shared" si="15"/>
        <v>1.9388284471123825E-4</v>
      </c>
      <c r="AF52" s="145">
        <f t="shared" si="16"/>
        <v>393</v>
      </c>
      <c r="AG52" s="143">
        <v>2579.2199999999998</v>
      </c>
      <c r="AH52" s="144">
        <f t="shared" si="17"/>
        <v>3.075629780666285E-4</v>
      </c>
      <c r="AI52" s="145">
        <f t="shared" si="18"/>
        <v>328.7800000000002</v>
      </c>
      <c r="AJ52" s="440">
        <f t="shared" si="19"/>
        <v>6.0192084782248717E-2</v>
      </c>
      <c r="AK52" s="441">
        <f t="shared" si="20"/>
        <v>5.2057459844345087E-2</v>
      </c>
      <c r="AL52" s="442">
        <f t="shared" si="21"/>
        <v>5.353300124533001E-2</v>
      </c>
      <c r="AM52" s="443" t="str">
        <f t="shared" si="22"/>
        <v>0.04 pts.</v>
      </c>
      <c r="AN52" s="444" t="str">
        <f t="shared" si="23"/>
        <v>0.03 pts.</v>
      </c>
      <c r="AO52" s="11"/>
    </row>
    <row r="53" spans="1:41" x14ac:dyDescent="0.35">
      <c r="A53" s="65" t="s">
        <v>7</v>
      </c>
      <c r="B53" s="66"/>
      <c r="C53" s="11"/>
      <c r="D53" s="11"/>
      <c r="E53" s="11"/>
      <c r="F53" s="11"/>
      <c r="G53" s="88" t="s">
        <v>827</v>
      </c>
      <c r="H53" s="88" t="s">
        <v>830</v>
      </c>
      <c r="I53" s="122" t="str">
        <f>IF(_epmOfflineCondition_,"T4",_xll.EVPRO($B$1,$H53,"STYLE"))</f>
        <v>T4</v>
      </c>
      <c r="J53" s="122" t="str">
        <f>IF(_epmOfflineCondition_,"Y",_xll.EVPRO($B$1,$H53,"CALC"))</f>
        <v>Y</v>
      </c>
      <c r="K53" s="179" t="str">
        <f t="shared" si="12"/>
        <v>&gt;</v>
      </c>
      <c r="L53" s="90" t="str">
        <f>IF(_epmOfflineCondition_,"701500",_xll.EVPRO($B$1,H53,"JDEID"))</f>
        <v>701500</v>
      </c>
      <c r="M53" s="90" t="str">
        <f>IF(_epmOfflineCondition_,"",IF(AND(I53="N",J53="N"),_xll.EVPRO($B$1,H53,"PSFTID"),""))</f>
        <v/>
      </c>
      <c r="N53" s="90" t="str">
        <f>IF(_epmOfflineCondition_,"Operating Supplies",IF(_xll.EVDES(H53,$B$1)="#NODATA","",_xll.EVDES(H53,$B$1)))</f>
        <v>Operating Supplies</v>
      </c>
      <c r="O53" s="143">
        <v>590.34</v>
      </c>
      <c r="P53" s="143">
        <v>409.02</v>
      </c>
      <c r="Q53" s="143">
        <v>134.22</v>
      </c>
      <c r="R53" s="143"/>
      <c r="S53" s="143">
        <v>-153.97999999999999</v>
      </c>
      <c r="T53" s="143"/>
      <c r="U53" s="143"/>
      <c r="V53" s="143"/>
      <c r="W53" s="143">
        <v>73.64</v>
      </c>
      <c r="X53" s="143">
        <v>102.92</v>
      </c>
      <c r="Y53" s="143"/>
      <c r="Z53" s="143">
        <v>58.82</v>
      </c>
      <c r="AA53" s="143">
        <f t="shared" si="13"/>
        <v>1214.98</v>
      </c>
      <c r="AB53" s="144">
        <f t="shared" si="14"/>
        <v>2.3305188712153391E-4</v>
      </c>
      <c r="AC53" s="140"/>
      <c r="AD53" s="143">
        <v>3302.5699999996</v>
      </c>
      <c r="AE53" s="144">
        <f t="shared" si="15"/>
        <v>2.5459708407869443E-4</v>
      </c>
      <c r="AF53" s="145">
        <f t="shared" si="16"/>
        <v>-2087.5899999996</v>
      </c>
      <c r="AG53" s="143">
        <v>3152.69</v>
      </c>
      <c r="AH53" s="144">
        <f t="shared" si="17"/>
        <v>3.7594727294332355E-4</v>
      </c>
      <c r="AI53" s="145">
        <f t="shared" si="18"/>
        <v>-1937.71</v>
      </c>
      <c r="AJ53" s="440">
        <f t="shared" si="19"/>
        <v>2.5148617320748468E-2</v>
      </c>
      <c r="AK53" s="441">
        <f t="shared" si="20"/>
        <v>6.8359206822313293E-2</v>
      </c>
      <c r="AL53" s="442">
        <f t="shared" si="21"/>
        <v>6.5435657949356574E-2</v>
      </c>
      <c r="AM53" s="443" t="str">
        <f t="shared" si="22"/>
        <v>0 pts.</v>
      </c>
      <c r="AN53" s="444" t="str">
        <f t="shared" si="23"/>
        <v>-0.01 pts.</v>
      </c>
      <c r="AO53" s="11"/>
    </row>
    <row r="54" spans="1:41" x14ac:dyDescent="0.35">
      <c r="A54" s="65" t="s">
        <v>47</v>
      </c>
      <c r="B54" s="66" t="str">
        <f>IF(_epmOfflineCondition_,"'AG'!$A$59:$B$80",_xll.EVRNG($A$59:$B$80))</f>
        <v>'AG'!$A$59:$B$80</v>
      </c>
      <c r="C54" s="11"/>
      <c r="D54" s="11"/>
      <c r="E54" s="11"/>
      <c r="F54" s="11"/>
      <c r="G54" s="88" t="s">
        <v>827</v>
      </c>
      <c r="H54" s="88" t="s">
        <v>831</v>
      </c>
      <c r="I54" s="122" t="str">
        <f>IF(_epmOfflineCondition_,"N",_xll.EVPRO($B$1,$H54,"STYLE"))</f>
        <v>N</v>
      </c>
      <c r="J54" s="122" t="str">
        <f>IF(_epmOfflineCondition_,"N",_xll.EVPRO($B$1,$H54,"CALC"))</f>
        <v>N</v>
      </c>
      <c r="K54" s="179" t="str">
        <f t="shared" si="12"/>
        <v/>
      </c>
      <c r="L54" s="90" t="str">
        <f>IF(_epmOfflineCondition_,"702300",_xll.EVPRO($B$1,H54,"JDEID"))</f>
        <v>702300</v>
      </c>
      <c r="M54" s="90" t="str">
        <f>IF(_epmOfflineCondition_,"590040",IF(AND(I54="N",J54="N"),_xll.EVPRO($B$1,H54,"PSFTID"),""))</f>
        <v>590040</v>
      </c>
      <c r="N54" s="90" t="str">
        <f>IF(_epmOfflineCondition_,"Decorations",IF(_xll.EVDES(H54,$B$1)="#NODATA","",_xll.EVDES(H54,$B$1)))</f>
        <v>Decorations</v>
      </c>
      <c r="O54" s="143"/>
      <c r="P54" s="143"/>
      <c r="Q54" s="143"/>
      <c r="R54" s="143"/>
      <c r="S54" s="143"/>
      <c r="T54" s="143"/>
      <c r="U54" s="143"/>
      <c r="V54" s="143"/>
      <c r="W54" s="143"/>
      <c r="X54" s="143"/>
      <c r="Y54" s="143"/>
      <c r="Z54" s="143"/>
      <c r="AA54" s="143">
        <f t="shared" si="13"/>
        <v>0</v>
      </c>
      <c r="AB54" s="144" t="str">
        <f t="shared" si="14"/>
        <v/>
      </c>
      <c r="AC54" s="140"/>
      <c r="AD54" s="143"/>
      <c r="AE54" s="144" t="str">
        <f t="shared" si="15"/>
        <v/>
      </c>
      <c r="AF54" s="145">
        <f t="shared" si="16"/>
        <v>0</v>
      </c>
      <c r="AG54" s="143">
        <v>1.69</v>
      </c>
      <c r="AH54" s="144">
        <f t="shared" si="17"/>
        <v>2.0152659832530848E-7</v>
      </c>
      <c r="AI54" s="145">
        <f t="shared" si="18"/>
        <v>-1.69</v>
      </c>
      <c r="AJ54" s="440">
        <f t="shared" si="19"/>
        <v>0</v>
      </c>
      <c r="AK54" s="441">
        <f t="shared" si="20"/>
        <v>0</v>
      </c>
      <c r="AL54" s="442">
        <f t="shared" si="21"/>
        <v>3.5076795350767954E-5</v>
      </c>
      <c r="AM54" s="443">
        <f t="shared" si="22"/>
        <v>0</v>
      </c>
      <c r="AN54" s="444">
        <f t="shared" si="23"/>
        <v>0</v>
      </c>
      <c r="AO54" s="11"/>
    </row>
    <row r="55" spans="1:41" x14ac:dyDescent="0.35">
      <c r="A55" s="65" t="s">
        <v>8</v>
      </c>
      <c r="B55" s="66"/>
      <c r="C55" s="11"/>
      <c r="D55" s="11"/>
      <c r="E55" s="11"/>
      <c r="F55" s="11"/>
      <c r="G55" s="88" t="s">
        <v>827</v>
      </c>
      <c r="H55" s="88" t="s">
        <v>832</v>
      </c>
      <c r="I55" s="122" t="str">
        <f>IF(_epmOfflineCondition_,"T4",_xll.EVPRO($B$1,$H55,"STYLE"))</f>
        <v>T4</v>
      </c>
      <c r="J55" s="122" t="str">
        <f>IF(_epmOfflineCondition_,"Y",_xll.EVPRO($B$1,$H55,"CALC"))</f>
        <v>Y</v>
      </c>
      <c r="K55" s="179" t="str">
        <f t="shared" si="12"/>
        <v>&gt;</v>
      </c>
      <c r="L55" s="90" t="str">
        <f>IF(_epmOfflineCondition_,"",_xll.EVPRO($B$1,H55,"JDEID"))</f>
        <v/>
      </c>
      <c r="M55" s="90" t="str">
        <f>IF(_epmOfflineCondition_,"",IF(AND(I55="N",J55="N"),_xll.EVPRO($B$1,H55,"PSFTID"),""))</f>
        <v/>
      </c>
      <c r="N55" s="90" t="str">
        <f>IF(_epmOfflineCondition_,"Contract Services",IF(_xll.EVDES(H55,$B$1)="#NODATA","",_xll.EVDES(H55,$B$1)))</f>
        <v>Contract Services</v>
      </c>
      <c r="O55" s="143">
        <v>1080.29</v>
      </c>
      <c r="P55" s="143">
        <v>1010.29</v>
      </c>
      <c r="Q55" s="143">
        <v>1010.29</v>
      </c>
      <c r="R55" s="143">
        <v>93.75</v>
      </c>
      <c r="S55" s="143">
        <v>93.75</v>
      </c>
      <c r="T55" s="143">
        <v>93.75</v>
      </c>
      <c r="U55" s="143">
        <v>189.93</v>
      </c>
      <c r="V55" s="143">
        <v>189.93</v>
      </c>
      <c r="W55" s="143">
        <v>189.93</v>
      </c>
      <c r="X55" s="143">
        <v>189.93</v>
      </c>
      <c r="Y55" s="143">
        <v>189.93</v>
      </c>
      <c r="Z55" s="143">
        <v>189.93</v>
      </c>
      <c r="AA55" s="143">
        <f t="shared" si="13"/>
        <v>4521.7</v>
      </c>
      <c r="AB55" s="144">
        <f t="shared" si="14"/>
        <v>8.6733174043806464E-4</v>
      </c>
      <c r="AC55" s="140"/>
      <c r="AD55" s="143">
        <v>12683.28</v>
      </c>
      <c r="AE55" s="144">
        <f t="shared" si="15"/>
        <v>9.7776159310900761E-4</v>
      </c>
      <c r="AF55" s="145">
        <f t="shared" si="16"/>
        <v>-8161.5800000000008</v>
      </c>
      <c r="AG55" s="143">
        <v>12819.72</v>
      </c>
      <c r="AH55" s="144">
        <f t="shared" si="17"/>
        <v>1.5287068420609016E-3</v>
      </c>
      <c r="AI55" s="145">
        <f t="shared" si="18"/>
        <v>-8298.02</v>
      </c>
      <c r="AJ55" s="440">
        <f t="shared" si="19"/>
        <v>9.3593724126511013E-2</v>
      </c>
      <c r="AK55" s="441">
        <f t="shared" si="20"/>
        <v>0.26252856433184302</v>
      </c>
      <c r="AL55" s="442">
        <f t="shared" si="21"/>
        <v>0.26607970112079699</v>
      </c>
      <c r="AM55" s="443" t="str">
        <f t="shared" si="22"/>
        <v>-0.01 pts.</v>
      </c>
      <c r="AN55" s="444" t="str">
        <f t="shared" si="23"/>
        <v>-0.07 pts.</v>
      </c>
      <c r="AO55" s="11"/>
    </row>
    <row r="56" spans="1:41" x14ac:dyDescent="0.35">
      <c r="A56" s="11"/>
      <c r="B56" s="11"/>
      <c r="C56" s="11"/>
      <c r="D56" s="11"/>
      <c r="E56" s="11"/>
      <c r="F56" s="11"/>
      <c r="G56" s="88" t="s">
        <v>827</v>
      </c>
      <c r="H56" s="88" t="s">
        <v>833</v>
      </c>
      <c r="I56" s="122" t="str">
        <f>IF(_epmOfflineCondition_,"T4",_xll.EVPRO($B$1,$H56,"STYLE"))</f>
        <v>T4</v>
      </c>
      <c r="J56" s="122" t="str">
        <f>IF(_epmOfflineCondition_,"Y",_xll.EVPRO($B$1,$H56,"CALC"))</f>
        <v>Y</v>
      </c>
      <c r="K56" s="179" t="str">
        <f t="shared" si="12"/>
        <v>&gt;</v>
      </c>
      <c r="L56" s="90" t="str">
        <f>IF(_epmOfflineCondition_,"",_xll.EVPRO($B$1,H56,"JDEID"))</f>
        <v/>
      </c>
      <c r="M56" s="90" t="str">
        <f>IF(_epmOfflineCondition_,"",IF(AND(I56="N",J56="N"),_xll.EVPRO($B$1,H56,"PSFTID"),""))</f>
        <v/>
      </c>
      <c r="N56" s="90" t="str">
        <f>IF(_epmOfflineCondition_,"Travel - Other",IF(_xll.EVDES(H56,$B$1)="#NODATA","",_xll.EVDES(H56,$B$1)))</f>
        <v>Travel - Other</v>
      </c>
      <c r="O56" s="143">
        <v>116.6</v>
      </c>
      <c r="P56" s="143">
        <v>155.51</v>
      </c>
      <c r="Q56" s="143"/>
      <c r="R56" s="143">
        <v>43.33</v>
      </c>
      <c r="S56" s="143"/>
      <c r="T56" s="143"/>
      <c r="U56" s="143">
        <v>573.86</v>
      </c>
      <c r="V56" s="143">
        <v>307.24</v>
      </c>
      <c r="W56" s="143">
        <v>313.89999999999998</v>
      </c>
      <c r="X56" s="143">
        <v>793.62</v>
      </c>
      <c r="Y56" s="143"/>
      <c r="Z56" s="143"/>
      <c r="AA56" s="143">
        <f t="shared" si="13"/>
        <v>2304.06</v>
      </c>
      <c r="AB56" s="144">
        <f t="shared" si="14"/>
        <v>4.419542140950809E-4</v>
      </c>
      <c r="AC56" s="140"/>
      <c r="AD56" s="143">
        <v>6101.42</v>
      </c>
      <c r="AE56" s="144">
        <f t="shared" si="15"/>
        <v>4.7036209398729353E-4</v>
      </c>
      <c r="AF56" s="145">
        <f t="shared" si="16"/>
        <v>-3797.36</v>
      </c>
      <c r="AG56" s="143">
        <v>5535.04</v>
      </c>
      <c r="AH56" s="144">
        <f t="shared" si="17"/>
        <v>6.6003419100267189E-4</v>
      </c>
      <c r="AI56" s="145">
        <f t="shared" si="18"/>
        <v>-3230.98</v>
      </c>
      <c r="AJ56" s="440">
        <f t="shared" si="19"/>
        <v>4.7691256830601089E-2</v>
      </c>
      <c r="AK56" s="441">
        <f t="shared" si="20"/>
        <v>0.12629201854611691</v>
      </c>
      <c r="AL56" s="442">
        <f t="shared" si="21"/>
        <v>0.11488252386882523</v>
      </c>
      <c r="AM56" s="443" t="str">
        <f t="shared" si="22"/>
        <v>0 pts.</v>
      </c>
      <c r="AN56" s="444" t="str">
        <f t="shared" si="23"/>
        <v>-0.02 pts.</v>
      </c>
      <c r="AO56" s="11"/>
    </row>
    <row r="57" spans="1:41" x14ac:dyDescent="0.35">
      <c r="A57" s="11"/>
      <c r="B57" s="11"/>
      <c r="C57" s="11"/>
      <c r="D57" s="11"/>
      <c r="E57" s="11"/>
      <c r="F57" s="11"/>
      <c r="G57" s="88" t="s">
        <v>827</v>
      </c>
      <c r="H57" s="88" t="s">
        <v>834</v>
      </c>
      <c r="I57" s="122" t="str">
        <f>IF(_epmOfflineCondition_,"T4",_xll.EVPRO($B$1,$H57,"STYLE"))</f>
        <v>T4</v>
      </c>
      <c r="J57" s="122" t="str">
        <f>IF(_epmOfflineCondition_,"Y",_xll.EVPRO($B$1,$H57,"CALC"))</f>
        <v>Y</v>
      </c>
      <c r="K57" s="179" t="str">
        <f t="shared" si="12"/>
        <v>&gt;</v>
      </c>
      <c r="L57" s="90" t="str">
        <f>IF(_epmOfflineCondition_,"702900",_xll.EVPRO($B$1,H57,"JDEID"))</f>
        <v>702900</v>
      </c>
      <c r="M57" s="90" t="str">
        <f>IF(_epmOfflineCondition_,"",IF(AND(I57="N",J57="N"),_xll.EVPRO($B$1,H57,"PSFTID"),""))</f>
        <v/>
      </c>
      <c r="N57" s="90" t="str">
        <f>IF(_epmOfflineCondition_,"Travel - Meals &amp; Entertainment",IF(_xll.EVDES(H57,$B$1)="#NODATA","",_xll.EVDES(H57,$B$1)))</f>
        <v>Travel - Meals &amp; Entertainment</v>
      </c>
      <c r="O57" s="143"/>
      <c r="P57" s="143">
        <v>165.02</v>
      </c>
      <c r="Q57" s="143"/>
      <c r="R57" s="143"/>
      <c r="S57" s="143"/>
      <c r="T57" s="143"/>
      <c r="U57" s="143">
        <v>225.65</v>
      </c>
      <c r="V57" s="143">
        <v>171.54</v>
      </c>
      <c r="W57" s="143">
        <v>75.41</v>
      </c>
      <c r="X57" s="143">
        <v>125.6</v>
      </c>
      <c r="Y57" s="143"/>
      <c r="Z57" s="143"/>
      <c r="AA57" s="143">
        <f t="shared" si="13"/>
        <v>763.22</v>
      </c>
      <c r="AB57" s="144">
        <f t="shared" si="14"/>
        <v>1.4639735739592182E-4</v>
      </c>
      <c r="AC57" s="140"/>
      <c r="AD57" s="143">
        <v>3286</v>
      </c>
      <c r="AE57" s="144">
        <f t="shared" si="15"/>
        <v>2.5331969293086634E-4</v>
      </c>
      <c r="AF57" s="145">
        <f t="shared" si="16"/>
        <v>-2522.7799999999997</v>
      </c>
      <c r="AG57" s="143">
        <v>3523.82</v>
      </c>
      <c r="AH57" s="144">
        <f t="shared" si="17"/>
        <v>4.2020322941460864E-4</v>
      </c>
      <c r="AI57" s="145">
        <f t="shared" si="18"/>
        <v>-2760.6000000000004</v>
      </c>
      <c r="AJ57" s="440">
        <f t="shared" si="19"/>
        <v>1.579773141248551E-2</v>
      </c>
      <c r="AK57" s="441">
        <f t="shared" si="20"/>
        <v>6.8016227852293429E-2</v>
      </c>
      <c r="AL57" s="442">
        <f t="shared" si="21"/>
        <v>7.3138646741386468E-2</v>
      </c>
      <c r="AM57" s="443" t="str">
        <f t="shared" si="22"/>
        <v>-0.01 pts.</v>
      </c>
      <c r="AN57" s="444" t="str">
        <f t="shared" si="23"/>
        <v>-0.03 pts.</v>
      </c>
      <c r="AO57" s="11"/>
    </row>
    <row r="58" spans="1:41" x14ac:dyDescent="0.35">
      <c r="A58" s="62" t="s">
        <v>23</v>
      </c>
      <c r="B58" s="63" t="s">
        <v>24</v>
      </c>
      <c r="C58" s="11"/>
      <c r="D58" s="11"/>
      <c r="E58" s="11"/>
      <c r="F58" s="11"/>
      <c r="G58" s="88" t="s">
        <v>827</v>
      </c>
      <c r="H58" s="88" t="s">
        <v>835</v>
      </c>
      <c r="I58" s="122" t="str">
        <f>IF(_epmOfflineCondition_,"T4",_xll.EVPRO($B$1,$H58,"STYLE"))</f>
        <v>T4</v>
      </c>
      <c r="J58" s="122" t="str">
        <f>IF(_epmOfflineCondition_,"Y",_xll.EVPRO($B$1,$H58,"CALC"))</f>
        <v>Y</v>
      </c>
      <c r="K58" s="179" t="str">
        <f t="shared" si="12"/>
        <v>&gt;</v>
      </c>
      <c r="L58" s="90" t="str">
        <f>IF(_epmOfflineCondition_,"703000",_xll.EVPRO($B$1,H58,"JDEID"))</f>
        <v>703000</v>
      </c>
      <c r="M58" s="90" t="str">
        <f>IF(_epmOfflineCondition_,"",IF(AND(I58="N",J58="N"),_xll.EVPRO($B$1,H58,"PSFTID"),""))</f>
        <v/>
      </c>
      <c r="N58" s="90" t="str">
        <f>IF(_epmOfflineCondition_,"Complimentary Services &amp; Gifts",IF(_xll.EVDES(H58,$B$1)="#NODATA","",_xll.EVDES(H58,$B$1)))</f>
        <v>Complimentary Services &amp; Gifts</v>
      </c>
      <c r="O58" s="143"/>
      <c r="P58" s="143"/>
      <c r="Q58" s="143"/>
      <c r="R58" s="143"/>
      <c r="S58" s="143"/>
      <c r="T58" s="143"/>
      <c r="U58" s="143"/>
      <c r="V58" s="143"/>
      <c r="W58" s="143"/>
      <c r="X58" s="143"/>
      <c r="Y58" s="143"/>
      <c r="Z58" s="143"/>
      <c r="AA58" s="143">
        <f t="shared" si="13"/>
        <v>0</v>
      </c>
      <c r="AB58" s="144" t="str">
        <f t="shared" si="14"/>
        <v/>
      </c>
      <c r="AC58" s="140"/>
      <c r="AD58" s="143"/>
      <c r="AE58" s="144" t="str">
        <f t="shared" si="15"/>
        <v/>
      </c>
      <c r="AF58" s="145">
        <f t="shared" si="16"/>
        <v>0</v>
      </c>
      <c r="AG58" s="143">
        <v>9.61</v>
      </c>
      <c r="AH58" s="144">
        <f t="shared" si="17"/>
        <v>1.1459589407729081E-6</v>
      </c>
      <c r="AI58" s="145">
        <f t="shared" si="18"/>
        <v>-9.61</v>
      </c>
      <c r="AJ58" s="440">
        <f t="shared" si="19"/>
        <v>0</v>
      </c>
      <c r="AK58" s="441">
        <f t="shared" si="20"/>
        <v>0</v>
      </c>
      <c r="AL58" s="442">
        <f t="shared" si="21"/>
        <v>1.9946035699460355E-4</v>
      </c>
      <c r="AM58" s="443">
        <f t="shared" si="22"/>
        <v>0</v>
      </c>
      <c r="AN58" s="444">
        <f t="shared" si="23"/>
        <v>0</v>
      </c>
      <c r="AO58" s="11"/>
    </row>
    <row r="59" spans="1:41" x14ac:dyDescent="0.35">
      <c r="A59" s="65" t="s">
        <v>25</v>
      </c>
      <c r="B59" s="66"/>
      <c r="C59" s="11"/>
      <c r="D59" s="11"/>
      <c r="E59" s="11"/>
      <c r="F59" s="11"/>
      <c r="G59" s="88" t="s">
        <v>827</v>
      </c>
      <c r="H59" s="88" t="s">
        <v>836</v>
      </c>
      <c r="I59" s="122" t="str">
        <f>IF(_epmOfflineCondition_,"N",_xll.EVPRO($B$1,$H59,"STYLE"))</f>
        <v>N</v>
      </c>
      <c r="J59" s="122" t="str">
        <f>IF(_epmOfflineCondition_,"N",_xll.EVPRO($B$1,$H59,"CALC"))</f>
        <v>N</v>
      </c>
      <c r="K59" s="179" t="str">
        <f t="shared" si="12"/>
        <v/>
      </c>
      <c r="L59" s="90" t="str">
        <f>IF(_epmOfflineCondition_,"703100",_xll.EVPRO($B$1,H59,"JDEID"))</f>
        <v>703100</v>
      </c>
      <c r="M59" s="90" t="str">
        <f>IF(_epmOfflineCondition_,"690035",IF(AND(I59="N",J59="N"),_xll.EVPRO($B$1,H59,"PSFTID"),""))</f>
        <v>690035</v>
      </c>
      <c r="N59" s="90" t="str">
        <f>IF(_epmOfflineCondition_,"Training",IF(_xll.EVDES(H59,$B$1)="#NODATA","",_xll.EVDES(H59,$B$1)))</f>
        <v>Training</v>
      </c>
      <c r="O59" s="143"/>
      <c r="P59" s="143"/>
      <c r="Q59" s="143"/>
      <c r="R59" s="143"/>
      <c r="S59" s="143"/>
      <c r="T59" s="143"/>
      <c r="U59" s="143"/>
      <c r="V59" s="143"/>
      <c r="W59" s="143"/>
      <c r="X59" s="143"/>
      <c r="Y59" s="143"/>
      <c r="Z59" s="143"/>
      <c r="AA59" s="143">
        <f t="shared" si="13"/>
        <v>0</v>
      </c>
      <c r="AB59" s="144" t="str">
        <f t="shared" si="14"/>
        <v/>
      </c>
      <c r="AC59" s="140"/>
      <c r="AD59" s="143"/>
      <c r="AE59" s="144" t="str">
        <f t="shared" si="15"/>
        <v/>
      </c>
      <c r="AF59" s="145">
        <f t="shared" si="16"/>
        <v>0</v>
      </c>
      <c r="AG59" s="143">
        <v>51.04</v>
      </c>
      <c r="AH59" s="144">
        <f t="shared" si="17"/>
        <v>6.0863417624400863E-6</v>
      </c>
      <c r="AI59" s="145">
        <f t="shared" si="18"/>
        <v>-51.04</v>
      </c>
      <c r="AJ59" s="440">
        <f t="shared" si="19"/>
        <v>0</v>
      </c>
      <c r="AK59" s="441">
        <f t="shared" si="20"/>
        <v>0</v>
      </c>
      <c r="AL59" s="442">
        <f t="shared" si="21"/>
        <v>1.0593607305936074E-3</v>
      </c>
      <c r="AM59" s="443">
        <f t="shared" si="22"/>
        <v>0</v>
      </c>
      <c r="AN59" s="444">
        <f t="shared" si="23"/>
        <v>0</v>
      </c>
      <c r="AO59" s="11"/>
    </row>
    <row r="60" spans="1:41" x14ac:dyDescent="0.35">
      <c r="A60" s="65" t="s">
        <v>26</v>
      </c>
      <c r="B60" s="66"/>
      <c r="C60" s="11"/>
      <c r="D60" s="11"/>
      <c r="E60" s="11"/>
      <c r="F60" s="11"/>
      <c r="G60" s="88" t="s">
        <v>827</v>
      </c>
      <c r="H60" s="88" t="s">
        <v>837</v>
      </c>
      <c r="I60" s="122" t="str">
        <f>IF(_epmOfflineCondition_,"N",_xll.EVPRO($B$1,$H60,"STYLE"))</f>
        <v>N</v>
      </c>
      <c r="J60" s="122" t="str">
        <f>IF(_epmOfflineCondition_,"N",_xll.EVPRO($B$1,$H60,"CALC"))</f>
        <v>N</v>
      </c>
      <c r="K60" s="179" t="str">
        <f t="shared" si="12"/>
        <v/>
      </c>
      <c r="L60" s="90" t="str">
        <f>IF(_epmOfflineCondition_,"703200",_xll.EVPRO($B$1,H60,"JDEID"))</f>
        <v>703200</v>
      </c>
      <c r="M60" s="90" t="str">
        <f>IF(_epmOfflineCondition_,"590035",IF(AND(I60="N",J60="N"),_xll.EVPRO($B$1,H60,"PSFTID"),""))</f>
        <v>590035</v>
      </c>
      <c r="N60" s="90" t="str">
        <f>IF(_epmOfflineCondition_,"Uniform Costs",IF(_xll.EVDES(H60,$B$1)="#NODATA","",_xll.EVDES(H60,$B$1)))</f>
        <v>Uniform Costs</v>
      </c>
      <c r="O60" s="143"/>
      <c r="P60" s="143"/>
      <c r="Q60" s="143"/>
      <c r="R60" s="143"/>
      <c r="S60" s="143"/>
      <c r="T60" s="143"/>
      <c r="U60" s="143"/>
      <c r="V60" s="143"/>
      <c r="W60" s="143"/>
      <c r="X60" s="143"/>
      <c r="Y60" s="143"/>
      <c r="Z60" s="143"/>
      <c r="AA60" s="143">
        <f t="shared" si="13"/>
        <v>0</v>
      </c>
      <c r="AB60" s="144" t="str">
        <f t="shared" si="14"/>
        <v/>
      </c>
      <c r="AC60" s="140"/>
      <c r="AD60" s="143"/>
      <c r="AE60" s="144" t="str">
        <f t="shared" si="15"/>
        <v/>
      </c>
      <c r="AF60" s="145">
        <f t="shared" si="16"/>
        <v>0</v>
      </c>
      <c r="AG60" s="143">
        <v>-2.8421709430404001E-14</v>
      </c>
      <c r="AH60" s="144">
        <f t="shared" si="17"/>
        <v>-3.3891895976921065E-21</v>
      </c>
      <c r="AI60" s="145">
        <f t="shared" si="18"/>
        <v>2.8421709430404001E-14</v>
      </c>
      <c r="AJ60" s="440">
        <f t="shared" si="19"/>
        <v>0</v>
      </c>
      <c r="AK60" s="441">
        <f t="shared" si="20"/>
        <v>0</v>
      </c>
      <c r="AL60" s="442">
        <f t="shared" si="21"/>
        <v>-5.8990679598181818E-19</v>
      </c>
      <c r="AM60" s="443">
        <f t="shared" si="22"/>
        <v>0</v>
      </c>
      <c r="AN60" s="444">
        <f t="shared" si="23"/>
        <v>0</v>
      </c>
      <c r="AO60" s="11"/>
    </row>
    <row r="61" spans="1:41" x14ac:dyDescent="0.35">
      <c r="A61" s="65" t="s">
        <v>27</v>
      </c>
      <c r="B61" s="66"/>
      <c r="C61" s="11"/>
      <c r="D61" s="11"/>
      <c r="E61" s="11"/>
      <c r="F61" s="11"/>
      <c r="G61" s="88" t="s">
        <v>827</v>
      </c>
      <c r="H61" s="88" t="s">
        <v>838</v>
      </c>
      <c r="I61" s="122" t="str">
        <f>IF(_epmOfflineCondition_,"N",_xll.EVPRO($B$1,$H61,"STYLE"))</f>
        <v>N</v>
      </c>
      <c r="J61" s="122" t="str">
        <f>IF(_epmOfflineCondition_,"N",_xll.EVPRO($B$1,$H61,"CALC"))</f>
        <v>N</v>
      </c>
      <c r="K61" s="179" t="str">
        <f t="shared" si="12"/>
        <v/>
      </c>
      <c r="L61" s="90" t="str">
        <f>IF(_epmOfflineCondition_,"703300",_xll.EVPRO($B$1,H61,"JDEID"))</f>
        <v>703300</v>
      </c>
      <c r="M61" s="90" t="str">
        <f>IF(_epmOfflineCondition_,"590115",IF(AND(I61="N",J61="N"),_xll.EVPRO($B$1,H61,"PSFTID"),""))</f>
        <v>590115</v>
      </c>
      <c r="N61" s="90" t="str">
        <f>IF(_epmOfflineCondition_,"Uniforms Laundry",IF(_xll.EVDES(H61,$B$1)="#NODATA","",_xll.EVDES(H61,$B$1)))</f>
        <v>Uniforms Laundry</v>
      </c>
      <c r="O61" s="143"/>
      <c r="P61" s="143"/>
      <c r="Q61" s="143"/>
      <c r="R61" s="143"/>
      <c r="S61" s="143"/>
      <c r="T61" s="143"/>
      <c r="U61" s="143"/>
      <c r="V61" s="143"/>
      <c r="W61" s="143"/>
      <c r="X61" s="143"/>
      <c r="Y61" s="143"/>
      <c r="Z61" s="143"/>
      <c r="AA61" s="143">
        <f t="shared" si="13"/>
        <v>0</v>
      </c>
      <c r="AB61" s="144" t="str">
        <f t="shared" si="14"/>
        <v/>
      </c>
      <c r="AC61" s="140"/>
      <c r="AD61" s="143">
        <v>277.56</v>
      </c>
      <c r="AE61" s="144">
        <f t="shared" si="15"/>
        <v>2.1397265359066116E-5</v>
      </c>
      <c r="AF61" s="145">
        <f t="shared" si="16"/>
        <v>-277.56</v>
      </c>
      <c r="AG61" s="143">
        <v>250.52</v>
      </c>
      <c r="AH61" s="144">
        <f t="shared" si="17"/>
        <v>2.9873635155299578E-5</v>
      </c>
      <c r="AI61" s="145">
        <f t="shared" si="18"/>
        <v>-250.52</v>
      </c>
      <c r="AJ61" s="440">
        <f t="shared" si="19"/>
        <v>0</v>
      </c>
      <c r="AK61" s="441">
        <f t="shared" si="20"/>
        <v>5.7451564828614006E-3</v>
      </c>
      <c r="AL61" s="442">
        <f t="shared" si="21"/>
        <v>5.1996679119966794E-3</v>
      </c>
      <c r="AM61" s="443">
        <f t="shared" si="22"/>
        <v>0</v>
      </c>
      <c r="AN61" s="444">
        <f t="shared" si="23"/>
        <v>0</v>
      </c>
      <c r="AO61" s="11"/>
    </row>
    <row r="62" spans="1:41" x14ac:dyDescent="0.35">
      <c r="A62" s="65" t="s">
        <v>28</v>
      </c>
      <c r="B62" s="66"/>
      <c r="C62" s="11"/>
      <c r="D62" s="11"/>
      <c r="E62" s="11"/>
      <c r="F62" s="11"/>
      <c r="G62" s="88" t="s">
        <v>827</v>
      </c>
      <c r="H62" s="88" t="s">
        <v>839</v>
      </c>
      <c r="I62" s="122" t="str">
        <f>IF(_epmOfflineCondition_,"N",_xll.EVPRO($B$1,$H62,"STYLE"))</f>
        <v>N</v>
      </c>
      <c r="J62" s="122" t="str">
        <f>IF(_epmOfflineCondition_,"N",_xll.EVPRO($B$1,$H62,"CALC"))</f>
        <v>N</v>
      </c>
      <c r="K62" s="179" t="str">
        <f t="shared" si="12"/>
        <v/>
      </c>
      <c r="L62" s="90" t="str">
        <f>IF(_epmOfflineCondition_,"704600",_xll.EVPRO($B$1,H62,"JDEID"))</f>
        <v>704600</v>
      </c>
      <c r="M62" s="90" t="str">
        <f>IF(_epmOfflineCondition_,"590130",IF(AND(I62="N",J62="N"),_xll.EVPRO($B$1,H62,"PSFTID"),""))</f>
        <v>590130</v>
      </c>
      <c r="N62" s="90" t="str">
        <f>IF(_epmOfflineCondition_,"Credit Card Commissions",IF(_xll.EVDES(H62,$B$1)="#NODATA","",_xll.EVDES(H62,$B$1)))</f>
        <v>Credit Card Commissions</v>
      </c>
      <c r="O62" s="143">
        <v>36434.42</v>
      </c>
      <c r="P62" s="143">
        <v>31832.67</v>
      </c>
      <c r="Q62" s="143">
        <v>19349.14</v>
      </c>
      <c r="R62" s="143">
        <v>1231</v>
      </c>
      <c r="S62" s="143">
        <v>6.06</v>
      </c>
      <c r="T62" s="143">
        <v>2661.67</v>
      </c>
      <c r="U62" s="143">
        <v>1396.48</v>
      </c>
      <c r="V62" s="143">
        <v>3242.8</v>
      </c>
      <c r="W62" s="143">
        <v>6089.56</v>
      </c>
      <c r="X62" s="143">
        <v>11128.28</v>
      </c>
      <c r="Y62" s="143">
        <v>8610.59</v>
      </c>
      <c r="Z62" s="143">
        <v>16998.28</v>
      </c>
      <c r="AA62" s="143">
        <f t="shared" si="13"/>
        <v>138980.94999999998</v>
      </c>
      <c r="AB62" s="144">
        <f t="shared" si="14"/>
        <v>2.6658687938438116E-2</v>
      </c>
      <c r="AC62" s="140"/>
      <c r="AD62" s="143">
        <v>384731.289802004</v>
      </c>
      <c r="AE62" s="144">
        <f t="shared" si="15"/>
        <v>2.9659163783791784E-2</v>
      </c>
      <c r="AF62" s="145">
        <f t="shared" si="16"/>
        <v>-245750.33980200402</v>
      </c>
      <c r="AG62" s="143">
        <v>260490.6</v>
      </c>
      <c r="AH62" s="144">
        <f t="shared" si="17"/>
        <v>3.1062594386815742E-2</v>
      </c>
      <c r="AI62" s="145">
        <f t="shared" si="18"/>
        <v>-121509.65000000002</v>
      </c>
      <c r="AJ62" s="440">
        <f t="shared" si="19"/>
        <v>2.87673766352045</v>
      </c>
      <c r="AK62" s="441">
        <f t="shared" si="20"/>
        <v>7.9634726320997684</v>
      </c>
      <c r="AL62" s="442">
        <f t="shared" si="21"/>
        <v>5.406612702366127</v>
      </c>
      <c r="AM62" s="443" t="str">
        <f t="shared" si="22"/>
        <v>-0.3 pts.</v>
      </c>
      <c r="AN62" s="444" t="str">
        <f t="shared" si="23"/>
        <v>-0.44 pts.</v>
      </c>
      <c r="AO62" s="11"/>
    </row>
    <row r="63" spans="1:41" x14ac:dyDescent="0.35">
      <c r="A63" s="65" t="s">
        <v>29</v>
      </c>
      <c r="B63" s="66"/>
      <c r="C63" s="11"/>
      <c r="D63" s="11"/>
      <c r="E63" s="11"/>
      <c r="F63" s="11"/>
      <c r="G63" s="88" t="s">
        <v>827</v>
      </c>
      <c r="H63" s="88" t="s">
        <v>840</v>
      </c>
      <c r="I63" s="122" t="str">
        <f>IF(_epmOfflineCondition_,"N",_xll.EVPRO($B$1,$H63,"STYLE"))</f>
        <v>N</v>
      </c>
      <c r="J63" s="122" t="str">
        <f>IF(_epmOfflineCondition_,"N",_xll.EVPRO($B$1,$H63,"CALC"))</f>
        <v>N</v>
      </c>
      <c r="K63" s="179" t="str">
        <f t="shared" si="12"/>
        <v/>
      </c>
      <c r="L63" s="90" t="str">
        <f>IF(_epmOfflineCondition_,"704700",_xll.EVPRO($B$1,H63,"JDEID"))</f>
        <v>704700</v>
      </c>
      <c r="M63" s="90" t="str">
        <f>IF(_epmOfflineCondition_,"690130",IF(AND(I63="N",J63="N"),_xll.EVPRO($B$1,H63,"PSFTID"),""))</f>
        <v>690130</v>
      </c>
      <c r="N63" s="90" t="str">
        <f>IF(_epmOfflineCondition_,"Cash Overages &amp; Shortages",IF(_xll.EVDES(H63,$B$1)="#NODATA","",_xll.EVDES(H63,$B$1)))</f>
        <v>Cash Overages &amp; Shortages</v>
      </c>
      <c r="O63" s="143"/>
      <c r="P63" s="143"/>
      <c r="Q63" s="143"/>
      <c r="R63" s="143"/>
      <c r="S63" s="143"/>
      <c r="T63" s="143"/>
      <c r="U63" s="143">
        <v>-137.59</v>
      </c>
      <c r="V63" s="143">
        <v>-87.69</v>
      </c>
      <c r="W63" s="143">
        <v>15.45</v>
      </c>
      <c r="X63" s="143"/>
      <c r="Y63" s="143"/>
      <c r="Z63" s="143"/>
      <c r="AA63" s="143">
        <f t="shared" si="13"/>
        <v>-209.83</v>
      </c>
      <c r="AB63" s="144">
        <f t="shared" si="14"/>
        <v>-4.0248627528610725E-5</v>
      </c>
      <c r="AC63" s="140"/>
      <c r="AD63" s="143"/>
      <c r="AE63" s="144" t="str">
        <f t="shared" si="15"/>
        <v/>
      </c>
      <c r="AF63" s="145">
        <f t="shared" si="16"/>
        <v>-209.83</v>
      </c>
      <c r="AG63" s="143"/>
      <c r="AH63" s="144" t="str">
        <f t="shared" si="17"/>
        <v/>
      </c>
      <c r="AI63" s="145">
        <f t="shared" si="18"/>
        <v>-209.83</v>
      </c>
      <c r="AJ63" s="440">
        <f t="shared" si="19"/>
        <v>-4.3432273555224377E-3</v>
      </c>
      <c r="AK63" s="441">
        <f t="shared" si="20"/>
        <v>0</v>
      </c>
      <c r="AL63" s="442">
        <f t="shared" si="21"/>
        <v>0</v>
      </c>
      <c r="AM63" s="443">
        <f t="shared" si="22"/>
        <v>0</v>
      </c>
      <c r="AN63" s="444">
        <f t="shared" si="23"/>
        <v>0</v>
      </c>
      <c r="AO63" s="11"/>
    </row>
    <row r="64" spans="1:41" x14ac:dyDescent="0.35">
      <c r="A64" s="65" t="s">
        <v>30</v>
      </c>
      <c r="B64" s="66" t="s">
        <v>78</v>
      </c>
      <c r="C64" s="11"/>
      <c r="D64" s="11"/>
      <c r="E64" s="11"/>
      <c r="F64" s="11"/>
      <c r="G64" s="88" t="s">
        <v>827</v>
      </c>
      <c r="H64" s="88" t="s">
        <v>841</v>
      </c>
      <c r="I64" s="122" t="str">
        <f>IF(_epmOfflineCondition_,"N",_xll.EVPRO($B$1,$H64,"STYLE"))</f>
        <v>N</v>
      </c>
      <c r="J64" s="122" t="str">
        <f>IF(_epmOfflineCondition_,"N",_xll.EVPRO($B$1,$H64,"CALC"))</f>
        <v>N</v>
      </c>
      <c r="K64" s="179" t="str">
        <f t="shared" si="12"/>
        <v/>
      </c>
      <c r="L64" s="90" t="str">
        <f>IF(_epmOfflineCondition_,"704800",_xll.EVPRO($B$1,H64,"JDEID"))</f>
        <v>704800</v>
      </c>
      <c r="M64" s="90" t="str">
        <f>IF(_epmOfflineCondition_,"690052",IF(AND(I64="N",J64="N"),_xll.EVPRO($B$1,H64,"PSFTID"),""))</f>
        <v>690052</v>
      </c>
      <c r="N64" s="90" t="str">
        <f>IF(_epmOfflineCondition_,"Provision for Doubtful Accounts",IF(_xll.EVDES(H64,$B$1)="#NODATA","",_xll.EVDES(H64,$B$1)))</f>
        <v>Provision for Doubtful Accounts</v>
      </c>
      <c r="O64" s="143">
        <v>2164.08</v>
      </c>
      <c r="P64" s="143">
        <v>2586.04</v>
      </c>
      <c r="Q64" s="143">
        <v>3671.66</v>
      </c>
      <c r="R64" s="143">
        <v>4691.1000000000004</v>
      </c>
      <c r="S64" s="143">
        <v>-1202.68</v>
      </c>
      <c r="T64" s="143">
        <v>679.83</v>
      </c>
      <c r="U64" s="143"/>
      <c r="V64" s="143"/>
      <c r="W64" s="143"/>
      <c r="X64" s="143">
        <v>4562.13</v>
      </c>
      <c r="Y64" s="143">
        <v>-1369.02</v>
      </c>
      <c r="Z64" s="143">
        <v>1917.29</v>
      </c>
      <c r="AA64" s="143">
        <f t="shared" si="13"/>
        <v>17700.43</v>
      </c>
      <c r="AB64" s="144">
        <f t="shared" si="14"/>
        <v>3.3952152417016019E-3</v>
      </c>
      <c r="AC64" s="140"/>
      <c r="AD64" s="143">
        <v>7578.5300000003999</v>
      </c>
      <c r="AE64" s="144">
        <f t="shared" si="15"/>
        <v>5.842333817612477E-4</v>
      </c>
      <c r="AF64" s="145">
        <f t="shared" si="16"/>
        <v>10121.899999999601</v>
      </c>
      <c r="AG64" s="143">
        <v>16512.53</v>
      </c>
      <c r="AH64" s="144">
        <f t="shared" si="17"/>
        <v>1.9690615388429623E-3</v>
      </c>
      <c r="AI64" s="145">
        <f t="shared" si="18"/>
        <v>1187.9000000000015</v>
      </c>
      <c r="AJ64" s="440">
        <f t="shared" si="19"/>
        <v>0.36637750455373408</v>
      </c>
      <c r="AK64" s="441">
        <f t="shared" si="20"/>
        <v>0.15686641000166418</v>
      </c>
      <c r="AL64" s="442">
        <f t="shared" si="21"/>
        <v>0.34272581984225819</v>
      </c>
      <c r="AM64" s="443" t="str">
        <f t="shared" si="22"/>
        <v>0.28 pts.</v>
      </c>
      <c r="AN64" s="444" t="str">
        <f t="shared" si="23"/>
        <v>0.14 pts.</v>
      </c>
      <c r="AO64" s="11"/>
    </row>
    <row r="65" spans="1:41" x14ac:dyDescent="0.35">
      <c r="A65" s="65" t="s">
        <v>31</v>
      </c>
      <c r="B65" s="66" t="s">
        <v>78</v>
      </c>
      <c r="C65" s="11"/>
      <c r="D65" s="11"/>
      <c r="E65" s="11"/>
      <c r="F65" s="11"/>
      <c r="G65" s="88" t="s">
        <v>827</v>
      </c>
      <c r="H65" s="88" t="s">
        <v>842</v>
      </c>
      <c r="I65" s="122" t="str">
        <f>IF(_epmOfflineCondition_,"N",_xll.EVPRO($B$1,$H65,"STYLE"))</f>
        <v>N</v>
      </c>
      <c r="J65" s="122" t="str">
        <f>IF(_epmOfflineCondition_,"N",_xll.EVPRO($B$1,$H65,"CALC"))</f>
        <v>N</v>
      </c>
      <c r="K65" s="179" t="str">
        <f t="shared" si="12"/>
        <v/>
      </c>
      <c r="L65" s="90" t="str">
        <f>IF(_epmOfflineCondition_,"705000",_xll.EVPRO($B$1,H65,"JDEID"))</f>
        <v>705000</v>
      </c>
      <c r="M65" s="90" t="str">
        <f>IF(_epmOfflineCondition_,"690200",IF(AND(I65="N",J65="N"),_xll.EVPRO($B$1,H65,"PSFTID"),""))</f>
        <v>690200</v>
      </c>
      <c r="N65" s="90" t="str">
        <f>IF(_epmOfflineCondition_,"Bank Charges",IF(_xll.EVDES(H65,$B$1)="#NODATA","",_xll.EVDES(H65,$B$1)))</f>
        <v>Bank Charges</v>
      </c>
      <c r="O65" s="143">
        <v>1863.8</v>
      </c>
      <c r="P65" s="143">
        <v>2038.48</v>
      </c>
      <c r="Q65" s="143">
        <v>1804.85</v>
      </c>
      <c r="R65" s="143">
        <v>2163.37</v>
      </c>
      <c r="S65" s="143">
        <v>7588.7</v>
      </c>
      <c r="T65" s="143">
        <v>-2827.02</v>
      </c>
      <c r="U65" s="143">
        <v>1797.68</v>
      </c>
      <c r="V65" s="143">
        <v>2315.37</v>
      </c>
      <c r="W65" s="143">
        <v>1796.57</v>
      </c>
      <c r="X65" s="143">
        <v>1818.86</v>
      </c>
      <c r="Y65" s="143">
        <v>1871.16</v>
      </c>
      <c r="Z65" s="143">
        <v>1974.51</v>
      </c>
      <c r="AA65" s="143">
        <f t="shared" si="13"/>
        <v>24206.329999999998</v>
      </c>
      <c r="AB65" s="144">
        <f t="shared" si="14"/>
        <v>4.6431471191185035E-3</v>
      </c>
      <c r="AC65" s="140"/>
      <c r="AD65" s="143">
        <v>16167.9999999996</v>
      </c>
      <c r="AE65" s="144">
        <f t="shared" si="15"/>
        <v>1.246400728942832E-3</v>
      </c>
      <c r="AF65" s="145">
        <f t="shared" si="16"/>
        <v>8038.3300000003983</v>
      </c>
      <c r="AG65" s="143">
        <v>25785.96</v>
      </c>
      <c r="AH65" s="144">
        <f t="shared" si="17"/>
        <v>3.0748856824570838E-3</v>
      </c>
      <c r="AI65" s="145">
        <f t="shared" si="18"/>
        <v>-1579.630000000001</v>
      </c>
      <c r="AJ65" s="440">
        <f t="shared" si="19"/>
        <v>0.50104177016062257</v>
      </c>
      <c r="AK65" s="441">
        <f t="shared" si="20"/>
        <v>0.33465805596952308</v>
      </c>
      <c r="AL65" s="442">
        <f t="shared" si="21"/>
        <v>0.53520049813200499</v>
      </c>
      <c r="AM65" s="443" t="str">
        <f t="shared" si="22"/>
        <v>0.34 pts.</v>
      </c>
      <c r="AN65" s="444" t="str">
        <f t="shared" si="23"/>
        <v>0.16 pts.</v>
      </c>
      <c r="AO65" s="11"/>
    </row>
    <row r="66" spans="1:41" x14ac:dyDescent="0.35">
      <c r="A66" s="65" t="s">
        <v>32</v>
      </c>
      <c r="B66" s="66"/>
      <c r="C66" s="11"/>
      <c r="D66" s="11"/>
      <c r="E66" s="11"/>
      <c r="F66" s="11"/>
      <c r="G66" s="88" t="s">
        <v>827</v>
      </c>
      <c r="H66" s="88" t="s">
        <v>843</v>
      </c>
      <c r="I66" s="122" t="str">
        <f>IF(_epmOfflineCondition_,"N",_xll.EVPRO($B$1,$H66,"STYLE"))</f>
        <v>N</v>
      </c>
      <c r="J66" s="122" t="str">
        <f>IF(_epmOfflineCondition_,"N",_xll.EVPRO($B$1,$H66,"CALC"))</f>
        <v>N</v>
      </c>
      <c r="K66" s="179" t="str">
        <f t="shared" si="12"/>
        <v/>
      </c>
      <c r="L66" s="90" t="str">
        <f>IF(_epmOfflineCondition_,"705100",_xll.EVPRO($B$1,H66,"JDEID"))</f>
        <v>705100</v>
      </c>
      <c r="M66" s="90" t="str">
        <f>IF(_epmOfflineCondition_,"590055",IF(AND(I66="N",J66="N"),_xll.EVPRO($B$1,H66,"PSFTID"),""))</f>
        <v>590055</v>
      </c>
      <c r="N66" s="90" t="str">
        <f>IF(_epmOfflineCondition_,"Payroll Processing",IF(_xll.EVDES(H66,$B$1)="#NODATA","",_xll.EVDES(H66,$B$1)))</f>
        <v>Payroll Processing</v>
      </c>
      <c r="O66" s="143">
        <v>426.05</v>
      </c>
      <c r="P66" s="143">
        <v>522.08000000000004</v>
      </c>
      <c r="Q66" s="143">
        <v>381.26</v>
      </c>
      <c r="R66" s="143">
        <v>366.26</v>
      </c>
      <c r="S66" s="143">
        <v>378.26</v>
      </c>
      <c r="T66" s="143">
        <v>366.26</v>
      </c>
      <c r="U66" s="143"/>
      <c r="V66" s="143">
        <v>732</v>
      </c>
      <c r="W66" s="143">
        <v>378.84</v>
      </c>
      <c r="X66" s="143">
        <v>414.38</v>
      </c>
      <c r="Y66" s="143">
        <v>-47.86</v>
      </c>
      <c r="Z66" s="143">
        <v>440.19</v>
      </c>
      <c r="AA66" s="143">
        <f t="shared" si="13"/>
        <v>4357.72</v>
      </c>
      <c r="AB66" s="144">
        <f t="shared" si="14"/>
        <v>8.3587784946851035E-4</v>
      </c>
      <c r="AC66" s="140"/>
      <c r="AD66" s="143">
        <v>5329</v>
      </c>
      <c r="AE66" s="144">
        <f t="shared" si="15"/>
        <v>4.1081577712373302E-4</v>
      </c>
      <c r="AF66" s="145">
        <f t="shared" si="16"/>
        <v>-971.27999999999975</v>
      </c>
      <c r="AG66" s="143">
        <v>4626.3100000000004</v>
      </c>
      <c r="AH66" s="144">
        <f t="shared" si="17"/>
        <v>5.5167131189251951E-4</v>
      </c>
      <c r="AI66" s="145">
        <f t="shared" si="18"/>
        <v>-268.59000000000015</v>
      </c>
      <c r="AJ66" s="440">
        <f t="shared" si="19"/>
        <v>9.0199536347077336E-2</v>
      </c>
      <c r="AK66" s="441">
        <f t="shared" si="20"/>
        <v>0.11030385825467792</v>
      </c>
      <c r="AL66" s="442">
        <f t="shared" si="21"/>
        <v>9.6021378165213792E-2</v>
      </c>
      <c r="AM66" s="443" t="str">
        <f t="shared" si="22"/>
        <v>0.04 pts.</v>
      </c>
      <c r="AN66" s="444" t="str">
        <f t="shared" si="23"/>
        <v>0.03 pts.</v>
      </c>
      <c r="AO66" s="11"/>
    </row>
    <row r="67" spans="1:41" x14ac:dyDescent="0.35">
      <c r="A67" s="65" t="s">
        <v>33</v>
      </c>
      <c r="B67" s="66"/>
      <c r="C67" s="11"/>
      <c r="D67" s="11"/>
      <c r="E67" s="11"/>
      <c r="F67" s="11"/>
      <c r="G67" s="88" t="s">
        <v>827</v>
      </c>
      <c r="H67" s="88" t="s">
        <v>844</v>
      </c>
      <c r="I67" s="122" t="str">
        <f>IF(_epmOfflineCondition_,"N",_xll.EVPRO($B$1,$H67,"STYLE"))</f>
        <v>N</v>
      </c>
      <c r="J67" s="122" t="str">
        <f>IF(_epmOfflineCondition_,"N",_xll.EVPRO($B$1,$H67,"CALC"))</f>
        <v>N</v>
      </c>
      <c r="K67" s="179" t="str">
        <f t="shared" si="12"/>
        <v/>
      </c>
      <c r="L67" s="90" t="str">
        <f>IF(_epmOfflineCondition_,"705200",_xll.EVPRO($B$1,H67,"JDEID"))</f>
        <v>705200</v>
      </c>
      <c r="M67" s="90" t="str">
        <f>IF(_epmOfflineCondition_,"590305",IF(AND(I67="N",J67="N"),_xll.EVPRO($B$1,H67,"PSFTID"),""))</f>
        <v>590305</v>
      </c>
      <c r="N67" s="90" t="str">
        <f>IF(_epmOfflineCondition_,"Legal Services",IF(_xll.EVDES(H67,$B$1)="#NODATA","",_xll.EVDES(H67,$B$1)))</f>
        <v>Legal Services</v>
      </c>
      <c r="O67" s="143"/>
      <c r="P67" s="143"/>
      <c r="Q67" s="143"/>
      <c r="R67" s="143"/>
      <c r="S67" s="143"/>
      <c r="T67" s="143">
        <v>292</v>
      </c>
      <c r="U67" s="143"/>
      <c r="V67" s="143"/>
      <c r="W67" s="143"/>
      <c r="X67" s="143"/>
      <c r="Y67" s="143">
        <v>307.60000000000002</v>
      </c>
      <c r="Z67" s="143">
        <v>34.22</v>
      </c>
      <c r="AA67" s="143">
        <f t="shared" si="13"/>
        <v>633.82000000000005</v>
      </c>
      <c r="AB67" s="144">
        <f t="shared" si="14"/>
        <v>1.2157644331212911E-4</v>
      </c>
      <c r="AC67" s="140"/>
      <c r="AD67" s="143">
        <v>2500</v>
      </c>
      <c r="AE67" s="144">
        <f t="shared" si="15"/>
        <v>1.9272648579645948E-4</v>
      </c>
      <c r="AF67" s="145">
        <f t="shared" si="16"/>
        <v>-1866.1799999999998</v>
      </c>
      <c r="AG67" s="143">
        <v>2500</v>
      </c>
      <c r="AH67" s="144">
        <f t="shared" si="17"/>
        <v>2.9811626971199483E-4</v>
      </c>
      <c r="AI67" s="145">
        <f t="shared" si="18"/>
        <v>-1866.1799999999998</v>
      </c>
      <c r="AJ67" s="440">
        <f t="shared" si="19"/>
        <v>1.3119307832422588E-2</v>
      </c>
      <c r="AK67" s="441">
        <f t="shared" si="20"/>
        <v>5.1746977976486176E-2</v>
      </c>
      <c r="AL67" s="442">
        <f t="shared" si="21"/>
        <v>5.1888750518887507E-2</v>
      </c>
      <c r="AM67" s="443" t="str">
        <f t="shared" si="22"/>
        <v>-0.01 pts.</v>
      </c>
      <c r="AN67" s="444" t="str">
        <f t="shared" si="23"/>
        <v>-0.02 pts.</v>
      </c>
      <c r="AO67" s="11"/>
    </row>
    <row r="68" spans="1:41" x14ac:dyDescent="0.35">
      <c r="A68" s="65" t="s">
        <v>34</v>
      </c>
      <c r="B68" s="66"/>
      <c r="C68" s="11"/>
      <c r="D68" s="11"/>
      <c r="E68" s="11"/>
      <c r="F68" s="11"/>
      <c r="G68" s="88" t="s">
        <v>827</v>
      </c>
      <c r="H68" s="88" t="s">
        <v>845</v>
      </c>
      <c r="I68" s="122" t="str">
        <f>IF(_epmOfflineCondition_,"N",_xll.EVPRO($B$1,$H68,"STYLE"))</f>
        <v>N</v>
      </c>
      <c r="J68" s="122" t="str">
        <f>IF(_epmOfflineCondition_,"N",_xll.EVPRO($B$1,$H68,"CALC"))</f>
        <v>N</v>
      </c>
      <c r="K68" s="179" t="str">
        <f t="shared" si="12"/>
        <v/>
      </c>
      <c r="L68" s="90" t="str">
        <f>IF(_epmOfflineCondition_,"705500",_xll.EVPRO($B$1,H68,"JDEID"))</f>
        <v>705500</v>
      </c>
      <c r="M68" s="90" t="str">
        <f>IF(_epmOfflineCondition_,"690105",IF(AND(I68="N",J68="N"),_xll.EVPRO($B$1,H68,"PSFTID"),""))</f>
        <v>690105</v>
      </c>
      <c r="N68" s="90" t="str">
        <f>IF(_epmOfflineCondition_,"Licenses &amp; Permits",IF(_xll.EVDES(H68,$B$1)="#NODATA","",_xll.EVDES(H68,$B$1)))</f>
        <v>Licenses &amp; Permits</v>
      </c>
      <c r="O68" s="143"/>
      <c r="P68" s="143">
        <v>161.25</v>
      </c>
      <c r="Q68" s="143"/>
      <c r="R68" s="143"/>
      <c r="S68" s="143"/>
      <c r="T68" s="143"/>
      <c r="U68" s="143"/>
      <c r="V68" s="143">
        <v>5100</v>
      </c>
      <c r="W68" s="143">
        <v>-93.1</v>
      </c>
      <c r="X68" s="143"/>
      <c r="Y68" s="143">
        <v>110</v>
      </c>
      <c r="Z68" s="143">
        <v>322.5</v>
      </c>
      <c r="AA68" s="143">
        <f t="shared" si="13"/>
        <v>5600.65</v>
      </c>
      <c r="AB68" s="144">
        <f t="shared" si="14"/>
        <v>1.0742909773059793E-3</v>
      </c>
      <c r="AC68" s="140"/>
      <c r="AD68" s="143">
        <v>6495.1</v>
      </c>
      <c r="AE68" s="144">
        <f t="shared" si="15"/>
        <v>5.0071111915863363E-4</v>
      </c>
      <c r="AF68" s="145">
        <f t="shared" si="16"/>
        <v>-894.45000000000073</v>
      </c>
      <c r="AG68" s="143">
        <v>6624.9</v>
      </c>
      <c r="AH68" s="144">
        <f t="shared" si="17"/>
        <v>7.8999619008599767E-4</v>
      </c>
      <c r="AI68" s="145">
        <f t="shared" si="18"/>
        <v>-1024.25</v>
      </c>
      <c r="AJ68" s="440">
        <f t="shared" si="19"/>
        <v>0.1159266848816029</v>
      </c>
      <c r="AK68" s="441">
        <f t="shared" si="20"/>
        <v>0.13444071866203014</v>
      </c>
      <c r="AL68" s="442">
        <f t="shared" si="21"/>
        <v>0.13750311332503112</v>
      </c>
      <c r="AM68" s="443" t="str">
        <f t="shared" si="22"/>
        <v>0.06 pts.</v>
      </c>
      <c r="AN68" s="444" t="str">
        <f t="shared" si="23"/>
        <v>0.03 pts.</v>
      </c>
      <c r="AO68" s="11"/>
    </row>
    <row r="69" spans="1:41" x14ac:dyDescent="0.35">
      <c r="A69" s="65" t="s">
        <v>35</v>
      </c>
      <c r="B69" s="66"/>
      <c r="C69" s="11"/>
      <c r="D69" s="11"/>
      <c r="E69" s="11"/>
      <c r="F69" s="11"/>
      <c r="G69" s="88" t="s">
        <v>827</v>
      </c>
      <c r="H69" s="88" t="s">
        <v>846</v>
      </c>
      <c r="I69" s="122" t="str">
        <f>IF(_epmOfflineCondition_,"N",_xll.EVPRO($B$1,$H69,"STYLE"))</f>
        <v>N</v>
      </c>
      <c r="J69" s="122" t="str">
        <f>IF(_epmOfflineCondition_,"N",_xll.EVPRO($B$1,$H69,"CALC"))</f>
        <v>N</v>
      </c>
      <c r="K69" s="179" t="str">
        <f t="shared" si="12"/>
        <v/>
      </c>
      <c r="L69" s="90" t="str">
        <f>IF(_epmOfflineCondition_,"705800",_xll.EVPRO($B$1,H69,"JDEID"))</f>
        <v>705800</v>
      </c>
      <c r="M69" s="90" t="str">
        <f>IF(_epmOfflineCondition_,"690025",IF(AND(I69="N",J69="N"),_xll.EVPRO($B$1,H69,"PSFTID"),""))</f>
        <v>690025</v>
      </c>
      <c r="N69" s="90" t="str">
        <f>IF(_epmOfflineCondition_,"Donations",IF(_xll.EVDES(H69,$B$1)="#NODATA","",_xll.EVDES(H69,$B$1)))</f>
        <v>Donations</v>
      </c>
      <c r="O69" s="143"/>
      <c r="P69" s="143"/>
      <c r="Q69" s="143"/>
      <c r="R69" s="143"/>
      <c r="S69" s="143"/>
      <c r="T69" s="143"/>
      <c r="U69" s="143"/>
      <c r="V69" s="143"/>
      <c r="W69" s="143"/>
      <c r="X69" s="143"/>
      <c r="Y69" s="143">
        <v>162.5</v>
      </c>
      <c r="Z69" s="143"/>
      <c r="AA69" s="143">
        <f t="shared" si="13"/>
        <v>162.5</v>
      </c>
      <c r="AB69" s="144">
        <f t="shared" si="14"/>
        <v>3.1170004162413586E-5</v>
      </c>
      <c r="AC69" s="140"/>
      <c r="AD69" s="143">
        <v>6100</v>
      </c>
      <c r="AE69" s="144">
        <f t="shared" si="15"/>
        <v>4.7025262534336113E-4</v>
      </c>
      <c r="AF69" s="145">
        <f t="shared" si="16"/>
        <v>-5937.5</v>
      </c>
      <c r="AG69" s="143">
        <v>2340</v>
      </c>
      <c r="AH69" s="144">
        <f t="shared" si="17"/>
        <v>2.7903682845042716E-4</v>
      </c>
      <c r="AI69" s="145">
        <f t="shared" si="18"/>
        <v>-2177.5</v>
      </c>
      <c r="AJ69" s="440">
        <f t="shared" si="19"/>
        <v>3.3635535684716014E-3</v>
      </c>
      <c r="AK69" s="441">
        <f t="shared" si="20"/>
        <v>0.12626262626262627</v>
      </c>
      <c r="AL69" s="442">
        <f t="shared" si="21"/>
        <v>4.8567870485678705E-2</v>
      </c>
      <c r="AM69" s="443" t="str">
        <f t="shared" si="22"/>
        <v>-0.04 pts.</v>
      </c>
      <c r="AN69" s="444" t="str">
        <f t="shared" si="23"/>
        <v>-0.02 pts.</v>
      </c>
      <c r="AO69" s="11"/>
    </row>
    <row r="70" spans="1:41" x14ac:dyDescent="0.35">
      <c r="A70" s="65" t="s">
        <v>36</v>
      </c>
      <c r="B70" s="66"/>
      <c r="C70" s="11"/>
      <c r="D70" s="11"/>
      <c r="E70" s="11"/>
      <c r="F70" s="11"/>
      <c r="G70" s="88" t="s">
        <v>827</v>
      </c>
      <c r="H70" s="88" t="s">
        <v>847</v>
      </c>
      <c r="I70" s="122" t="str">
        <f>IF(_epmOfflineCondition_,"N",_xll.EVPRO($B$1,$H70,"STYLE"))</f>
        <v>N</v>
      </c>
      <c r="J70" s="122" t="str">
        <f>IF(_epmOfflineCondition_,"N",_xll.EVPRO($B$1,$H70,"CALC"))</f>
        <v>N</v>
      </c>
      <c r="K70" s="179" t="str">
        <f t="shared" si="12"/>
        <v/>
      </c>
      <c r="L70" s="90" t="str">
        <f>IF(_epmOfflineCondition_,"706000",_xll.EVPRO($B$1,H70,"JDEID"))</f>
        <v>706000</v>
      </c>
      <c r="M70" s="90" t="str">
        <f>IF(_epmOfflineCondition_,"590320",IF(AND(I70="N",J70="N"),_xll.EVPRO($B$1,H70,"PSFTID"),""))</f>
        <v>590320</v>
      </c>
      <c r="N70" s="90" t="str">
        <f>IF(_epmOfflineCondition_,"Security",IF(_xll.EVDES(H70,$B$1)="#NODATA","",_xll.EVDES(H70,$B$1)))</f>
        <v>Security</v>
      </c>
      <c r="O70" s="143">
        <v>486.27</v>
      </c>
      <c r="P70" s="143">
        <v>452.29</v>
      </c>
      <c r="Q70" s="143">
        <v>562.91</v>
      </c>
      <c r="R70" s="143">
        <v>3.22</v>
      </c>
      <c r="S70" s="143"/>
      <c r="T70" s="143">
        <v>441.89</v>
      </c>
      <c r="U70" s="143">
        <v>434.16</v>
      </c>
      <c r="V70" s="143">
        <v>355.78</v>
      </c>
      <c r="W70" s="143">
        <v>251.05</v>
      </c>
      <c r="X70" s="143">
        <v>257.01</v>
      </c>
      <c r="Y70" s="143">
        <v>604.53</v>
      </c>
      <c r="Z70" s="143">
        <v>250.68</v>
      </c>
      <c r="AA70" s="143">
        <f t="shared" si="13"/>
        <v>4099.79</v>
      </c>
      <c r="AB70" s="144">
        <f t="shared" si="14"/>
        <v>7.8640290070782512E-4</v>
      </c>
      <c r="AC70" s="140"/>
      <c r="AD70" s="143">
        <v>8529</v>
      </c>
      <c r="AE70" s="144">
        <f t="shared" si="15"/>
        <v>6.5750567894320121E-4</v>
      </c>
      <c r="AF70" s="145">
        <f t="shared" si="16"/>
        <v>-4429.21</v>
      </c>
      <c r="AG70" s="143">
        <v>5534.43</v>
      </c>
      <c r="AH70" s="144">
        <f t="shared" si="17"/>
        <v>6.5996145063286222E-4</v>
      </c>
      <c r="AI70" s="145">
        <f t="shared" si="18"/>
        <v>-1434.6400000000003</v>
      </c>
      <c r="AJ70" s="440">
        <f t="shared" si="19"/>
        <v>8.4860697135287294E-2</v>
      </c>
      <c r="AK70" s="441">
        <f t="shared" si="20"/>
        <v>0.17653999006458024</v>
      </c>
      <c r="AL70" s="442">
        <f t="shared" si="21"/>
        <v>0.11486986301369864</v>
      </c>
      <c r="AM70" s="443" t="str">
        <f t="shared" si="22"/>
        <v>0.01 pts.</v>
      </c>
      <c r="AN70" s="444" t="str">
        <f t="shared" si="23"/>
        <v>0.01 pts.</v>
      </c>
      <c r="AO70" s="11"/>
    </row>
    <row r="71" spans="1:41" x14ac:dyDescent="0.35">
      <c r="A71" s="65" t="s">
        <v>37</v>
      </c>
      <c r="B71" s="66"/>
      <c r="C71" s="11"/>
      <c r="D71" s="11"/>
      <c r="E71" s="11"/>
      <c r="F71" s="11"/>
      <c r="G71" s="88" t="s">
        <v>827</v>
      </c>
      <c r="H71" s="88" t="s">
        <v>848</v>
      </c>
      <c r="I71" s="122" t="str">
        <f>IF(_epmOfflineCondition_,"T4",_xll.EVPRO($B$1,$H71,"STYLE"))</f>
        <v>T4</v>
      </c>
      <c r="J71" s="122" t="str">
        <f>IF(_epmOfflineCondition_,"Y",_xll.EVPRO($B$1,$H71,"CALC"))</f>
        <v>Y</v>
      </c>
      <c r="K71" s="179" t="str">
        <f t="shared" si="12"/>
        <v>&gt;</v>
      </c>
      <c r="L71" s="90" t="str">
        <f>IF(_epmOfflineCondition_,"706100",_xll.EVPRO($B$1,H71,"JDEID"))</f>
        <v>706100</v>
      </c>
      <c r="M71" s="90" t="str">
        <f>IF(_epmOfflineCondition_,"",IF(AND(I71="N",J71="N"),_xll.EVPRO($B$1,H71,"PSFTID"),""))</f>
        <v/>
      </c>
      <c r="N71" s="90" t="str">
        <f>IF(_epmOfflineCondition_,"Miscellaneous",IF(_xll.EVDES(H71,$B$1)="#NODATA","",_xll.EVDES(H71,$B$1)))</f>
        <v>Miscellaneous</v>
      </c>
      <c r="O71" s="143">
        <v>100</v>
      </c>
      <c r="P71" s="143"/>
      <c r="Q71" s="143"/>
      <c r="R71" s="143"/>
      <c r="S71" s="143"/>
      <c r="T71" s="143"/>
      <c r="U71" s="143"/>
      <c r="V71" s="143"/>
      <c r="W71" s="143"/>
      <c r="X71" s="143"/>
      <c r="Y71" s="143"/>
      <c r="Z71" s="143"/>
      <c r="AA71" s="143">
        <f t="shared" si="13"/>
        <v>100</v>
      </c>
      <c r="AB71" s="144">
        <f t="shared" si="14"/>
        <v>1.9181541023023746E-5</v>
      </c>
      <c r="AC71" s="140"/>
      <c r="AD71" s="143"/>
      <c r="AE71" s="144" t="str">
        <f t="shared" si="15"/>
        <v/>
      </c>
      <c r="AF71" s="145">
        <f t="shared" si="16"/>
        <v>100</v>
      </c>
      <c r="AG71" s="143"/>
      <c r="AH71" s="144" t="str">
        <f t="shared" si="17"/>
        <v/>
      </c>
      <c r="AI71" s="145">
        <f t="shared" si="18"/>
        <v>100</v>
      </c>
      <c r="AJ71" s="440">
        <f t="shared" si="19"/>
        <v>2.0698791190594469E-3</v>
      </c>
      <c r="AK71" s="441">
        <f t="shared" si="20"/>
        <v>0</v>
      </c>
      <c r="AL71" s="442">
        <f t="shared" si="21"/>
        <v>0</v>
      </c>
      <c r="AM71" s="443">
        <f t="shared" si="22"/>
        <v>0</v>
      </c>
      <c r="AN71" s="444">
        <f t="shared" si="23"/>
        <v>0</v>
      </c>
      <c r="AO71" s="11"/>
    </row>
    <row r="72" spans="1:41" x14ac:dyDescent="0.35">
      <c r="A72" s="65" t="s">
        <v>38</v>
      </c>
      <c r="B72" s="66"/>
      <c r="C72" s="11"/>
      <c r="D72" s="11"/>
      <c r="E72" s="11"/>
      <c r="F72" s="11"/>
      <c r="G72" s="88" t="s">
        <v>827</v>
      </c>
      <c r="H72" s="88" t="s">
        <v>849</v>
      </c>
      <c r="I72" s="122" t="str">
        <f>IF(_epmOfflineCondition_,"T4",_xll.EVPRO($B$1,$H72,"STYLE"))</f>
        <v>T4</v>
      </c>
      <c r="J72" s="122" t="str">
        <f>IF(_epmOfflineCondition_,"Y",_xll.EVPRO($B$1,$H72,"CALC"))</f>
        <v>Y</v>
      </c>
      <c r="K72" s="179" t="str">
        <f t="shared" si="12"/>
        <v>&gt;</v>
      </c>
      <c r="L72" s="90" t="str">
        <f>IF(_epmOfflineCondition_,"706500",_xll.EVPRO($B$1,H72,"JDEID"))</f>
        <v>706500</v>
      </c>
      <c r="M72" s="90" t="str">
        <f>IF(_epmOfflineCondition_,"",IF(AND(I72="N",J72="N"),_xll.EVPRO($B$1,H72,"PSFTID"),""))</f>
        <v/>
      </c>
      <c r="N72" s="90" t="str">
        <f>IF(_epmOfflineCondition_,"Corporate Office Reimbursement",IF(_xll.EVDES(H72,$B$1)="#NODATA","",_xll.EVDES(H72,$B$1)))</f>
        <v>Corporate Office Reimbursement</v>
      </c>
      <c r="O72" s="143">
        <v>8978.3700000000008</v>
      </c>
      <c r="P72" s="143">
        <v>9064.6</v>
      </c>
      <c r="Q72" s="143">
        <v>3299.15</v>
      </c>
      <c r="R72" s="143">
        <v>-56.24</v>
      </c>
      <c r="S72" s="143">
        <v>-140.76</v>
      </c>
      <c r="T72" s="143">
        <v>672.16</v>
      </c>
      <c r="U72" s="143">
        <v>560.75</v>
      </c>
      <c r="V72" s="143">
        <v>985.43</v>
      </c>
      <c r="W72" s="143">
        <v>1727.75</v>
      </c>
      <c r="X72" s="143">
        <v>2183.84</v>
      </c>
      <c r="Y72" s="143">
        <v>2118.5</v>
      </c>
      <c r="Z72" s="143">
        <v>3859.84</v>
      </c>
      <c r="AA72" s="143">
        <f t="shared" si="13"/>
        <v>33253.39</v>
      </c>
      <c r="AB72" s="144">
        <f t="shared" si="14"/>
        <v>6.3785126443960758E-3</v>
      </c>
      <c r="AC72" s="140"/>
      <c r="AD72" s="143">
        <v>81143.756573204199</v>
      </c>
      <c r="AE72" s="144">
        <f t="shared" si="15"/>
        <v>6.2554204194708021E-3</v>
      </c>
      <c r="AF72" s="145">
        <f t="shared" si="16"/>
        <v>-47890.366573204199</v>
      </c>
      <c r="AG72" s="143">
        <v>53549.27</v>
      </c>
      <c r="AH72" s="144">
        <f t="shared" si="17"/>
        <v>6.3855634472801725E-3</v>
      </c>
      <c r="AI72" s="145">
        <f t="shared" si="18"/>
        <v>-20295.879999999997</v>
      </c>
      <c r="AJ72" s="440">
        <f t="shared" si="19"/>
        <v>0.68830497598940221</v>
      </c>
      <c r="AK72" s="441">
        <f t="shared" si="20"/>
        <v>1.6795776737291812</v>
      </c>
      <c r="AL72" s="442">
        <f t="shared" si="21"/>
        <v>1.1114418845994187</v>
      </c>
      <c r="AM72" s="443" t="str">
        <f t="shared" si="22"/>
        <v>0.01 pts.</v>
      </c>
      <c r="AN72" s="444" t="str">
        <f t="shared" si="23"/>
        <v>0 pts.</v>
      </c>
      <c r="AO72" s="11"/>
    </row>
    <row r="73" spans="1:41" x14ac:dyDescent="0.35">
      <c r="A73" s="65" t="s">
        <v>39</v>
      </c>
      <c r="B73" s="66"/>
      <c r="C73" s="11"/>
      <c r="D73" s="11"/>
      <c r="E73" s="11"/>
      <c r="F73" s="11"/>
      <c r="G73" s="88" t="s">
        <v>498</v>
      </c>
      <c r="H73" s="88" t="s">
        <v>79</v>
      </c>
      <c r="I73" s="136" t="str">
        <f>IF(_epmOfflineCondition_,"T3",_xll.EVPRO($B$1,$H73,"STYLE"))</f>
        <v>T3</v>
      </c>
      <c r="J73" s="136" t="str">
        <f>IF(_epmOfflineCondition_,"Y",_xll.EVPRO($B$1,$H73,"CALC"))</f>
        <v>Y</v>
      </c>
      <c r="K73" s="179"/>
      <c r="L73" s="90"/>
      <c r="M73" s="90"/>
      <c r="N73" s="90" t="str">
        <f>IF(_epmOfflineCondition_,"Human Resources (Consolidated)",IF(_xll.EVDES(G73,$B$1)="#NODATA","",_xll.EVDES(G73,$B$1)))</f>
        <v>Human Resources (Consolidated)</v>
      </c>
      <c r="O73" s="143">
        <v>8370.26</v>
      </c>
      <c r="P73" s="143">
        <v>3664.38</v>
      </c>
      <c r="Q73" s="143">
        <v>-529.02</v>
      </c>
      <c r="R73" s="143">
        <v>261.67</v>
      </c>
      <c r="S73" s="143">
        <v>411.24</v>
      </c>
      <c r="T73" s="143">
        <v>694.6</v>
      </c>
      <c r="U73" s="143">
        <v>382.03</v>
      </c>
      <c r="V73" s="143">
        <v>175.71</v>
      </c>
      <c r="W73" s="143">
        <v>186.41</v>
      </c>
      <c r="X73" s="143">
        <v>1906.4</v>
      </c>
      <c r="Y73" s="143">
        <v>102.32</v>
      </c>
      <c r="Z73" s="143">
        <v>6134.49</v>
      </c>
      <c r="AA73" s="143">
        <f t="shared" si="13"/>
        <v>21760.489999999998</v>
      </c>
      <c r="AB73" s="144">
        <f t="shared" si="14"/>
        <v>4.1739973161609789E-3</v>
      </c>
      <c r="AC73" s="140"/>
      <c r="AD73" s="143">
        <v>46999.9999999992</v>
      </c>
      <c r="AE73" s="144">
        <f t="shared" si="15"/>
        <v>3.6232579329733765E-3</v>
      </c>
      <c r="AF73" s="145">
        <f t="shared" si="16"/>
        <v>-25239.509999999202</v>
      </c>
      <c r="AG73" s="143">
        <v>60933.19</v>
      </c>
      <c r="AH73" s="144">
        <f t="shared" si="17"/>
        <v>7.2660701217808904E-3</v>
      </c>
      <c r="AI73" s="145">
        <f t="shared" si="18"/>
        <v>-39172.700000000004</v>
      </c>
      <c r="AJ73" s="449">
        <f t="shared" si="19"/>
        <v>0.450415838715019</v>
      </c>
      <c r="AK73" s="450">
        <f t="shared" si="20"/>
        <v>0.97284318595792352</v>
      </c>
      <c r="AL73" s="451">
        <f t="shared" si="21"/>
        <v>1.2646988376919883</v>
      </c>
      <c r="AM73" s="452" t="str">
        <f t="shared" si="22"/>
        <v>0.06 pts.</v>
      </c>
      <c r="AN73" s="453" t="str">
        <f t="shared" si="23"/>
        <v>-0.31 pts.</v>
      </c>
      <c r="AO73" s="11"/>
    </row>
    <row r="74" spans="1:41" x14ac:dyDescent="0.35">
      <c r="A74" s="65" t="s">
        <v>40</v>
      </c>
      <c r="B74" s="66"/>
      <c r="C74" s="11"/>
      <c r="D74" s="11"/>
      <c r="E74" s="11"/>
      <c r="F74" s="11"/>
      <c r="G74" s="88" t="s">
        <v>497</v>
      </c>
      <c r="H74" s="88" t="s">
        <v>79</v>
      </c>
      <c r="I74" s="136" t="str">
        <f>IF(_epmOfflineCondition_,"T3",_xll.EVPRO($B$1,$H74,"STYLE"))</f>
        <v>T3</v>
      </c>
      <c r="J74" s="136" t="str">
        <f>IF(_epmOfflineCondition_,"Y",_xll.EVPRO($B$1,$H74,"CALC"))</f>
        <v>Y</v>
      </c>
      <c r="K74" s="104"/>
      <c r="L74" s="59"/>
      <c r="M74" s="59"/>
      <c r="N74" s="106" t="str">
        <f>IF(_epmOfflineCondition_,"Total Operations Expense",IF(_xll.EVDES(H74,$B$1)="#NODATA","",_xll.EVDES(H74,$B$1)))</f>
        <v>Total Operations Expense</v>
      </c>
      <c r="O74" s="154">
        <v>60857.59</v>
      </c>
      <c r="P74" s="154">
        <v>54227.24</v>
      </c>
      <c r="Q74" s="154">
        <v>30020.31</v>
      </c>
      <c r="R74" s="154">
        <v>8997.4599999999991</v>
      </c>
      <c r="S74" s="154">
        <v>7180.59</v>
      </c>
      <c r="T74" s="154">
        <v>3121.01</v>
      </c>
      <c r="U74" s="154">
        <v>5422.95</v>
      </c>
      <c r="V74" s="154">
        <v>16003.11</v>
      </c>
      <c r="W74" s="154">
        <v>11005.41</v>
      </c>
      <c r="X74" s="154">
        <v>21917.97</v>
      </c>
      <c r="Y74" s="154">
        <v>12660.25</v>
      </c>
      <c r="Z74" s="154">
        <v>32638.080000000002</v>
      </c>
      <c r="AA74" s="154">
        <f t="shared" si="13"/>
        <v>264051.97000000003</v>
      </c>
      <c r="AB74" s="155">
        <f t="shared" si="14"/>
        <v>5.064923694765236E-2</v>
      </c>
      <c r="AC74" s="140"/>
      <c r="AD74" s="154">
        <v>597349.50637520698</v>
      </c>
      <c r="AE74" s="155">
        <f t="shared" si="15"/>
        <v>4.6050028462377365E-2</v>
      </c>
      <c r="AF74" s="156">
        <f t="shared" si="16"/>
        <v>-333297.53637520695</v>
      </c>
      <c r="AG74" s="154">
        <v>470573.88</v>
      </c>
      <c r="AH74" s="155">
        <f t="shared" si="17"/>
        <v>5.611429189179995E-2</v>
      </c>
      <c r="AI74" s="156">
        <f t="shared" si="18"/>
        <v>-206521.90999999997</v>
      </c>
      <c r="AJ74" s="466">
        <f t="shared" si="19"/>
        <v>5.4655565904951153</v>
      </c>
      <c r="AK74" s="467">
        <f t="shared" si="20"/>
        <v>12.364412700265088</v>
      </c>
      <c r="AL74" s="468">
        <f t="shared" si="21"/>
        <v>9.766996264009963</v>
      </c>
      <c r="AM74" s="469" t="str">
        <f t="shared" si="22"/>
        <v>0.46 pts.</v>
      </c>
      <c r="AN74" s="555" t="str">
        <f t="shared" si="23"/>
        <v>-0.55 pts.</v>
      </c>
      <c r="AO74" s="11"/>
    </row>
    <row r="75" spans="1:41" x14ac:dyDescent="0.35">
      <c r="A75" s="65" t="s">
        <v>41</v>
      </c>
      <c r="B75" s="66"/>
      <c r="C75" s="11"/>
      <c r="D75" s="11"/>
      <c r="E75" s="11"/>
      <c r="F75" s="11"/>
      <c r="G75" s="11"/>
      <c r="H75" s="11"/>
      <c r="I75" s="59"/>
      <c r="J75" s="59"/>
      <c r="K75" s="11"/>
      <c r="L75" s="59"/>
      <c r="M75" s="59"/>
      <c r="N75" s="11"/>
      <c r="O75" s="140"/>
      <c r="P75" s="140"/>
      <c r="Q75" s="140"/>
      <c r="R75" s="140"/>
      <c r="S75" s="140"/>
      <c r="T75" s="140"/>
      <c r="U75" s="140"/>
      <c r="V75" s="140"/>
      <c r="W75" s="140"/>
      <c r="X75" s="140"/>
      <c r="Y75" s="140"/>
      <c r="Z75" s="140"/>
      <c r="AA75" s="140"/>
      <c r="AB75" s="140"/>
      <c r="AC75" s="140"/>
      <c r="AD75" s="140"/>
      <c r="AE75" s="140"/>
      <c r="AF75" s="140"/>
      <c r="AG75" s="140"/>
      <c r="AH75" s="140"/>
      <c r="AI75" s="140"/>
      <c r="AJ75" s="140"/>
      <c r="AK75" s="140"/>
      <c r="AL75" s="140"/>
      <c r="AM75" s="140"/>
      <c r="AN75" s="140"/>
      <c r="AO75" s="11"/>
    </row>
    <row r="76" spans="1:41" x14ac:dyDescent="0.35">
      <c r="A76" s="65" t="s">
        <v>42</v>
      </c>
      <c r="B76" s="66"/>
      <c r="C76" s="11"/>
      <c r="D76" s="11"/>
      <c r="E76" s="11"/>
      <c r="F76" s="11"/>
      <c r="G76" s="88" t="s">
        <v>497</v>
      </c>
      <c r="H76" s="88" t="s">
        <v>80</v>
      </c>
      <c r="I76" s="136" t="str">
        <f>IF(_epmOfflineCondition_,"T3",_xll.EVPRO($B$1,$H76,"STYLE"))</f>
        <v>T3</v>
      </c>
      <c r="J76" s="136" t="str">
        <f>IF(_epmOfflineCondition_,"Y",_xll.EVPRO($B$1,$H76,"CALC"))</f>
        <v>Y</v>
      </c>
      <c r="K76" s="106"/>
      <c r="L76" s="59"/>
      <c r="M76" s="59"/>
      <c r="N76" s="106" t="str">
        <f>IF(_epmOfflineCondition_,"Total Expenses",IF(_xll.EVDES(H76,$B$1)="#NODATA","",_xll.EVDES(H76,$B$1)))</f>
        <v>Total Expenses</v>
      </c>
      <c r="O76" s="238">
        <v>111792.76</v>
      </c>
      <c r="P76" s="238">
        <v>103628.96</v>
      </c>
      <c r="Q76" s="238">
        <v>80529.3</v>
      </c>
      <c r="R76" s="238">
        <v>32504.32</v>
      </c>
      <c r="S76" s="238">
        <v>29732.95</v>
      </c>
      <c r="T76" s="238">
        <v>32906.620000000003</v>
      </c>
      <c r="U76" s="238">
        <v>38001.22</v>
      </c>
      <c r="V76" s="238">
        <v>52852.3</v>
      </c>
      <c r="W76" s="238">
        <v>42093.54</v>
      </c>
      <c r="X76" s="238">
        <v>36837.51</v>
      </c>
      <c r="Y76" s="238">
        <v>45466.3</v>
      </c>
      <c r="Z76" s="238">
        <v>67605.320000000007</v>
      </c>
      <c r="AA76" s="238">
        <f>IF($I76="B1","",SUM(O76:Z76))</f>
        <v>673951.10000000009</v>
      </c>
      <c r="AB76" s="239">
        <f>IF(AA76=0,"",IFERROR(AA76/AA$19,""))</f>
        <v>0.12927420672161979</v>
      </c>
      <c r="AC76" s="140"/>
      <c r="AD76" s="238">
        <v>1204512.54431534</v>
      </c>
      <c r="AE76" s="239">
        <f>IF(AD76=0,"",IFERROR(AD76/AD$19,""))</f>
        <v>9.2856587905459059E-2</v>
      </c>
      <c r="AF76" s="254">
        <f>IF(AND($AA76="",AD76=""),"",$AA76-AD76)</f>
        <v>-530561.4443153399</v>
      </c>
      <c r="AG76" s="255">
        <v>1027688.4</v>
      </c>
      <c r="AH76" s="256">
        <f>IF(AG76=0,"",IFERROR(AG76/AG$19,""))</f>
        <v>0.12254825289371536</v>
      </c>
      <c r="AI76" s="254">
        <f>IF(AND($AA76="",AG76=""),"",$AA76-AG76)</f>
        <v>-353737.29999999993</v>
      </c>
      <c r="AJ76" s="472">
        <f>IFERROR(AA76/AA$20,0)</f>
        <v>13.949973091571454</v>
      </c>
      <c r="AK76" s="473">
        <f>IFERROR(AD76/AD$20,0)</f>
        <v>24.931953641234891</v>
      </c>
      <c r="AL76" s="474">
        <f>IFERROR(AG76/AG$20,0)</f>
        <v>21.330186799501867</v>
      </c>
      <c r="AM76" s="475" t="str">
        <f>+IFERROR(ROUND(($AB76-AE76)*100,2)&amp;" pts.",0)</f>
        <v>3.64 pts.</v>
      </c>
      <c r="AN76" s="556" t="str">
        <f>+IFERROR(ROUND(($AB76-AH76)*100,2)&amp;" pts.",0)</f>
        <v>0.67 pts.</v>
      </c>
      <c r="AO76" s="11"/>
    </row>
    <row r="77" spans="1:41" ht="15" thickBot="1" x14ac:dyDescent="0.4">
      <c r="A77" s="65" t="s">
        <v>43</v>
      </c>
      <c r="B77" s="66"/>
      <c r="C77" s="11"/>
      <c r="D77" s="11"/>
      <c r="E77" s="11"/>
      <c r="F77" s="11"/>
      <c r="G77" s="88" t="s">
        <v>497</v>
      </c>
      <c r="H77" s="88" t="s">
        <v>81</v>
      </c>
      <c r="I77" s="136" t="str">
        <f>IF(_epmOfflineCondition_,"T3",_xll.EVPRO($B$1,$H77,"STYLE"))</f>
        <v>T3</v>
      </c>
      <c r="J77" s="136" t="str">
        <f>IF(_epmOfflineCondition_,"Y",_xll.EVPRO($B$1,$H77,"CALC"))</f>
        <v>Y</v>
      </c>
      <c r="K77" s="106"/>
      <c r="L77" s="59"/>
      <c r="M77" s="59"/>
      <c r="N77" s="106" t="str">
        <f>IF(_epmOfflineCondition_,"Department Profit (Loss)",IF(_xll.EVDES(H77,$B$1)="#NODATA","",_xll.EVDES(H77,$B$1)))</f>
        <v>Department Profit (Loss)</v>
      </c>
      <c r="O77" s="169">
        <v>-111792.76</v>
      </c>
      <c r="P77" s="169">
        <v>-103628.96</v>
      </c>
      <c r="Q77" s="169">
        <v>-80529.3</v>
      </c>
      <c r="R77" s="169">
        <v>-32504.32</v>
      </c>
      <c r="S77" s="169">
        <v>-29732.95</v>
      </c>
      <c r="T77" s="169">
        <v>-32906.620000000003</v>
      </c>
      <c r="U77" s="169">
        <v>-38001.22</v>
      </c>
      <c r="V77" s="169">
        <v>-52852.3</v>
      </c>
      <c r="W77" s="169">
        <v>-42093.54</v>
      </c>
      <c r="X77" s="169">
        <v>-36837.51</v>
      </c>
      <c r="Y77" s="169">
        <v>-45466.3</v>
      </c>
      <c r="Z77" s="169">
        <v>-67605.320000000007</v>
      </c>
      <c r="AA77" s="169">
        <f>IF($I77="B1","",SUM(O77:Z77))</f>
        <v>-673951.10000000009</v>
      </c>
      <c r="AB77" s="170">
        <f>IF(AA77=0,"",IFERROR(AA77/AA$19,""))</f>
        <v>-0.12927420672161979</v>
      </c>
      <c r="AC77" s="140"/>
      <c r="AD77" s="169">
        <v>-1204512.54431533</v>
      </c>
      <c r="AE77" s="170">
        <f>IF(AD77=0,"",IFERROR(AD77/AD$19,""))</f>
        <v>-9.2856587905458282E-2</v>
      </c>
      <c r="AF77" s="171">
        <f>IF(AND($AA77="",AD77=""),"",$AA77-AD77)</f>
        <v>530561.44431532989</v>
      </c>
      <c r="AG77" s="169">
        <v>-1027688.4</v>
      </c>
      <c r="AH77" s="170">
        <f>IF(AG77=0,"",IFERROR(AG77/AG$19,""))</f>
        <v>-0.12254825289371536</v>
      </c>
      <c r="AI77" s="171">
        <f>IF(AND($AA77="",AG77=""),"",$AA77-AG77)</f>
        <v>353737.29999999993</v>
      </c>
      <c r="AJ77" s="477">
        <f>IFERROR(AA77/AA$20,0)</f>
        <v>-13.949973091571454</v>
      </c>
      <c r="AK77" s="478">
        <f>IFERROR(AD77/AD$20,0)</f>
        <v>-24.931953641234681</v>
      </c>
      <c r="AL77" s="479">
        <f>IFERROR(AG77/AG$20,0)</f>
        <v>-21.330186799501867</v>
      </c>
      <c r="AM77" s="480" t="str">
        <f>+IFERROR(ROUND(($AB77-AE77)*100,2)&amp;" pts.",0)</f>
        <v>-3.64 pts.</v>
      </c>
      <c r="AN77" s="557" t="str">
        <f>+IFERROR(ROUND(($AB77-AH77)*100,2)&amp;" pts.",0)</f>
        <v>-0.67 pts.</v>
      </c>
      <c r="AO77" s="11"/>
    </row>
    <row r="78" spans="1:41" ht="15" thickTop="1" x14ac:dyDescent="0.35">
      <c r="A78" s="65" t="s">
        <v>44</v>
      </c>
      <c r="B78" s="66"/>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45</v>
      </c>
      <c r="B79" s="66"/>
      <c r="C79" s="11"/>
      <c r="D79" s="11"/>
      <c r="E79" s="11"/>
      <c r="F79" s="11"/>
      <c r="G79" s="11"/>
      <c r="H79" s="11"/>
      <c r="I79" s="59"/>
      <c r="J79" s="59"/>
      <c r="K79" s="11"/>
      <c r="L79" s="59"/>
      <c r="M79" s="59"/>
      <c r="N79" s="104" t="str">
        <f>N76&amp;" - Check"</f>
        <v>Total Expenses - Check</v>
      </c>
      <c r="O79" s="209">
        <f t="shared" ref="O79:AA79" si="24">SUMIF($H$33:$H$77,"600000",O$33:O$77)+SUMIFS(O$33:O$77,$G$33:$G$77,"D_AG_CON",$H$33:$H$77,"700000")-SUMIF($H$33:$H$77,"TOTDEPTEXP",O$33:O$77)</f>
        <v>0</v>
      </c>
      <c r="P79" s="209">
        <f t="shared" si="24"/>
        <v>0</v>
      </c>
      <c r="Q79" s="209">
        <f t="shared" si="24"/>
        <v>0</v>
      </c>
      <c r="R79" s="209">
        <f t="shared" si="24"/>
        <v>0</v>
      </c>
      <c r="S79" s="209">
        <f t="shared" si="24"/>
        <v>0</v>
      </c>
      <c r="T79" s="209">
        <f t="shared" si="24"/>
        <v>0</v>
      </c>
      <c r="U79" s="209">
        <f t="shared" si="24"/>
        <v>0</v>
      </c>
      <c r="V79" s="209">
        <f t="shared" si="24"/>
        <v>0</v>
      </c>
      <c r="W79" s="209">
        <f t="shared" si="24"/>
        <v>0</v>
      </c>
      <c r="X79" s="209">
        <f t="shared" si="24"/>
        <v>0</v>
      </c>
      <c r="Y79" s="209">
        <f t="shared" si="24"/>
        <v>0</v>
      </c>
      <c r="Z79" s="209">
        <f t="shared" si="24"/>
        <v>0</v>
      </c>
      <c r="AA79" s="209">
        <f t="shared" si="24"/>
        <v>0</v>
      </c>
      <c r="AB79" s="100"/>
      <c r="AC79" s="11"/>
      <c r="AD79" s="209">
        <f>SUMIF($H$33:$H$77,"600000",AD$33:AD$77)+SUMIFS(AD$33:AD$77,$G$33:$G$77,"D_AG_CON",$H$33:$H$77,"700000")-SUMIF($H$33:$H$77,"TOTDEPTEXP",AD$33:AD$77)</f>
        <v>-5.1222741603851318E-9</v>
      </c>
      <c r="AE79" s="100"/>
      <c r="AF79" s="91"/>
      <c r="AG79" s="209">
        <f>SUMIF($H$33:$H$77,"600000",AG$33:AG$77)+SUMIFS(AG$33:AG$77,$G$33:$G$77,"D_AG_CON",$H$33:$H$77,"700000")-SUMIF($H$33:$H$77,"TOTDEPTEXP",AG$33:AG$77)</f>
        <v>0</v>
      </c>
      <c r="AH79" s="100"/>
      <c r="AI79" s="91"/>
      <c r="AJ79" s="11"/>
      <c r="AK79" s="11"/>
      <c r="AL79" s="11"/>
      <c r="AM79" s="11"/>
      <c r="AN79" s="11"/>
      <c r="AO79" s="11"/>
    </row>
    <row r="80" spans="1:41" x14ac:dyDescent="0.35">
      <c r="A80" s="65" t="s">
        <v>46</v>
      </c>
      <c r="B80" s="66"/>
      <c r="C80" s="11"/>
      <c r="D80" s="11"/>
      <c r="E80" s="11"/>
      <c r="F80" s="11"/>
      <c r="G80" s="11"/>
      <c r="H80" s="11"/>
      <c r="I80" s="59"/>
      <c r="J80" s="59"/>
      <c r="K80" s="11"/>
      <c r="L80" s="59"/>
      <c r="M80" s="59"/>
      <c r="N80" s="104" t="str">
        <f>N77&amp;" - Check"</f>
        <v>Department Profit (Loss) - Check</v>
      </c>
      <c r="O80" s="209">
        <f t="shared" ref="O80:AA80" si="25">SUMIF($H$33:$H$77,"TOTDEPTEXP",O$33:O$77)+SUMIF($H$33:$H$77,"TOTDEPTPL",O$33:O$77)</f>
        <v>0</v>
      </c>
      <c r="P80" s="209">
        <f t="shared" si="25"/>
        <v>0</v>
      </c>
      <c r="Q80" s="209">
        <f t="shared" si="25"/>
        <v>0</v>
      </c>
      <c r="R80" s="209">
        <f t="shared" si="25"/>
        <v>0</v>
      </c>
      <c r="S80" s="209">
        <f t="shared" si="25"/>
        <v>0</v>
      </c>
      <c r="T80" s="209">
        <f t="shared" si="25"/>
        <v>0</v>
      </c>
      <c r="U80" s="209">
        <f t="shared" si="25"/>
        <v>0</v>
      </c>
      <c r="V80" s="209">
        <f t="shared" si="25"/>
        <v>0</v>
      </c>
      <c r="W80" s="209">
        <f t="shared" si="25"/>
        <v>0</v>
      </c>
      <c r="X80" s="209">
        <f t="shared" si="25"/>
        <v>0</v>
      </c>
      <c r="Y80" s="209">
        <f t="shared" si="25"/>
        <v>0</v>
      </c>
      <c r="Z80" s="209">
        <f t="shared" si="25"/>
        <v>0</v>
      </c>
      <c r="AA80" s="209">
        <f t="shared" si="25"/>
        <v>0</v>
      </c>
      <c r="AB80" s="100"/>
      <c r="AC80" s="11"/>
      <c r="AD80" s="209">
        <f>SUMIF($H$33:$H$77,"TOTDEPTEXP",AD$33:AD$77)+SUMIF($H$33:$H$77,"TOTDEPTPL",AD$33:AD$77)</f>
        <v>1.0011717677116394E-8</v>
      </c>
      <c r="AE80" s="100"/>
      <c r="AF80" s="91"/>
      <c r="AG80" s="209">
        <f>SUMIF($H$33:$H$77,"TOTDEPTEXP",AG$33:AG$77)+SUMIF($H$33:$H$77,"TOTDEPTPL",AG$33:AG$77)</f>
        <v>0</v>
      </c>
      <c r="AH80" s="100"/>
      <c r="AI80" s="91"/>
      <c r="AJ80" s="11"/>
      <c r="AK80" s="11"/>
      <c r="AL80" s="11"/>
      <c r="AM80" s="11"/>
      <c r="AN80" s="11"/>
      <c r="AO80" s="11"/>
    </row>
    <row r="81" spans="1:41" x14ac:dyDescent="0.3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11"/>
      <c r="I86" s="59"/>
      <c r="J86" s="59"/>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c r="B105" s="11"/>
      <c r="C105" s="11"/>
      <c r="D105" s="11"/>
      <c r="E105" s="11"/>
      <c r="F105" s="11"/>
      <c r="G105" s="11"/>
      <c r="H105" s="59"/>
      <c r="I105" s="59"/>
      <c r="J105" s="11"/>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59"/>
      <c r="I106" s="59"/>
      <c r="J106" s="11"/>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59"/>
      <c r="I107" s="59"/>
      <c r="J107" s="11"/>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11"/>
      <c r="B108" s="11"/>
      <c r="C108" s="11"/>
      <c r="D108" s="11"/>
      <c r="E108" s="11"/>
      <c r="F108" s="11"/>
      <c r="G108" s="11"/>
      <c r="H108" s="59"/>
      <c r="I108" s="59"/>
      <c r="J108" s="11"/>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11"/>
      <c r="B109" s="11"/>
      <c r="C109" s="11"/>
      <c r="D109" s="11"/>
      <c r="E109" s="11"/>
      <c r="F109" s="11"/>
      <c r="G109" s="11"/>
      <c r="H109" s="59"/>
      <c r="I109" s="59"/>
      <c r="J109" s="11"/>
      <c r="K109" s="11"/>
      <c r="L109" s="59"/>
      <c r="M109" s="59"/>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sheetData>
  <sheetProtection algorithmName="SHA-512" hashValue="/6bJDhggdX0Vl+GlJkFPWb08OG1CT48PL6v8JkY9IhOHQoU8VX0mKz0PV/lo8cfJP3eRSdcJib1VUg9nSetNdA==" saltValue="k51ls4hbl9kOpfT3md1wKw==" spinCount="100000" sheet="1" scenarios="1"/>
  <mergeCells count="2">
    <mergeCell ref="AD31:AE31"/>
    <mergeCell ref="AG31:AH31"/>
  </mergeCells>
  <dataValidations disablePrompts="1" count="2">
    <dataValidation type="list" allowBlank="1" sqref="B28:C28" xr:uid="{00000000-0002-0000-2600-000000000000}">
      <formula1>"ACCOUNT,BUSINESSUNIT,CATEGORY,DATASRC,DEPARTMENT,INTCO,MEASURES,RPTCURRENCY,TIME"</formula1>
    </dataValidation>
    <dataValidation type="list" allowBlank="1" sqref="B29:C29" xr:uid="{00000000-0002-0000-2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325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3256" r:id="rId7" name="FPMExcelClientSheetOptionstb1"/>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3">
    <tabColor theme="2" tint="-0.499984740745262"/>
    <pageSetUpPr fitToPage="1"/>
  </sheetPr>
  <dimension ref="A1:AO78"/>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498</v>
      </c>
      <c r="C6" s="11" t="str">
        <f>IF(_epmOfflineCondition_,"Human Resources (Consolidated)",_xll.EVDES(B6,$B$1))</f>
        <v>Human Resources (Consolidated)</v>
      </c>
      <c r="D6" s="11"/>
      <c r="E6" s="58" t="str">
        <f>IF(_epmOfflineCondition_,"D1154",_xll.EVPRO($B$1,$B$6,$F$6))</f>
        <v>D1154</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IF(_epmOfflineCondition_,"'HR_Detail'!$B$2:$B$10",_xll.EVRNG($B$2:$B$10))</f>
        <v>'HR_Detail'!$B$2:$B$10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IF(_epmOfflineCondition_,"'HR_Detail'!$O$16:$AN$18",_xll.EVRNG($O$16:$AN$18))</f>
        <v>'HR_Detail'!$O$16:$AN$18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IF(_epmOfflineCondition_,"'HR_Detail'!$H$34:$H$45",_xll.EVRNG(H34:H45))</f>
        <v>'HR_Detail'!$H$34:$H$45</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IF(_epmOfflineCondition_,"'HR_Detail'!$A$37:$B$58",_xll.EVRNG($A$37:$B$58))</f>
        <v>'HR_Detail'!$A$37:$B$58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IF(_epmOfflineCondition_,"Human Resources (Consolidated) Department",IF(_xll.EVDES(B6,$B$1)="#NODATA","",_xll.EVDES(B6,$B$1)&amp;" Department"))</f>
        <v>Human Resources (Consolidated)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111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82</v>
      </c>
      <c r="I33" s="59" t="str">
        <f>IF(_epmOfflineCondition_,"B1",_xll.EVPRO($B$1,$H33,"STYLE"))</f>
        <v>B1</v>
      </c>
      <c r="J33" s="59" t="str">
        <f>IF(_epmOfflineCondition_,"Y",_xll.EVPRO($B$1,$H33,"CALC"))</f>
        <v>Y</v>
      </c>
      <c r="K33" s="11"/>
      <c r="L33" s="11"/>
      <c r="M33" s="11"/>
      <c r="N33" s="105" t="str">
        <f>IF(_epmOfflineCondition_,"Other Expenses",IF(_xll.EVDES(H33,$B$1)="#NODATA","",_xll.EVDES(H33,$B$1)))</f>
        <v>Other Expenses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826</v>
      </c>
      <c r="I34" s="122" t="str">
        <f>IF(_epmOfflineCondition_,"N",_xll.EVPRO($B$1,$H34,"STYLE"))</f>
        <v>N</v>
      </c>
      <c r="J34" s="122" t="str">
        <f>IF(_epmOfflineCondition_,"N",_xll.EVPRO($B$1,$H34,"CALC"))</f>
        <v>N</v>
      </c>
      <c r="K34" s="179" t="str">
        <f t="shared" ref="K34:K45" si="0">IF(AND(I34&gt;="T3"),"&gt;","")</f>
        <v/>
      </c>
      <c r="L34" s="90" t="str">
        <f>IF(_epmOfflineCondition_,"701100",_xll.EVPRO($B$1,H34,"JDEID"))</f>
        <v>701100</v>
      </c>
      <c r="M34" s="90" t="str">
        <f>IF(_epmOfflineCondition_,"690015",IF(AND(I34="N",J34="N"),_xll.EVPRO($B$1,H34,"PSFTID"),""))</f>
        <v>690015</v>
      </c>
      <c r="N34" s="90" t="str">
        <f>IF(_epmOfflineCondition_,"Dues and Subscriptions",IF(_xll.EVDES(H34,$B$1)="#NODATA","",_xll.EVDES(H34,$B$1)))</f>
        <v>Dues and Subscriptions</v>
      </c>
      <c r="O34" s="143">
        <v>0.79</v>
      </c>
      <c r="P34" s="143">
        <v>149.08000000000001</v>
      </c>
      <c r="Q34" s="143">
        <v>13.29</v>
      </c>
      <c r="R34" s="143"/>
      <c r="S34" s="143"/>
      <c r="T34" s="143"/>
      <c r="U34" s="143"/>
      <c r="V34" s="143"/>
      <c r="W34" s="143"/>
      <c r="X34" s="143">
        <v>356.72</v>
      </c>
      <c r="Y34" s="143"/>
      <c r="Z34" s="143"/>
      <c r="AA34" s="210">
        <f t="shared" ref="AA34:AA46" si="1">IF($I34="B1","",SUM(O34:Z34))</f>
        <v>519.88</v>
      </c>
      <c r="AB34" s="144">
        <f t="shared" ref="AB34:AB46" si="2">IF(AA34=0,"",IFERROR(AA34/AA$19,""))</f>
        <v>9.9720995470495844E-5</v>
      </c>
      <c r="AC34" s="140"/>
      <c r="AD34" s="143">
        <v>1465</v>
      </c>
      <c r="AE34" s="144">
        <f t="shared" ref="AE34:AE46" si="3">IF(AD34=0,"",IFERROR(AD34/AD$19,""))</f>
        <v>1.1293772067672525E-4</v>
      </c>
      <c r="AF34" s="145">
        <f t="shared" ref="AF34:AF46" si="4">IF(AND($AA34="",AD34=""),"",$AA34-AD34)</f>
        <v>-945.12</v>
      </c>
      <c r="AG34" s="143">
        <v>1065.45</v>
      </c>
      <c r="AH34" s="144">
        <f t="shared" ref="AH34:AH46" si="5">IF(AG34=0,"",IFERROR(AG34/AG$19,""))</f>
        <v>1.2705119182585795E-4</v>
      </c>
      <c r="AI34" s="145">
        <f t="shared" ref="AI34:AI46" si="6">IF(AND($AA34="",AG34=""),"",$AA34-AG34)</f>
        <v>-545.57000000000005</v>
      </c>
      <c r="AJ34" s="440">
        <f t="shared" ref="AJ34:AJ46" si="7">IFERROR(AA34/AA$20,0)</f>
        <v>1.0760887564166252E-2</v>
      </c>
      <c r="AK34" s="441">
        <f t="shared" ref="AK34:AK46" si="8">IFERROR(AD34/AD$20,0)</f>
        <v>3.0323729094220899E-2</v>
      </c>
      <c r="AL34" s="442">
        <f t="shared" ref="AL34:AL46" si="9">IFERROR(AG34/AG$20,0)</f>
        <v>2.2113947696139478E-2</v>
      </c>
      <c r="AM34" s="443" t="str">
        <f t="shared" ref="AM34:AM46" si="10">+IFERROR(ROUND(($AB34-AE34)*100,2)&amp;" pts.",0)</f>
        <v>0 pts.</v>
      </c>
      <c r="AN34" s="444" t="str">
        <f t="shared" ref="AN34:AN46" si="11">+IFERROR(ROUND(($AB34-AH34)*100,2)&amp;" pts.",0)</f>
        <v>0 pts.</v>
      </c>
      <c r="AO34" s="11"/>
    </row>
    <row r="35" spans="1:41" x14ac:dyDescent="0.35">
      <c r="A35" s="11"/>
      <c r="B35" s="11"/>
      <c r="C35" s="208"/>
      <c r="D35" s="11"/>
      <c r="E35" s="11"/>
      <c r="F35" s="11"/>
      <c r="G35" s="11"/>
      <c r="H35" s="88" t="s">
        <v>828</v>
      </c>
      <c r="I35" s="122" t="str">
        <f>IF(_epmOfflineCondition_,"N",_xll.EVPRO($B$1,$H35,"STYLE"))</f>
        <v>N</v>
      </c>
      <c r="J35" s="122" t="str">
        <f>IF(_epmOfflineCondition_,"N",_xll.EVPRO($B$1,$H35,"CALC"))</f>
        <v>N</v>
      </c>
      <c r="K35" s="179" t="str">
        <f t="shared" si="0"/>
        <v/>
      </c>
      <c r="L35" s="90" t="str">
        <f>IF(_epmOfflineCondition_,"701200",_xll.EVPRO($B$1,H35,"JDEID"))</f>
        <v>701200</v>
      </c>
      <c r="M35" s="90" t="str">
        <f>IF(_epmOfflineCondition_,"690010",IF(AND(I35="N",J35="N"),_xll.EVPRO($B$1,H35,"PSFTID"),""))</f>
        <v>690010</v>
      </c>
      <c r="N35" s="90" t="str">
        <f>IF(_epmOfflineCondition_,"Postage and Overnight Delivery",IF(_xll.EVDES(H35,$B$1)="#NODATA","",_xll.EVDES(H35,$B$1)))</f>
        <v>Postage and Overnight Delivery</v>
      </c>
      <c r="O35" s="143">
        <v>82.67</v>
      </c>
      <c r="P35" s="143">
        <v>205.19</v>
      </c>
      <c r="Q35" s="143">
        <v>192.8</v>
      </c>
      <c r="R35" s="143"/>
      <c r="S35" s="143"/>
      <c r="T35" s="143"/>
      <c r="U35" s="143"/>
      <c r="V35" s="143"/>
      <c r="W35" s="143"/>
      <c r="X35" s="143"/>
      <c r="Y35" s="143"/>
      <c r="Z35" s="143"/>
      <c r="AA35" s="210">
        <f t="shared" si="1"/>
        <v>480.66</v>
      </c>
      <c r="AB35" s="144">
        <f t="shared" si="2"/>
        <v>9.2197995081265934E-5</v>
      </c>
      <c r="AC35" s="140"/>
      <c r="AD35" s="143">
        <v>96</v>
      </c>
      <c r="AE35" s="144">
        <f t="shared" si="3"/>
        <v>7.4006970545840443E-6</v>
      </c>
      <c r="AF35" s="145">
        <f t="shared" si="4"/>
        <v>384.66</v>
      </c>
      <c r="AG35" s="143">
        <v>263.20999999999998</v>
      </c>
      <c r="AH35" s="144">
        <f t="shared" si="5"/>
        <v>3.1386873340357661E-5</v>
      </c>
      <c r="AI35" s="145">
        <f t="shared" si="6"/>
        <v>217.45000000000005</v>
      </c>
      <c r="AJ35" s="440">
        <f t="shared" si="7"/>
        <v>9.9490809736711375E-3</v>
      </c>
      <c r="AK35" s="441">
        <f t="shared" si="8"/>
        <v>1.987083954297069E-3</v>
      </c>
      <c r="AL35" s="442">
        <f t="shared" si="9"/>
        <v>5.4630552096305513E-3</v>
      </c>
      <c r="AM35" s="443" t="str">
        <f t="shared" si="10"/>
        <v>0.01 pts.</v>
      </c>
      <c r="AN35" s="444" t="str">
        <f t="shared" si="11"/>
        <v>0.01 pts.</v>
      </c>
      <c r="AO35" s="11"/>
    </row>
    <row r="36" spans="1:41" x14ac:dyDescent="0.35">
      <c r="A36" s="62" t="s">
        <v>23</v>
      </c>
      <c r="B36" s="63" t="s">
        <v>24</v>
      </c>
      <c r="C36" s="11"/>
      <c r="D36" s="11"/>
      <c r="E36" s="11"/>
      <c r="F36" s="11"/>
      <c r="G36" s="11"/>
      <c r="H36" s="88" t="s">
        <v>830</v>
      </c>
      <c r="I36" s="122" t="str">
        <f>IF(_epmOfflineCondition_,"T4",_xll.EVPRO($B$1,$H36,"STYLE"))</f>
        <v>T4</v>
      </c>
      <c r="J36" s="122" t="str">
        <f>IF(_epmOfflineCondition_,"Y",_xll.EVPRO($B$1,$H36,"CALC"))</f>
        <v>Y</v>
      </c>
      <c r="K36" s="179" t="str">
        <f t="shared" si="0"/>
        <v>&gt;</v>
      </c>
      <c r="L36" s="90" t="str">
        <f>IF(_epmOfflineCondition_,"701500",_xll.EVPRO($B$1,H36,"JDEID"))</f>
        <v>701500</v>
      </c>
      <c r="M36" s="90" t="str">
        <f>IF(_epmOfflineCondition_,"",IF(AND(I36="N",J36="N"),_xll.EVPRO($B$1,H36,"PSFTID"),""))</f>
        <v/>
      </c>
      <c r="N36" s="90" t="str">
        <f>IF(_epmOfflineCondition_,"Operating Supplies",IF(_xll.EVDES(H36,$B$1)="#NODATA","",_xll.EVDES(H36,$B$1)))</f>
        <v>Operating Supplies</v>
      </c>
      <c r="O36" s="143">
        <v>3.2</v>
      </c>
      <c r="P36" s="143">
        <v>20.82</v>
      </c>
      <c r="Q36" s="143">
        <v>35.409999999999997</v>
      </c>
      <c r="R36" s="143">
        <v>2.27</v>
      </c>
      <c r="S36" s="143">
        <v>64.55</v>
      </c>
      <c r="T36" s="143"/>
      <c r="U36" s="143"/>
      <c r="V36" s="143">
        <v>6.94</v>
      </c>
      <c r="W36" s="143">
        <v>1.71</v>
      </c>
      <c r="X36" s="143">
        <v>2.4500000000000002</v>
      </c>
      <c r="Y36" s="143"/>
      <c r="Z36" s="143"/>
      <c r="AA36" s="210">
        <f t="shared" si="1"/>
        <v>137.35</v>
      </c>
      <c r="AB36" s="144">
        <f t="shared" si="2"/>
        <v>2.6345846595123113E-5</v>
      </c>
      <c r="AC36" s="140"/>
      <c r="AD36" s="143">
        <v>62</v>
      </c>
      <c r="AE36" s="144">
        <f t="shared" si="3"/>
        <v>4.7796168477521955E-6</v>
      </c>
      <c r="AF36" s="145">
        <f t="shared" si="4"/>
        <v>75.349999999999994</v>
      </c>
      <c r="AG36" s="143">
        <v>20.92</v>
      </c>
      <c r="AH36" s="144">
        <f t="shared" si="5"/>
        <v>2.4946369449499728E-6</v>
      </c>
      <c r="AI36" s="145">
        <f t="shared" si="6"/>
        <v>116.42999999999999</v>
      </c>
      <c r="AJ36" s="440">
        <f t="shared" si="7"/>
        <v>2.8429789700281502E-3</v>
      </c>
      <c r="AK36" s="441">
        <f t="shared" si="8"/>
        <v>1.2833250538168571E-3</v>
      </c>
      <c r="AL36" s="442">
        <f t="shared" si="9"/>
        <v>4.3420506434205068E-4</v>
      </c>
      <c r="AM36" s="443" t="str">
        <f t="shared" si="10"/>
        <v>0 pts.</v>
      </c>
      <c r="AN36" s="444" t="str">
        <f t="shared" si="11"/>
        <v>0 pts.</v>
      </c>
      <c r="AO36" s="11"/>
    </row>
    <row r="37" spans="1:41" x14ac:dyDescent="0.35">
      <c r="A37" s="65" t="s">
        <v>25</v>
      </c>
      <c r="B37" s="66"/>
      <c r="C37" s="11"/>
      <c r="D37" s="11"/>
      <c r="E37" s="11"/>
      <c r="F37" s="11"/>
      <c r="G37" s="11"/>
      <c r="H37" s="88" t="s">
        <v>832</v>
      </c>
      <c r="I37" s="122" t="str">
        <f>IF(_epmOfflineCondition_,"T4",_xll.EVPRO($B$1,$H37,"STYLE"))</f>
        <v>T4</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IF(_epmOfflineCondition_,"Contract Services",IF(_xll.EVDES(H37,$B$1)="#NODATA","",_xll.EVDES(H37,$B$1)))</f>
        <v>Contract Services</v>
      </c>
      <c r="O37" s="143">
        <v>2000</v>
      </c>
      <c r="P37" s="143"/>
      <c r="Q37" s="143"/>
      <c r="R37" s="143"/>
      <c r="S37" s="143"/>
      <c r="T37" s="143"/>
      <c r="U37" s="143"/>
      <c r="V37" s="143"/>
      <c r="W37" s="143"/>
      <c r="X37" s="143"/>
      <c r="Y37" s="143">
        <v>-1125</v>
      </c>
      <c r="Z37" s="143">
        <v>175</v>
      </c>
      <c r="AA37" s="210">
        <f t="shared" si="1"/>
        <v>1050</v>
      </c>
      <c r="AB37" s="144">
        <f t="shared" si="2"/>
        <v>2.0140618074174931E-4</v>
      </c>
      <c r="AC37" s="140"/>
      <c r="AD37" s="143">
        <v>2000</v>
      </c>
      <c r="AE37" s="144">
        <f t="shared" si="3"/>
        <v>1.5418118863716758E-4</v>
      </c>
      <c r="AF37" s="145">
        <f t="shared" si="4"/>
        <v>-950</v>
      </c>
      <c r="AG37" s="143"/>
      <c r="AH37" s="144" t="str">
        <f t="shared" si="5"/>
        <v/>
      </c>
      <c r="AI37" s="145">
        <f t="shared" si="6"/>
        <v>1050</v>
      </c>
      <c r="AJ37" s="440">
        <f t="shared" si="7"/>
        <v>2.1733730750124192E-2</v>
      </c>
      <c r="AK37" s="441">
        <f t="shared" si="8"/>
        <v>4.1397582381188937E-2</v>
      </c>
      <c r="AL37" s="442">
        <f t="shared" si="9"/>
        <v>0</v>
      </c>
      <c r="AM37" s="443" t="str">
        <f t="shared" si="10"/>
        <v>0 pts.</v>
      </c>
      <c r="AN37" s="444">
        <f t="shared" si="11"/>
        <v>0</v>
      </c>
      <c r="AO37" s="11"/>
    </row>
    <row r="38" spans="1:41" x14ac:dyDescent="0.35">
      <c r="A38" s="65" t="s">
        <v>26</v>
      </c>
      <c r="B38" s="66"/>
      <c r="C38" s="11"/>
      <c r="D38" s="11"/>
      <c r="E38" s="11"/>
      <c r="F38" s="11"/>
      <c r="G38" s="11"/>
      <c r="H38" s="88" t="s">
        <v>833</v>
      </c>
      <c r="I38" s="122" t="str">
        <f>IF(_epmOfflineCondition_,"T4",_xll.EVPRO($B$1,$H38,"STYLE"))</f>
        <v>T4</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IF(_epmOfflineCondition_,"Travel - Other",IF(_xll.EVDES(H38,$B$1)="#NODATA","",_xll.EVDES(H38,$B$1)))</f>
        <v>Travel - Other</v>
      </c>
      <c r="O38" s="143">
        <v>-0.62</v>
      </c>
      <c r="P38" s="143"/>
      <c r="Q38" s="143">
        <v>155.65</v>
      </c>
      <c r="R38" s="143"/>
      <c r="S38" s="143"/>
      <c r="T38" s="143"/>
      <c r="U38" s="143"/>
      <c r="V38" s="143"/>
      <c r="W38" s="143"/>
      <c r="X38" s="143"/>
      <c r="Y38" s="143"/>
      <c r="Z38" s="143"/>
      <c r="AA38" s="210">
        <f t="shared" si="1"/>
        <v>155.03</v>
      </c>
      <c r="AB38" s="144">
        <f t="shared" si="2"/>
        <v>2.9737143047993711E-5</v>
      </c>
      <c r="AC38" s="140"/>
      <c r="AD38" s="143">
        <v>2300</v>
      </c>
      <c r="AE38" s="144">
        <f t="shared" si="3"/>
        <v>1.7730836693274273E-4</v>
      </c>
      <c r="AF38" s="145">
        <f t="shared" si="4"/>
        <v>-2144.9699999999998</v>
      </c>
      <c r="AG38" s="143">
        <v>1610.61</v>
      </c>
      <c r="AH38" s="144">
        <f t="shared" si="5"/>
        <v>1.9205961806433437E-4</v>
      </c>
      <c r="AI38" s="145">
        <f t="shared" si="6"/>
        <v>-1455.58</v>
      </c>
      <c r="AJ38" s="440">
        <f t="shared" si="7"/>
        <v>3.2089335982778606E-3</v>
      </c>
      <c r="AK38" s="441">
        <f t="shared" si="8"/>
        <v>4.7607219738367276E-2</v>
      </c>
      <c r="AL38" s="442">
        <f t="shared" si="9"/>
        <v>3.3429016189290159E-2</v>
      </c>
      <c r="AM38" s="443" t="str">
        <f t="shared" si="10"/>
        <v>-0.01 pts.</v>
      </c>
      <c r="AN38" s="444" t="str">
        <f t="shared" si="11"/>
        <v>-0.02 pts.</v>
      </c>
      <c r="AO38" s="11"/>
    </row>
    <row r="39" spans="1:41" x14ac:dyDescent="0.35">
      <c r="A39" s="65" t="s">
        <v>27</v>
      </c>
      <c r="B39" s="66"/>
      <c r="C39" s="11"/>
      <c r="D39" s="11"/>
      <c r="E39" s="11"/>
      <c r="F39" s="11"/>
      <c r="G39" s="11"/>
      <c r="H39" s="88" t="s">
        <v>834</v>
      </c>
      <c r="I39" s="122" t="str">
        <f>IF(_epmOfflineCondition_,"T4",_xll.EVPRO($B$1,$H39,"STYLE"))</f>
        <v>T4</v>
      </c>
      <c r="J39" s="122" t="str">
        <f>IF(_epmOfflineCondition_,"Y",_xll.EVPRO($B$1,$H39,"CALC"))</f>
        <v>Y</v>
      </c>
      <c r="K39" s="179" t="str">
        <f t="shared" si="0"/>
        <v>&gt;</v>
      </c>
      <c r="L39" s="90" t="str">
        <f>IF(_epmOfflineCondition_,"702900",_xll.EVPRO($B$1,H39,"JDEID"))</f>
        <v>702900</v>
      </c>
      <c r="M39" s="90" t="str">
        <f>IF(_epmOfflineCondition_,"",IF(AND(I39="N",J39="N"),_xll.EVPRO($B$1,H39,"PSFTID"),""))</f>
        <v/>
      </c>
      <c r="N39" s="90" t="str">
        <f>IF(_epmOfflineCondition_,"Travel - Meals &amp; Entertainment",IF(_xll.EVDES(H39,$B$1)="#NODATA","",_xll.EVDES(H39,$B$1)))</f>
        <v>Travel - Meals &amp; Entertainment</v>
      </c>
      <c r="O39" s="143">
        <v>40.82</v>
      </c>
      <c r="P39" s="143">
        <v>17.32</v>
      </c>
      <c r="Q39" s="143">
        <v>70.069999999999993</v>
      </c>
      <c r="R39" s="143">
        <v>2.64</v>
      </c>
      <c r="S39" s="143"/>
      <c r="T39" s="143"/>
      <c r="U39" s="143"/>
      <c r="V39" s="143"/>
      <c r="W39" s="143"/>
      <c r="X39" s="143">
        <v>74.72</v>
      </c>
      <c r="Y39" s="143"/>
      <c r="Z39" s="143"/>
      <c r="AA39" s="210">
        <f t="shared" si="1"/>
        <v>205.56999999999996</v>
      </c>
      <c r="AB39" s="144">
        <f t="shared" si="2"/>
        <v>3.9431493881029906E-5</v>
      </c>
      <c r="AC39" s="140"/>
      <c r="AD39" s="143">
        <v>700</v>
      </c>
      <c r="AE39" s="144">
        <f t="shared" si="3"/>
        <v>5.3963416023008657E-5</v>
      </c>
      <c r="AF39" s="145">
        <f t="shared" si="4"/>
        <v>-494.43000000000006</v>
      </c>
      <c r="AG39" s="143">
        <v>345.03</v>
      </c>
      <c r="AH39" s="144">
        <f t="shared" si="5"/>
        <v>4.1143622615491826E-5</v>
      </c>
      <c r="AI39" s="145">
        <f t="shared" si="6"/>
        <v>-139.46</v>
      </c>
      <c r="AJ39" s="440">
        <f t="shared" si="7"/>
        <v>4.2550505050505047E-3</v>
      </c>
      <c r="AK39" s="441">
        <f t="shared" si="8"/>
        <v>1.4489153833416129E-2</v>
      </c>
      <c r="AL39" s="442">
        <f t="shared" si="9"/>
        <v>7.1612702366127016E-3</v>
      </c>
      <c r="AM39" s="443" t="str">
        <f t="shared" si="10"/>
        <v>0 pts.</v>
      </c>
      <c r="AN39" s="444" t="str">
        <f t="shared" si="11"/>
        <v>0 pts.</v>
      </c>
      <c r="AO39" s="11"/>
    </row>
    <row r="40" spans="1:41" x14ac:dyDescent="0.35">
      <c r="A40" s="65" t="s">
        <v>28</v>
      </c>
      <c r="B40" s="66"/>
      <c r="C40" s="11"/>
      <c r="D40" s="11"/>
      <c r="E40" s="11"/>
      <c r="F40" s="11"/>
      <c r="G40" s="11"/>
      <c r="H40" s="88" t="s">
        <v>836</v>
      </c>
      <c r="I40" s="122" t="str">
        <f>IF(_epmOfflineCondition_,"N",_xll.EVPRO($B$1,$H40,"STYLE"))</f>
        <v>N</v>
      </c>
      <c r="J40" s="122" t="str">
        <f>IF(_epmOfflineCondition_,"N",_xll.EVPRO($B$1,$H40,"CALC"))</f>
        <v>N</v>
      </c>
      <c r="K40" s="179" t="str">
        <f t="shared" si="0"/>
        <v/>
      </c>
      <c r="L40" s="90" t="str">
        <f>IF(_epmOfflineCondition_,"703100",_xll.EVPRO($B$1,H40,"JDEID"))</f>
        <v>703100</v>
      </c>
      <c r="M40" s="90" t="str">
        <f>IF(_epmOfflineCondition_,"690035",IF(AND(I40="N",J40="N"),_xll.EVPRO($B$1,H40,"PSFTID"),""))</f>
        <v>690035</v>
      </c>
      <c r="N40" s="90" t="str">
        <f>IF(_epmOfflineCondition_,"Training",IF(_xll.EVDES(H40,$B$1)="#NODATA","",_xll.EVDES(H40,$B$1)))</f>
        <v>Training</v>
      </c>
      <c r="O40" s="143"/>
      <c r="P40" s="143"/>
      <c r="Q40" s="143"/>
      <c r="R40" s="143"/>
      <c r="S40" s="143"/>
      <c r="T40" s="143"/>
      <c r="U40" s="143"/>
      <c r="V40" s="143"/>
      <c r="W40" s="143"/>
      <c r="X40" s="143"/>
      <c r="Y40" s="143">
        <v>179</v>
      </c>
      <c r="Z40" s="143">
        <v>179</v>
      </c>
      <c r="AA40" s="210">
        <f t="shared" si="1"/>
        <v>358</v>
      </c>
      <c r="AB40" s="144">
        <f t="shared" si="2"/>
        <v>6.8669916862425001E-5</v>
      </c>
      <c r="AC40" s="140"/>
      <c r="AD40" s="143">
        <v>2350</v>
      </c>
      <c r="AE40" s="144">
        <f t="shared" si="3"/>
        <v>1.8116289664867191E-4</v>
      </c>
      <c r="AF40" s="145">
        <f t="shared" si="4"/>
        <v>-1992</v>
      </c>
      <c r="AG40" s="143">
        <v>996.73</v>
      </c>
      <c r="AH40" s="144">
        <f t="shared" si="5"/>
        <v>1.1885657180401463E-4</v>
      </c>
      <c r="AI40" s="145">
        <f t="shared" si="6"/>
        <v>-638.73</v>
      </c>
      <c r="AJ40" s="440">
        <f t="shared" si="7"/>
        <v>7.4101672462328202E-3</v>
      </c>
      <c r="AK40" s="441">
        <f t="shared" si="8"/>
        <v>4.8642159297897003E-2</v>
      </c>
      <c r="AL40" s="442">
        <f t="shared" si="9"/>
        <v>2.0687629721876297E-2</v>
      </c>
      <c r="AM40" s="443" t="str">
        <f t="shared" si="10"/>
        <v>-0.01 pts.</v>
      </c>
      <c r="AN40" s="444" t="str">
        <f t="shared" si="11"/>
        <v>-0.01 pts.</v>
      </c>
      <c r="AO40" s="11"/>
    </row>
    <row r="41" spans="1:41" x14ac:dyDescent="0.35">
      <c r="A41" s="65" t="s">
        <v>29</v>
      </c>
      <c r="B41" s="66"/>
      <c r="C41" s="11"/>
      <c r="D41" s="11"/>
      <c r="E41" s="11"/>
      <c r="F41" s="11"/>
      <c r="G41" s="11"/>
      <c r="H41" s="88" t="s">
        <v>838</v>
      </c>
      <c r="I41" s="122" t="str">
        <f>IF(_epmOfflineCondition_,"N",_xll.EVPRO($B$1,$H41,"STYLE"))</f>
        <v>N</v>
      </c>
      <c r="J41" s="122" t="str">
        <f>IF(_epmOfflineCondition_,"N",_xll.EVPRO($B$1,$H41,"CALC"))</f>
        <v>N</v>
      </c>
      <c r="K41" s="179" t="str">
        <f t="shared" si="0"/>
        <v/>
      </c>
      <c r="L41" s="90" t="str">
        <f>IF(_epmOfflineCondition_,"703300",_xll.EVPRO($B$1,H41,"JDEID"))</f>
        <v>703300</v>
      </c>
      <c r="M41" s="90" t="str">
        <f>IF(_epmOfflineCondition_,"590115",IF(AND(I41="N",J41="N"),_xll.EVPRO($B$1,H41,"PSFTID"),""))</f>
        <v>590115</v>
      </c>
      <c r="N41" s="90" t="str">
        <f>IF(_epmOfflineCondition_,"Uniforms Laundry",IF(_xll.EVDES(H41,$B$1)="#NODATA","",_xll.EVDES(H41,$B$1)))</f>
        <v>Uniforms Laundry</v>
      </c>
      <c r="O41" s="143"/>
      <c r="P41" s="143"/>
      <c r="Q41" s="143"/>
      <c r="R41" s="143"/>
      <c r="S41" s="143"/>
      <c r="T41" s="143"/>
      <c r="U41" s="143"/>
      <c r="V41" s="143"/>
      <c r="W41" s="143"/>
      <c r="X41" s="143"/>
      <c r="Y41" s="143"/>
      <c r="Z41" s="143"/>
      <c r="AA41" s="210">
        <f t="shared" si="1"/>
        <v>0</v>
      </c>
      <c r="AB41" s="144" t="str">
        <f t="shared" si="2"/>
        <v/>
      </c>
      <c r="AC41" s="140"/>
      <c r="AD41" s="143"/>
      <c r="AE41" s="144" t="str">
        <f t="shared" si="3"/>
        <v/>
      </c>
      <c r="AF41" s="145">
        <f t="shared" si="4"/>
        <v>0</v>
      </c>
      <c r="AG41" s="143">
        <v>0.38</v>
      </c>
      <c r="AH41" s="144">
        <f t="shared" si="5"/>
        <v>4.5313672996223209E-8</v>
      </c>
      <c r="AI41" s="145">
        <f t="shared" si="6"/>
        <v>-0.38</v>
      </c>
      <c r="AJ41" s="440">
        <f t="shared" si="7"/>
        <v>0</v>
      </c>
      <c r="AK41" s="441">
        <f t="shared" si="8"/>
        <v>0</v>
      </c>
      <c r="AL41" s="442">
        <f t="shared" si="9"/>
        <v>7.8870900788709007E-6</v>
      </c>
      <c r="AM41" s="443">
        <f t="shared" si="10"/>
        <v>0</v>
      </c>
      <c r="AN41" s="444">
        <f t="shared" si="11"/>
        <v>0</v>
      </c>
      <c r="AO41" s="11"/>
    </row>
    <row r="42" spans="1:41" x14ac:dyDescent="0.35">
      <c r="A42" s="65" t="s">
        <v>30</v>
      </c>
      <c r="B42" s="66" t="s">
        <v>78</v>
      </c>
      <c r="C42" s="11"/>
      <c r="D42" s="11"/>
      <c r="E42" s="11"/>
      <c r="F42" s="11"/>
      <c r="G42" s="11"/>
      <c r="H42" s="88" t="s">
        <v>848</v>
      </c>
      <c r="I42" s="122" t="str">
        <f>IF(_epmOfflineCondition_,"T4",_xll.EVPRO($B$1,$H42,"STYLE"))</f>
        <v>T4</v>
      </c>
      <c r="J42" s="122" t="str">
        <f>IF(_epmOfflineCondition_,"Y",_xll.EVPRO($B$1,$H42,"CALC"))</f>
        <v>Y</v>
      </c>
      <c r="K42" s="179" t="str">
        <f t="shared" si="0"/>
        <v>&gt;</v>
      </c>
      <c r="L42" s="90" t="str">
        <f>IF(_epmOfflineCondition_,"706100",_xll.EVPRO($B$1,H42,"JDEID"))</f>
        <v>706100</v>
      </c>
      <c r="M42" s="90" t="str">
        <f>IF(_epmOfflineCondition_,"",IF(AND(I42="N",J42="N"),_xll.EVPRO($B$1,H42,"PSFTID"),""))</f>
        <v/>
      </c>
      <c r="N42" s="90" t="str">
        <f>IF(_epmOfflineCondition_,"Miscellaneous",IF(_xll.EVDES(H42,$B$1)="#NODATA","",_xll.EVDES(H42,$B$1)))</f>
        <v>Miscellaneous</v>
      </c>
      <c r="O42" s="143"/>
      <c r="P42" s="143"/>
      <c r="Q42" s="143"/>
      <c r="R42" s="143"/>
      <c r="S42" s="143"/>
      <c r="T42" s="143"/>
      <c r="U42" s="143"/>
      <c r="V42" s="143"/>
      <c r="W42" s="143"/>
      <c r="X42" s="143"/>
      <c r="Y42" s="143"/>
      <c r="Z42" s="143">
        <v>-179</v>
      </c>
      <c r="AA42" s="210">
        <f t="shared" si="1"/>
        <v>-179</v>
      </c>
      <c r="AB42" s="144">
        <f t="shared" si="2"/>
        <v>-3.4334958431212501E-5</v>
      </c>
      <c r="AC42" s="140"/>
      <c r="AD42" s="143"/>
      <c r="AE42" s="144" t="str">
        <f t="shared" si="3"/>
        <v/>
      </c>
      <c r="AF42" s="145">
        <f t="shared" si="4"/>
        <v>-179</v>
      </c>
      <c r="AG42" s="143"/>
      <c r="AH42" s="144" t="str">
        <f t="shared" si="5"/>
        <v/>
      </c>
      <c r="AI42" s="145">
        <f t="shared" si="6"/>
        <v>-179</v>
      </c>
      <c r="AJ42" s="440">
        <f t="shared" si="7"/>
        <v>-3.7050836231164101E-3</v>
      </c>
      <c r="AK42" s="441">
        <f t="shared" si="8"/>
        <v>0</v>
      </c>
      <c r="AL42" s="442">
        <f t="shared" si="9"/>
        <v>0</v>
      </c>
      <c r="AM42" s="443">
        <f t="shared" si="10"/>
        <v>0</v>
      </c>
      <c r="AN42" s="444">
        <f t="shared" si="11"/>
        <v>0</v>
      </c>
      <c r="AO42" s="11"/>
    </row>
    <row r="43" spans="1:41" x14ac:dyDescent="0.35">
      <c r="A43" s="65" t="s">
        <v>31</v>
      </c>
      <c r="B43" s="66" t="s">
        <v>78</v>
      </c>
      <c r="C43" s="11"/>
      <c r="D43" s="11"/>
      <c r="E43" s="11"/>
      <c r="F43" s="11"/>
      <c r="G43" s="11"/>
      <c r="H43" s="88" t="s">
        <v>883</v>
      </c>
      <c r="I43" s="122" t="str">
        <f>IF(_epmOfflineCondition_,"N",_xll.EVPRO($B$1,$H43,"STYLE"))</f>
        <v>N</v>
      </c>
      <c r="J43" s="122" t="str">
        <f>IF(_epmOfflineCondition_,"N",_xll.EVPRO($B$1,$H43,"CALC"))</f>
        <v>N</v>
      </c>
      <c r="K43" s="179" t="str">
        <f t="shared" si="0"/>
        <v/>
      </c>
      <c r="L43" s="90" t="str">
        <f>IF(_epmOfflineCondition_,"706700",_xll.EVPRO($B$1,H43,"JDEID"))</f>
        <v>706700</v>
      </c>
      <c r="M43" s="90" t="str">
        <f>IF(_epmOfflineCondition_,"690248",IF(AND(I43="N",J43="N"),_xll.EVPRO($B$1,H43,"PSFTID"),""))</f>
        <v>690248</v>
      </c>
      <c r="N43" s="90" t="str">
        <f>IF(_epmOfflineCondition_,"Employee Relations",IF(_xll.EVDES(H43,$B$1)="#NODATA","",_xll.EVDES(H43,$B$1)))</f>
        <v>Employee Relations</v>
      </c>
      <c r="O43" s="143">
        <v>3967.33</v>
      </c>
      <c r="P43" s="143">
        <v>1163.46</v>
      </c>
      <c r="Q43" s="143">
        <v>-1912.1</v>
      </c>
      <c r="R43" s="143">
        <v>256.76</v>
      </c>
      <c r="S43" s="143">
        <v>346.69</v>
      </c>
      <c r="T43" s="143">
        <v>89.99</v>
      </c>
      <c r="U43" s="143">
        <v>382.03</v>
      </c>
      <c r="V43" s="143">
        <v>168.77</v>
      </c>
      <c r="W43" s="143">
        <v>183.96</v>
      </c>
      <c r="X43" s="143">
        <v>1412.91</v>
      </c>
      <c r="Y43" s="143">
        <v>1048.32</v>
      </c>
      <c r="Z43" s="143">
        <v>5959.49</v>
      </c>
      <c r="AA43" s="210">
        <f t="shared" si="1"/>
        <v>13067.61</v>
      </c>
      <c r="AB43" s="144">
        <f t="shared" si="2"/>
        <v>2.5065689728787531E-3</v>
      </c>
      <c r="AC43" s="140"/>
      <c r="AD43" s="143">
        <v>28939.9999999992</v>
      </c>
      <c r="AE43" s="144">
        <f t="shared" si="3"/>
        <v>2.2310017995797534E-3</v>
      </c>
      <c r="AF43" s="145">
        <f t="shared" si="4"/>
        <v>-15872.389999999199</v>
      </c>
      <c r="AG43" s="143">
        <v>33487.519999999997</v>
      </c>
      <c r="AH43" s="144">
        <f t="shared" si="5"/>
        <v>3.993269817722328E-3</v>
      </c>
      <c r="AI43" s="145">
        <f t="shared" si="6"/>
        <v>-20419.909999999996</v>
      </c>
      <c r="AJ43" s="440">
        <f t="shared" si="7"/>
        <v>0.27048373075012422</v>
      </c>
      <c r="AK43" s="441">
        <f t="shared" si="8"/>
        <v>0.59902301705578742</v>
      </c>
      <c r="AL43" s="442">
        <f t="shared" si="9"/>
        <v>0.69505022831050223</v>
      </c>
      <c r="AM43" s="443" t="str">
        <f t="shared" si="10"/>
        <v>0.03 pts.</v>
      </c>
      <c r="AN43" s="444" t="str">
        <f t="shared" si="11"/>
        <v>-0.15 pts.</v>
      </c>
      <c r="AO43" s="11"/>
    </row>
    <row r="44" spans="1:41" x14ac:dyDescent="0.35">
      <c r="A44" s="65" t="s">
        <v>32</v>
      </c>
      <c r="B44" s="66"/>
      <c r="C44" s="11"/>
      <c r="D44" s="11"/>
      <c r="E44" s="11"/>
      <c r="F44" s="11"/>
      <c r="G44" s="11"/>
      <c r="H44" s="88" t="s">
        <v>884</v>
      </c>
      <c r="I44" s="122" t="str">
        <f>IF(_epmOfflineCondition_,"N",_xll.EVPRO($B$1,$H44,"STYLE"))</f>
        <v>N</v>
      </c>
      <c r="J44" s="122" t="str">
        <f>IF(_epmOfflineCondition_,"N",_xll.EVPRO($B$1,$H44,"CALC"))</f>
        <v>N</v>
      </c>
      <c r="K44" s="179" t="str">
        <f t="shared" si="0"/>
        <v/>
      </c>
      <c r="L44" s="90" t="str">
        <f>IF(_epmOfflineCondition_,"706800",_xll.EVPRO($B$1,H44,"JDEID"))</f>
        <v>706800</v>
      </c>
      <c r="M44" s="90" t="str">
        <f>IF(_epmOfflineCondition_,"690030",IF(AND(I44="N",J44="N"),_xll.EVPRO($B$1,H44,"PSFTID"),""))</f>
        <v>690030</v>
      </c>
      <c r="N44" s="90" t="str">
        <f>IF(_epmOfflineCondition_,"Recruiting",IF(_xll.EVDES(H44,$B$1)="#NODATA","",_xll.EVDES(H44,$B$1)))</f>
        <v>Recruiting</v>
      </c>
      <c r="O44" s="143">
        <v>2276.0700000000002</v>
      </c>
      <c r="P44" s="143">
        <v>2108.5100000000002</v>
      </c>
      <c r="Q44" s="143">
        <v>915.86</v>
      </c>
      <c r="R44" s="143"/>
      <c r="S44" s="143"/>
      <c r="T44" s="143">
        <v>604.61</v>
      </c>
      <c r="U44" s="143"/>
      <c r="V44" s="143"/>
      <c r="W44" s="143">
        <v>0.74</v>
      </c>
      <c r="X44" s="143">
        <v>59.6</v>
      </c>
      <c r="Y44" s="143"/>
      <c r="Z44" s="143"/>
      <c r="AA44" s="210">
        <f t="shared" si="1"/>
        <v>5965.3899999999994</v>
      </c>
      <c r="AB44" s="144">
        <f t="shared" si="2"/>
        <v>1.1442537300333561E-3</v>
      </c>
      <c r="AC44" s="140"/>
      <c r="AD44" s="143">
        <v>9087</v>
      </c>
      <c r="AE44" s="144">
        <f t="shared" si="3"/>
        <v>7.0052223057297095E-4</v>
      </c>
      <c r="AF44" s="145">
        <f t="shared" si="4"/>
        <v>-3121.6100000000006</v>
      </c>
      <c r="AG44" s="143">
        <v>23086.6</v>
      </c>
      <c r="AH44" s="144">
        <f t="shared" si="5"/>
        <v>2.7529964289331756E-3</v>
      </c>
      <c r="AI44" s="145">
        <f t="shared" si="6"/>
        <v>-17121.21</v>
      </c>
      <c r="AJ44" s="440">
        <f t="shared" si="7"/>
        <v>0.12347636198046033</v>
      </c>
      <c r="AK44" s="441">
        <f t="shared" si="8"/>
        <v>0.18808991554893195</v>
      </c>
      <c r="AL44" s="442">
        <f t="shared" si="9"/>
        <v>0.47917393109173928</v>
      </c>
      <c r="AM44" s="443" t="str">
        <f t="shared" si="10"/>
        <v>0.04 pts.</v>
      </c>
      <c r="AN44" s="444" t="str">
        <f t="shared" si="11"/>
        <v>-0.16 pts.</v>
      </c>
      <c r="AO44" s="11"/>
    </row>
    <row r="45" spans="1:41" x14ac:dyDescent="0.35">
      <c r="A45" s="65" t="s">
        <v>33</v>
      </c>
      <c r="B45" s="66"/>
      <c r="C45" s="11"/>
      <c r="D45" s="11"/>
      <c r="E45" s="11"/>
      <c r="F45" s="11"/>
      <c r="G45" s="11"/>
      <c r="H45" s="88" t="s">
        <v>885</v>
      </c>
      <c r="I45" s="122" t="str">
        <f>IF(_epmOfflineCondition_,"N",_xll.EVPRO($B$1,$H45,"STYLE"))</f>
        <v>N</v>
      </c>
      <c r="J45" s="122" t="str">
        <f>IF(_epmOfflineCondition_,"N",_xll.EVPRO($B$1,$H45,"CALC"))</f>
        <v>N</v>
      </c>
      <c r="K45" s="179" t="str">
        <f t="shared" si="0"/>
        <v/>
      </c>
      <c r="L45" s="90" t="str">
        <f>IF(_epmOfflineCondition_,"706900",_xll.EVPRO($B$1,H45,"JDEID"))</f>
        <v>706900</v>
      </c>
      <c r="M45" s="90" t="str">
        <f>IF(_epmOfflineCondition_,"690031",IF(AND(I45="N",J45="N"),_xll.EVPRO($B$1,H45,"PSFTID"),""))</f>
        <v>690031</v>
      </c>
      <c r="N45" s="90" t="str">
        <f>IF(_epmOfflineCondition_,"Relocation",IF(_xll.EVDES(H45,$B$1)="#NODATA","",_xll.EVDES(H45,$B$1)))</f>
        <v>Relocation</v>
      </c>
      <c r="O45" s="143"/>
      <c r="P45" s="143"/>
      <c r="Q45" s="143"/>
      <c r="R45" s="143"/>
      <c r="S45" s="143"/>
      <c r="T45" s="143"/>
      <c r="U45" s="143"/>
      <c r="V45" s="143"/>
      <c r="W45" s="143"/>
      <c r="X45" s="143"/>
      <c r="Y45" s="143"/>
      <c r="Z45" s="143"/>
      <c r="AA45" s="210">
        <f t="shared" si="1"/>
        <v>0</v>
      </c>
      <c r="AB45" s="144" t="str">
        <f t="shared" si="2"/>
        <v/>
      </c>
      <c r="AC45" s="140"/>
      <c r="AD45" s="143"/>
      <c r="AE45" s="144" t="str">
        <f t="shared" si="3"/>
        <v/>
      </c>
      <c r="AF45" s="145">
        <f t="shared" si="4"/>
        <v>0</v>
      </c>
      <c r="AG45" s="143">
        <v>56.74</v>
      </c>
      <c r="AH45" s="144">
        <f t="shared" si="5"/>
        <v>6.7660468573834342E-6</v>
      </c>
      <c r="AI45" s="145">
        <f t="shared" si="6"/>
        <v>-56.74</v>
      </c>
      <c r="AJ45" s="440">
        <f t="shared" si="7"/>
        <v>0</v>
      </c>
      <c r="AK45" s="441">
        <f t="shared" si="8"/>
        <v>0</v>
      </c>
      <c r="AL45" s="442">
        <f t="shared" si="9"/>
        <v>1.1776670817766708E-3</v>
      </c>
      <c r="AM45" s="443">
        <f t="shared" si="10"/>
        <v>0</v>
      </c>
      <c r="AN45" s="444">
        <f t="shared" si="11"/>
        <v>0</v>
      </c>
      <c r="AO45" s="11"/>
    </row>
    <row r="46" spans="1:41" x14ac:dyDescent="0.35">
      <c r="A46" s="65" t="s">
        <v>34</v>
      </c>
      <c r="B46" s="66"/>
      <c r="C46" s="11"/>
      <c r="D46" s="11"/>
      <c r="E46" s="11"/>
      <c r="F46" s="11"/>
      <c r="G46" s="11"/>
      <c r="H46" s="88" t="s">
        <v>79</v>
      </c>
      <c r="I46" s="136" t="str">
        <f>IF(_epmOfflineCondition_,"T3",_xll.EVPRO($B$1,$H46,"STYLE"))</f>
        <v>T3</v>
      </c>
      <c r="J46" s="136" t="str">
        <f>IF(_epmOfflineCondition_,"Y",_xll.EVPRO($B$1,$H46,"CALC"))</f>
        <v>Y</v>
      </c>
      <c r="K46" s="104"/>
      <c r="L46" s="59"/>
      <c r="M46" s="59"/>
      <c r="N46" s="106" t="str">
        <f>IF(_epmOfflineCondition_,"Total Operations Expense",IF(_xll.EVDES(H46,$B$1)="#NODATA","",_xll.EVDES(H46,$B$1)))</f>
        <v>Total Operations Expense</v>
      </c>
      <c r="O46" s="112">
        <f t="shared" ref="O46:Z46" si="12">SUM(O34:O45)</f>
        <v>8370.26</v>
      </c>
      <c r="P46" s="112">
        <f t="shared" si="12"/>
        <v>3664.38</v>
      </c>
      <c r="Q46" s="112">
        <f t="shared" si="12"/>
        <v>-529.01999999999987</v>
      </c>
      <c r="R46" s="112">
        <f t="shared" si="12"/>
        <v>261.67</v>
      </c>
      <c r="S46" s="112">
        <f t="shared" si="12"/>
        <v>411.24</v>
      </c>
      <c r="T46" s="112">
        <f t="shared" si="12"/>
        <v>694.6</v>
      </c>
      <c r="U46" s="112">
        <f t="shared" si="12"/>
        <v>382.03</v>
      </c>
      <c r="V46" s="112">
        <f t="shared" si="12"/>
        <v>175.71</v>
      </c>
      <c r="W46" s="112">
        <f t="shared" si="12"/>
        <v>186.41000000000003</v>
      </c>
      <c r="X46" s="112">
        <f t="shared" si="12"/>
        <v>1906.4</v>
      </c>
      <c r="Y46" s="112">
        <f t="shared" si="12"/>
        <v>102.31999999999994</v>
      </c>
      <c r="Z46" s="112">
        <f t="shared" si="12"/>
        <v>6134.49</v>
      </c>
      <c r="AA46" s="112">
        <f t="shared" si="1"/>
        <v>21760.489999999998</v>
      </c>
      <c r="AB46" s="113">
        <f t="shared" si="2"/>
        <v>4.1739973161609789E-3</v>
      </c>
      <c r="AC46" s="11"/>
      <c r="AD46" s="112">
        <f>SUM(AD34:AD45)</f>
        <v>46999.9999999992</v>
      </c>
      <c r="AE46" s="113">
        <f t="shared" si="3"/>
        <v>3.6232579329733765E-3</v>
      </c>
      <c r="AF46" s="114">
        <f t="shared" si="4"/>
        <v>-25239.509999999202</v>
      </c>
      <c r="AG46" s="112">
        <f>SUM(AG34:AG45)</f>
        <v>60933.189999999995</v>
      </c>
      <c r="AH46" s="113">
        <f t="shared" si="5"/>
        <v>7.2660701217808895E-3</v>
      </c>
      <c r="AI46" s="114">
        <f t="shared" si="6"/>
        <v>-39172.699999999997</v>
      </c>
      <c r="AJ46" s="415">
        <f t="shared" si="7"/>
        <v>0.450415838715019</v>
      </c>
      <c r="AK46" s="416">
        <f t="shared" si="8"/>
        <v>0.97284318595792352</v>
      </c>
      <c r="AL46" s="417">
        <f t="shared" si="9"/>
        <v>1.2646988376919883</v>
      </c>
      <c r="AM46" s="418" t="str">
        <f t="shared" si="10"/>
        <v>0.06 pts.</v>
      </c>
      <c r="AN46" s="543" t="str">
        <f t="shared" si="11"/>
        <v>-0.31 pts.</v>
      </c>
      <c r="AO46" s="11"/>
    </row>
    <row r="47" spans="1:41" x14ac:dyDescent="0.35">
      <c r="A47" s="65" t="s">
        <v>35</v>
      </c>
      <c r="B47" s="66"/>
      <c r="C47" s="11"/>
      <c r="D47" s="11"/>
      <c r="E47" s="11"/>
      <c r="F47" s="11"/>
      <c r="G47" s="11"/>
      <c r="H47" s="11"/>
      <c r="I47" s="59"/>
      <c r="J47" s="59"/>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35">
      <c r="A48" s="65" t="s">
        <v>36</v>
      </c>
      <c r="B48" s="66"/>
      <c r="C48" s="11"/>
      <c r="D48" s="11"/>
      <c r="E48" s="11"/>
      <c r="F48" s="11"/>
      <c r="G48" s="11"/>
      <c r="H48" s="88" t="s">
        <v>498</v>
      </c>
      <c r="I48" s="59"/>
      <c r="J48" s="59"/>
      <c r="K48" s="11"/>
      <c r="L48" s="59"/>
      <c r="M48" s="59"/>
      <c r="N48" s="104" t="str">
        <f>N46&amp;" - Check"</f>
        <v>Total Operations Expense - Check</v>
      </c>
      <c r="O48" s="209">
        <f>INDEX(AG!O50:O74,MATCH($H$48,AG!$G50:$G73,0))-O46</f>
        <v>0</v>
      </c>
      <c r="P48" s="209">
        <f>INDEX(AG!P50:P74,MATCH($H$48,AG!$G50:$G73,0))-P46</f>
        <v>0</v>
      </c>
      <c r="Q48" s="209">
        <f>INDEX(AG!Q50:Q74,MATCH($H$48,AG!$G50:$G73,0))-Q46</f>
        <v>0</v>
      </c>
      <c r="R48" s="209">
        <f>INDEX(AG!R50:R74,MATCH($H$48,AG!$G50:$G73,0))-R46</f>
        <v>0</v>
      </c>
      <c r="S48" s="209">
        <f>INDEX(AG!S50:S74,MATCH($H$48,AG!$G50:$G73,0))-S46</f>
        <v>0</v>
      </c>
      <c r="T48" s="209">
        <f>INDEX(AG!T50:T74,MATCH($H$48,AG!$G50:$G73,0))-T46</f>
        <v>0</v>
      </c>
      <c r="U48" s="209">
        <f>INDEX(AG!U50:U74,MATCH($H$48,AG!$G50:$G73,0))-U46</f>
        <v>0</v>
      </c>
      <c r="V48" s="209">
        <f>INDEX(AG!V50:V74,MATCH($H$48,AG!$G50:$G73,0))-V46</f>
        <v>0</v>
      </c>
      <c r="W48" s="209">
        <f>INDEX(AG!W50:W74,MATCH($H$48,AG!$G50:$G73,0))-W46</f>
        <v>0</v>
      </c>
      <c r="X48" s="209">
        <f>INDEX(AG!X50:X74,MATCH($H$48,AG!$G50:$G73,0))-X46</f>
        <v>0</v>
      </c>
      <c r="Y48" s="209">
        <f>INDEX(AG!Y50:Y74,MATCH($H$48,AG!$G50:$G73,0))-Y46</f>
        <v>0</v>
      </c>
      <c r="Z48" s="209">
        <f>INDEX(AG!Z50:Z74,MATCH($H$48,AG!$G50:$G73,0))-Z46</f>
        <v>0</v>
      </c>
      <c r="AA48" s="209">
        <f>IF($I48="B1","",SUM(O48:Z48))</f>
        <v>0</v>
      </c>
      <c r="AB48" s="609"/>
      <c r="AC48" s="137"/>
      <c r="AD48" s="209">
        <f>INDEX(AG!AD50:AD74,MATCH($H$48,AG!$G50:$G73,0))-AD46</f>
        <v>0</v>
      </c>
      <c r="AE48" s="609"/>
      <c r="AF48" s="91"/>
      <c r="AG48" s="209">
        <f>INDEX(AG!AG50:AG74,MATCH($H$48,AG!$G50:$G73,0))-AG46</f>
        <v>0</v>
      </c>
      <c r="AH48" s="609"/>
      <c r="AI48" s="91"/>
      <c r="AJ48" s="11"/>
      <c r="AK48" s="11"/>
      <c r="AL48" s="11"/>
      <c r="AM48" s="11"/>
      <c r="AN48" s="11"/>
      <c r="AO48" s="11"/>
    </row>
    <row r="49" spans="1:41" x14ac:dyDescent="0.35">
      <c r="A49" s="65" t="s">
        <v>37</v>
      </c>
      <c r="B49" s="66"/>
      <c r="C49" s="11"/>
      <c r="D49" s="11"/>
      <c r="E49" s="11"/>
      <c r="F49" s="11"/>
      <c r="G49" s="11"/>
      <c r="H49" s="11"/>
      <c r="I49" s="59"/>
      <c r="J49" s="59"/>
      <c r="K49" s="11"/>
      <c r="L49" s="59"/>
      <c r="M49" s="59"/>
      <c r="N49" s="59"/>
      <c r="O49" s="59"/>
      <c r="P49" s="59"/>
      <c r="Q49" s="59"/>
      <c r="R49" s="59"/>
      <c r="S49" s="59"/>
      <c r="T49" s="59"/>
      <c r="U49" s="59"/>
      <c r="V49" s="59"/>
      <c r="W49" s="59"/>
      <c r="X49" s="59"/>
      <c r="Y49" s="59"/>
      <c r="Z49" s="59"/>
      <c r="AA49" s="59"/>
      <c r="AB49" s="59"/>
      <c r="AC49" s="11"/>
      <c r="AD49" s="59"/>
      <c r="AE49" s="59"/>
      <c r="AF49" s="59"/>
      <c r="AG49" s="59"/>
      <c r="AH49" s="59"/>
      <c r="AI49" s="59"/>
      <c r="AJ49" s="11"/>
      <c r="AK49" s="11"/>
      <c r="AL49" s="11"/>
      <c r="AM49" s="11"/>
      <c r="AN49" s="11"/>
      <c r="AO49" s="11"/>
    </row>
    <row r="50" spans="1:41" x14ac:dyDescent="0.35">
      <c r="A50" s="65" t="s">
        <v>38</v>
      </c>
      <c r="B50" s="66"/>
      <c r="C50" s="11"/>
      <c r="D50" s="11"/>
      <c r="E50" s="11"/>
      <c r="F50" s="11"/>
      <c r="G50" s="11"/>
      <c r="H50" s="11"/>
      <c r="I50" s="59"/>
      <c r="J50" s="59"/>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35">
      <c r="A51" s="65" t="s">
        <v>39</v>
      </c>
      <c r="B51" s="66"/>
      <c r="C51" s="11"/>
      <c r="D51" s="11"/>
      <c r="E51" s="11"/>
      <c r="F51" s="11"/>
      <c r="G51" s="11"/>
      <c r="H51" s="11"/>
      <c r="I51" s="59"/>
      <c r="J51" s="59"/>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35">
      <c r="A52" s="65" t="s">
        <v>40</v>
      </c>
      <c r="B52" s="66"/>
      <c r="C52" s="11"/>
      <c r="D52" s="11"/>
      <c r="E52" s="11"/>
      <c r="F52" s="11"/>
      <c r="G52" s="11"/>
      <c r="H52" s="11"/>
      <c r="I52" s="59"/>
      <c r="J52" s="59"/>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35">
      <c r="A53" s="65" t="s">
        <v>41</v>
      </c>
      <c r="B53" s="66"/>
      <c r="C53" s="11"/>
      <c r="D53" s="11"/>
      <c r="E53" s="11"/>
      <c r="F53" s="11"/>
      <c r="G53" s="11"/>
      <c r="H53" s="11"/>
      <c r="I53" s="59"/>
      <c r="J53" s="59"/>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42</v>
      </c>
      <c r="B54" s="66"/>
      <c r="C54" s="11"/>
      <c r="D54" s="11"/>
      <c r="E54" s="11"/>
      <c r="F54" s="11"/>
      <c r="G54" s="11"/>
      <c r="H54" s="11"/>
      <c r="I54" s="59"/>
      <c r="J54" s="59"/>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35">
      <c r="A55" s="65" t="s">
        <v>43</v>
      </c>
      <c r="B55" s="66"/>
      <c r="C55" s="11"/>
      <c r="D55" s="11"/>
      <c r="E55" s="11"/>
      <c r="F55" s="11"/>
      <c r="G55" s="11"/>
      <c r="H55" s="11"/>
      <c r="I55" s="59"/>
      <c r="J55" s="59"/>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3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59"/>
      <c r="I70" s="59"/>
      <c r="J70" s="11"/>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59"/>
      <c r="I71" s="59"/>
      <c r="J71" s="11"/>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59"/>
      <c r="I72" s="59"/>
      <c r="J72" s="11"/>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59"/>
      <c r="I73" s="59"/>
      <c r="J73" s="11"/>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sheetData>
  <sheetProtection algorithmName="SHA-512" hashValue="m54NgO6pQin1cHgegdkhwDMuMnCjrgBlC+P31RDMZtj35Ga2+0nFCGhxq6I8feK2ncCUfWghC0ZVCrt0OI1JcA==" saltValue="E+gsm+5XLnXn+gqTUkqdPQ==" spinCount="100000" sheet="1" scenarios="1"/>
  <mergeCells count="2">
    <mergeCell ref="AD31:AE31"/>
    <mergeCell ref="AG31:AH31"/>
  </mergeCells>
  <dataValidations disablePrompts="1" count="2">
    <dataValidation type="list" allowBlank="1" sqref="B29" xr:uid="{00000000-0002-0000-2700-000000000000}">
      <formula1>"SELF,ALL,BAS,DEP,BASMEMBERS,MEMBERS,NOEXPAND,GDEP"</formula1>
    </dataValidation>
    <dataValidation type="list" allowBlank="1" sqref="B28" xr:uid="{00000000-0002-0000-27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530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5304" r:id="rId7" name="FPMExcelClientSheetOptionstb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4">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500</v>
      </c>
      <c r="C6" s="11" t="str">
        <f>IF(_epmOfflineCondition_,"Information &amp; Telecom Systems",_xll.EVDES(B6,$B$1))</f>
        <v>Information &amp; Telecom Systems</v>
      </c>
      <c r="D6" s="11"/>
      <c r="E6" s="58" t="str">
        <f>IF(_epmOfflineCondition_,"D1157",_xll.EVPRO($B$1,$B$6,$F$6))</f>
        <v>D1157</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IF(_epmOfflineCondition_,"'IT'!$B$2:$B$10",_xll.EVRNG($B$2:$B$10))</f>
        <v>'IT'!$B$2:$B$10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IF(_epmOfflineCondition_,"'IT'!$O$16:$AN$18",_xll.EVRNG($O$16:$AN$18))</f>
        <v>'IT'!$O$16:$AN$18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IF(_epmOfflineCondition_,"'IT'!$H$35:$H$36",_xll.EVRNG(H35:H36))</f>
        <v>'IT'!$H$35:$H$36</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IF(_epmOfflineCondition_,"'IT'!$A$36:$F$42",_xll.EVRNG(A36:F42))</f>
        <v>'IT'!$A$36:$F$42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IF(_epmOfflineCondition_,"'IT'!$A$105:$B$126",_xll.EVRNG($A$105:$B$126))</f>
        <v>'IT'!$A$105:$B$126</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IF(_epmOfflineCondition_,"Information &amp; Telecom Systems Department",IF(_xll.EVDES(B6,$B$1)="#NODATA","",_xll.EVDES(B6,$B$1)&amp;" Department"))</f>
        <v>Information &amp; Telecom Systems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291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290</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75</v>
      </c>
      <c r="I35" s="89" t="str">
        <f>IF(_epmOfflineCondition_,"B1",_xll.EVPRO($B$1,$H35,"STYLE"))</f>
        <v>B1</v>
      </c>
      <c r="J35" s="89" t="str">
        <f>IF(_epmOfflineCondition_,"Y",_xll.EVPRO($B$1,$H35,"CALC"))</f>
        <v>Y</v>
      </c>
      <c r="K35" s="265" t="str">
        <f>IF(AND(I35&gt;="T3"),"&gt;","")</f>
        <v/>
      </c>
      <c r="L35" s="106" t="str">
        <f>IF(_epmOfflineCondition_,"",_xll.EVPRO($B$1,H35,"JDEID"))</f>
        <v/>
      </c>
      <c r="M35" s="190" t="str">
        <f>IF(_epmOfflineCondition_,"",IF(AND(I35="N",J35="N"),_xll.EVPRO($B$1,H35,"PSFTID"),""))</f>
        <v/>
      </c>
      <c r="N35" s="106" t="str">
        <f>IF(_epmOfflineCondition_,"Non-Management",IF(_xll.EVDES(H35,$B$1)="#NODATA","",_xll.EVDES(H35,$B$1)))</f>
        <v>Non-Management</v>
      </c>
      <c r="O35" s="210"/>
      <c r="P35" s="210"/>
      <c r="Q35" s="210"/>
      <c r="R35" s="210"/>
      <c r="S35" s="210"/>
      <c r="T35" s="210"/>
      <c r="U35" s="210"/>
      <c r="V35" s="210"/>
      <c r="W35" s="210"/>
      <c r="X35" s="210"/>
      <c r="Y35" s="210"/>
      <c r="Z35" s="210"/>
      <c r="AA35" s="210" t="str">
        <f>IF($I35="B1","",SUM(O35:Z35))</f>
        <v/>
      </c>
      <c r="AB35" s="211" t="str">
        <f>IF(AA35=0,"",IFERROR(AA35/AA$19,""))</f>
        <v/>
      </c>
      <c r="AC35" s="140"/>
      <c r="AD35" s="143"/>
      <c r="AE35" s="144" t="str">
        <f>IF(AD35=0,"",IFERROR(AD35/AD$19,""))</f>
        <v/>
      </c>
      <c r="AF35" s="145" t="str">
        <f>IF(AND($AA35="",AD35=""),"",$AA35-AD35)</f>
        <v/>
      </c>
      <c r="AG35" s="143"/>
      <c r="AH35" s="144" t="str">
        <f>IF(AG35=0,"",IFERROR(AG35/AG$19,""))</f>
        <v/>
      </c>
      <c r="AI35" s="145" t="str">
        <f>IF(AND($AA35="",AG35=""),"",$AA35-AG35)</f>
        <v/>
      </c>
      <c r="AJ35" s="440">
        <f>IFERROR(AA35/AA$20,0)</f>
        <v>0</v>
      </c>
      <c r="AK35" s="441">
        <f>IFERROR(AD35/AD$20,0)</f>
        <v>0</v>
      </c>
      <c r="AL35" s="442">
        <f>IFERROR(AG35/AG$20,0)</f>
        <v>0</v>
      </c>
      <c r="AM35" s="443">
        <f>+IFERROR(ROUND(($AB35-AE35)*100,2)&amp;" pts.",0)</f>
        <v>0</v>
      </c>
      <c r="AN35" s="444">
        <f>+IFERROR(ROUND(($AB35-AH35)*100,2)&amp;" pts.",0)</f>
        <v>0</v>
      </c>
      <c r="AO35" s="11"/>
    </row>
    <row r="36" spans="1:41" hidden="1" x14ac:dyDescent="0.35">
      <c r="A36" s="11"/>
      <c r="B36" s="11"/>
      <c r="C36" s="11"/>
      <c r="D36" s="11"/>
      <c r="E36" s="11"/>
      <c r="F36" s="11"/>
      <c r="G36" s="11"/>
      <c r="H36" s="88"/>
      <c r="I36" s="89" t="str">
        <f>IF(_epmOfflineCondition_,"",_xll.EVPRO($B$1,$H36,"STYLE"))</f>
        <v/>
      </c>
      <c r="J36" s="89" t="str">
        <f>IF(_epmOfflineCondition_,"",_xll.EVPRO($B$1,$H36,"CALC"))</f>
        <v/>
      </c>
      <c r="K36" s="265" t="str">
        <f>IF(AND(I36&gt;="T3"),"&gt;","")</f>
        <v/>
      </c>
      <c r="L36" s="106" t="str">
        <f>IF(_epmOfflineCondition_,"",_xll.EVPRO($B$1,H36,"JDEID"))</f>
        <v/>
      </c>
      <c r="M36" s="190" t="str">
        <f>IF(_epmOfflineCondition_,"",IF(AND(I36="N",J36="N"),_xll.EVPRO($B$1,H36,"PSFTID"),""))</f>
        <v/>
      </c>
      <c r="N36" s="106" t="str">
        <f>IF(_epmOfflineCondition_,"",IF(_xll.EVDES(H36,$B$1)="#NODATA","",_xll.EVDES(H36,$B$1)))</f>
        <v/>
      </c>
      <c r="O36" s="210"/>
      <c r="P36" s="210"/>
      <c r="Q36" s="210"/>
      <c r="R36" s="210"/>
      <c r="S36" s="210"/>
      <c r="T36" s="210"/>
      <c r="U36" s="210"/>
      <c r="V36" s="210"/>
      <c r="W36" s="210"/>
      <c r="X36" s="210"/>
      <c r="Y36" s="210"/>
      <c r="Z36" s="210"/>
      <c r="AA36" s="210">
        <f>IF($I36="B1","",SUM(O36:Z36))</f>
        <v>0</v>
      </c>
      <c r="AB36" s="211" t="str">
        <f>IF(AA36=0,"",IFERROR(AA36/AA$19,""))</f>
        <v/>
      </c>
      <c r="AC36" s="140"/>
      <c r="AD36" s="143"/>
      <c r="AE36" s="144" t="str">
        <f>IF(AD36=0,"",IFERROR(AD36/AD$19,""))</f>
        <v/>
      </c>
      <c r="AF36" s="145">
        <f>IF(AND($AA36="",AD36=""),"",$AA36-AD36)</f>
        <v>0</v>
      </c>
      <c r="AG36" s="143"/>
      <c r="AH36" s="144" t="str">
        <f>IF(AG36=0,"",IFERROR(AG36/AG$19,""))</f>
        <v/>
      </c>
      <c r="AI36" s="145">
        <f>IF(AND($AA36="",AG36=""),"",$AA36-AG36)</f>
        <v>0</v>
      </c>
      <c r="AJ36" s="440">
        <f>IFERROR(AA36/AA$20,0)</f>
        <v>0</v>
      </c>
      <c r="AK36" s="441">
        <f>IFERROR(AD36/AD$20,0)</f>
        <v>0</v>
      </c>
      <c r="AL36" s="442">
        <f>IFERROR(AG36/AG$20,0)</f>
        <v>0</v>
      </c>
      <c r="AM36" s="443">
        <f>+IFERROR(ROUND(($AB36-AE36)*100,2)&amp;" pts.",0)</f>
        <v>0</v>
      </c>
      <c r="AN36" s="444">
        <f>+IFERROR(ROUND(($AB36-AH36)*100,2)&amp;" pts.",0)</f>
        <v>0</v>
      </c>
      <c r="AO36" s="11"/>
    </row>
    <row r="37" spans="1:41" x14ac:dyDescent="0.35">
      <c r="A37" s="11" t="s">
        <v>108</v>
      </c>
      <c r="B37" s="11"/>
      <c r="C37" s="104" t="s">
        <v>101</v>
      </c>
      <c r="D37" s="11" t="s">
        <v>106</v>
      </c>
      <c r="E37" s="11"/>
      <c r="F37" s="11" t="s">
        <v>98</v>
      </c>
      <c r="G37" s="11"/>
      <c r="H37" s="106"/>
      <c r="I37" s="106"/>
      <c r="J37" s="106"/>
      <c r="K37" s="106"/>
      <c r="L37" s="106"/>
      <c r="M37" s="106"/>
      <c r="N37" s="106"/>
      <c r="O37" s="203"/>
      <c r="P37" s="204"/>
      <c r="Q37" s="204"/>
      <c r="R37" s="204"/>
      <c r="S37" s="204"/>
      <c r="T37" s="204"/>
      <c r="U37" s="204"/>
      <c r="V37" s="204"/>
      <c r="W37" s="204"/>
      <c r="X37" s="204"/>
      <c r="Y37" s="204"/>
      <c r="Z37" s="204"/>
      <c r="AA37" s="204"/>
      <c r="AB37" s="118"/>
      <c r="AC37" s="11"/>
      <c r="AD37" s="203"/>
      <c r="AE37" s="204"/>
      <c r="AF37" s="118"/>
      <c r="AG37" s="203"/>
      <c r="AH37" s="204"/>
      <c r="AI37" s="118"/>
      <c r="AJ37" s="11"/>
      <c r="AK37" s="11"/>
      <c r="AL37" s="11"/>
      <c r="AM37" s="11"/>
      <c r="AN37" s="11"/>
      <c r="AO37" s="11"/>
    </row>
    <row r="38" spans="1:41" x14ac:dyDescent="0.35">
      <c r="A38" s="11" t="s">
        <v>100</v>
      </c>
      <c r="B38" s="11"/>
      <c r="C38" s="53" t="s">
        <v>101</v>
      </c>
      <c r="D38" s="11" t="s">
        <v>106</v>
      </c>
      <c r="E38" s="11"/>
      <c r="F38" s="11" t="s">
        <v>98</v>
      </c>
      <c r="G38" s="11"/>
      <c r="H38" s="11" t="s">
        <v>504</v>
      </c>
      <c r="I38" s="59" t="str">
        <f>IF(_epmOfflineCondition_,"B1",_xll.EVPRO($B$1,$H38,"STYLE"))</f>
        <v>B1</v>
      </c>
      <c r="J38" s="59" t="str">
        <f>IF(_epmOfflineCondition_,"Y",_xll.EVPRO($B$1,$H38,"CALC"))</f>
        <v>Y</v>
      </c>
      <c r="K38" s="106"/>
      <c r="L38" s="106"/>
      <c r="M38" s="106"/>
      <c r="N38" s="105" t="str">
        <f>IF(_epmOfflineCondition_,"Cost of Services",IF(_xll.EVDES(H38,$B$1)="#NODATA","",_xll.EVDES(H38,$B$1)))</f>
        <v>Cost of Services</v>
      </c>
      <c r="O38" s="119"/>
      <c r="P38" s="120"/>
      <c r="Q38" s="120"/>
      <c r="R38" s="120"/>
      <c r="S38" s="120"/>
      <c r="T38" s="120"/>
      <c r="U38" s="120"/>
      <c r="V38" s="120"/>
      <c r="W38" s="120"/>
      <c r="X38" s="120"/>
      <c r="Y38" s="120"/>
      <c r="Z38" s="120"/>
      <c r="AA38" s="120"/>
      <c r="AB38" s="121"/>
      <c r="AC38" s="11"/>
      <c r="AD38" s="119"/>
      <c r="AE38" s="120"/>
      <c r="AF38" s="121"/>
      <c r="AG38" s="119"/>
      <c r="AH38" s="120"/>
      <c r="AI38" s="121"/>
      <c r="AJ38" s="11"/>
      <c r="AK38" s="11"/>
      <c r="AL38" s="11"/>
      <c r="AM38" s="11"/>
      <c r="AN38" s="11"/>
      <c r="AO38" s="11"/>
    </row>
    <row r="39" spans="1:41" x14ac:dyDescent="0.35">
      <c r="A39" s="11" t="s">
        <v>109</v>
      </c>
      <c r="B39" s="11"/>
      <c r="C39" s="106" t="s">
        <v>101</v>
      </c>
      <c r="D39" s="11" t="s">
        <v>106</v>
      </c>
      <c r="E39" s="11"/>
      <c r="F39" s="11" t="s">
        <v>98</v>
      </c>
      <c r="G39" s="11"/>
      <c r="H39" s="88" t="s">
        <v>506</v>
      </c>
      <c r="I39" s="122" t="str">
        <f>IF(_epmOfflineCondition_,"N",_xll.EVPRO($B$1,$H39,"STYLE"))</f>
        <v>N</v>
      </c>
      <c r="J39" s="122" t="str">
        <f>IF(_epmOfflineCondition_,"N",_xll.EVPRO($B$1,$H39,"CALC"))</f>
        <v>N</v>
      </c>
      <c r="K39" s="179" t="str">
        <f>IF(AND(I39&gt;="T3"),"&gt;","")</f>
        <v/>
      </c>
      <c r="L39" s="90" t="str">
        <f>IF(_epmOfflineCondition_,"707901",_xll.EVPRO($B$1,H39,"JDEID"))</f>
        <v>707901</v>
      </c>
      <c r="M39" s="90" t="str">
        <f>IF(_epmOfflineCondition_,"690047",IF(AND(I39="N",J39="N"),_xll.EVPRO($B$1,H39,"PSFTID"),""))</f>
        <v>690047</v>
      </c>
      <c r="N39" s="90" t="str">
        <f>IF(_epmOfflineCondition_,"Cost of Cell Phones",IF(_xll.EVDES(H39,$B$1)="#NODATA","",_xll.EVDES(H39,$B$1)))</f>
        <v>Cost of Cell Phones</v>
      </c>
      <c r="O39" s="210">
        <v>810.94</v>
      </c>
      <c r="P39" s="210">
        <v>697.39</v>
      </c>
      <c r="Q39" s="210">
        <v>1026.46</v>
      </c>
      <c r="R39" s="210">
        <v>594.46</v>
      </c>
      <c r="S39" s="210">
        <v>441.98</v>
      </c>
      <c r="T39" s="210">
        <v>596.32000000000005</v>
      </c>
      <c r="U39" s="210">
        <v>572.95000000000005</v>
      </c>
      <c r="V39" s="210">
        <v>344.1</v>
      </c>
      <c r="W39" s="210">
        <v>542.62</v>
      </c>
      <c r="X39" s="210">
        <v>254.16</v>
      </c>
      <c r="Y39" s="210">
        <v>381.19</v>
      </c>
      <c r="Z39" s="210">
        <v>643.30999999999995</v>
      </c>
      <c r="AA39" s="210">
        <f t="shared" ref="AA39:AA44" si="0">IF($I39="B1","",SUM(O39:Z39))</f>
        <v>6905.8799999999992</v>
      </c>
      <c r="AB39" s="211">
        <f t="shared" ref="AB39:AB44" si="1">IF(AA39=0,"",IFERROR(AA39/AA$19,""))</f>
        <v>1.3246542052007921E-3</v>
      </c>
      <c r="AC39" s="140"/>
      <c r="AD39" s="210">
        <v>13704</v>
      </c>
      <c r="AE39" s="211">
        <f t="shared" ref="AE39:AE44" si="2">IF(AD39=0,"",IFERROR(AD39/AD$19,""))</f>
        <v>1.0564495045418724E-3</v>
      </c>
      <c r="AF39" s="253">
        <f t="shared" ref="AF39:AF44" si="3">IF(AND($AA39="",AD39=""),"",$AA39-AD39)</f>
        <v>-6798.1200000000008</v>
      </c>
      <c r="AG39" s="210">
        <v>12682.32</v>
      </c>
      <c r="AH39" s="211">
        <f t="shared" ref="AH39:AH44" si="4">IF(AG39=0,"",IFERROR(AG39/AG$19,""))</f>
        <v>1.5123223718775305E-3</v>
      </c>
      <c r="AI39" s="253">
        <f t="shared" ref="AI39:AI44" si="5">IF(AND($AA39="",AG39=""),"",$AA39-AG39)</f>
        <v>-5776.4400000000005</v>
      </c>
      <c r="AJ39" s="440">
        <f t="shared" ref="AJ39:AJ44" si="6">IFERROR(AA39/AA$20,0)</f>
        <v>0.14294336810730252</v>
      </c>
      <c r="AK39" s="441">
        <f t="shared" ref="AK39:AK44" si="7">IFERROR(AD39/AD$20,0)</f>
        <v>0.2836562344759066</v>
      </c>
      <c r="AL39" s="442">
        <f t="shared" ref="AL39:AL44" si="8">IFERROR(AG39/AG$20,0)</f>
        <v>0.26322789539227892</v>
      </c>
      <c r="AM39" s="443" t="str">
        <f t="shared" ref="AM39:AM44" si="9">+IFERROR(ROUND(($AB39-AE39)*100,2)&amp;" pts.",0)</f>
        <v>0.03 pts.</v>
      </c>
      <c r="AN39" s="444" t="str">
        <f t="shared" ref="AN39:AN44" si="10">+IFERROR(ROUND(($AB39-AH39)*100,2)&amp;" pts.",0)</f>
        <v>-0.02 pts.</v>
      </c>
      <c r="AO39" s="11"/>
    </row>
    <row r="40" spans="1:41" x14ac:dyDescent="0.35">
      <c r="A40" s="11" t="s">
        <v>109</v>
      </c>
      <c r="B40" s="11"/>
      <c r="C40" s="196" t="s">
        <v>101</v>
      </c>
      <c r="D40" s="11" t="s">
        <v>107</v>
      </c>
      <c r="E40" s="11"/>
      <c r="F40" s="11" t="s">
        <v>99</v>
      </c>
      <c r="G40" s="11"/>
      <c r="H40" s="88" t="s">
        <v>507</v>
      </c>
      <c r="I40" s="122" t="str">
        <f>IF(_epmOfflineCondition_,"N",_xll.EVPRO($B$1,$H40,"STYLE"))</f>
        <v>N</v>
      </c>
      <c r="J40" s="122" t="str">
        <f>IF(_epmOfflineCondition_,"N",_xll.EVPRO($B$1,$H40,"CALC"))</f>
        <v>N</v>
      </c>
      <c r="K40" s="179" t="str">
        <f>IF(AND(I40&gt;="T3"),"&gt;","")</f>
        <v/>
      </c>
      <c r="L40" s="90" t="str">
        <f>IF(_epmOfflineCondition_,"707902",_xll.EVPRO($B$1,H40,"JDEID"))</f>
        <v>707902</v>
      </c>
      <c r="M40" s="90" t="str">
        <f>IF(_epmOfflineCondition_,"690612",IF(AND(I40="N",J40="N"),_xll.EVPRO($B$1,H40,"PSFTID"),""))</f>
        <v>690612</v>
      </c>
      <c r="N40" s="90" t="str">
        <f>IF(_epmOfflineCondition_,"Cost of Internet Services",IF(_xll.EVDES(H40,$B$1)="#NODATA","",_xll.EVDES(H40,$B$1)))</f>
        <v>Cost of Internet Services</v>
      </c>
      <c r="O40" s="210">
        <v>2599.88</v>
      </c>
      <c r="P40" s="210">
        <v>1662.83</v>
      </c>
      <c r="Q40" s="210">
        <v>2502.73</v>
      </c>
      <c r="R40" s="210">
        <v>2441.37</v>
      </c>
      <c r="S40" s="210">
        <v>2487.92</v>
      </c>
      <c r="T40" s="210">
        <v>2488.09</v>
      </c>
      <c r="U40" s="210"/>
      <c r="V40" s="210">
        <v>2930.81</v>
      </c>
      <c r="W40" s="210">
        <v>4407.1400000000003</v>
      </c>
      <c r="X40" s="210">
        <v>2429.4</v>
      </c>
      <c r="Y40" s="210">
        <v>2440.77</v>
      </c>
      <c r="Z40" s="210">
        <v>2452.61</v>
      </c>
      <c r="AA40" s="210">
        <f t="shared" si="0"/>
        <v>28843.550000000003</v>
      </c>
      <c r="AB40" s="211">
        <f t="shared" si="1"/>
        <v>5.5326373757463663E-3</v>
      </c>
      <c r="AC40" s="140"/>
      <c r="AD40" s="210">
        <v>31301.34</v>
      </c>
      <c r="AE40" s="211">
        <f t="shared" si="2"/>
        <v>2.4130389035680595E-3</v>
      </c>
      <c r="AF40" s="253">
        <f t="shared" si="3"/>
        <v>-2457.7899999999972</v>
      </c>
      <c r="AG40" s="210">
        <v>30422.19</v>
      </c>
      <c r="AH40" s="211">
        <f t="shared" si="4"/>
        <v>3.6277399197078204E-3</v>
      </c>
      <c r="AI40" s="253">
        <f t="shared" si="5"/>
        <v>-1578.6399999999958</v>
      </c>
      <c r="AJ40" s="440">
        <f t="shared" si="6"/>
        <v>0.59702661864547113</v>
      </c>
      <c r="AK40" s="441">
        <f t="shared" si="7"/>
        <v>0.64789990064580227</v>
      </c>
      <c r="AL40" s="442">
        <f t="shared" si="8"/>
        <v>0.6314277708592777</v>
      </c>
      <c r="AM40" s="443" t="str">
        <f t="shared" si="9"/>
        <v>0.31 pts.</v>
      </c>
      <c r="AN40" s="444" t="str">
        <f t="shared" si="10"/>
        <v>0.19 pts.</v>
      </c>
      <c r="AO40" s="11"/>
    </row>
    <row r="41" spans="1:41" x14ac:dyDescent="0.35">
      <c r="A41" s="11" t="s">
        <v>110</v>
      </c>
      <c r="B41" s="11"/>
      <c r="C41" s="106" t="s">
        <v>101</v>
      </c>
      <c r="D41" s="11" t="s">
        <v>106</v>
      </c>
      <c r="E41" s="11"/>
      <c r="F41" s="11" t="s">
        <v>98</v>
      </c>
      <c r="G41" s="11"/>
      <c r="H41" s="88" t="s">
        <v>508</v>
      </c>
      <c r="I41" s="122" t="str">
        <f>IF(_epmOfflineCondition_,"N",_xll.EVPRO($B$1,$H41,"STYLE"))</f>
        <v>N</v>
      </c>
      <c r="J41" s="122" t="str">
        <f>IF(_epmOfflineCondition_,"N",_xll.EVPRO($B$1,$H41,"CALC"))</f>
        <v>N</v>
      </c>
      <c r="K41" s="179" t="str">
        <f>IF(AND(I41&gt;="T3"),"&gt;","")</f>
        <v/>
      </c>
      <c r="L41" s="90" t="str">
        <f>IF(_epmOfflineCondition_,"707903",_xll.EVPRO($B$1,H41,"JDEID"))</f>
        <v>707903</v>
      </c>
      <c r="M41" s="90" t="str">
        <f>IF(_epmOfflineCondition_,"690045",IF(AND(I41="N",J41="N"),_xll.EVPRO($B$1,H41,"PSFTID"),""))</f>
        <v>690045</v>
      </c>
      <c r="N41" s="90" t="str">
        <f>IF(_epmOfflineCondition_,"Cost of Local Calls",IF(_xll.EVDES(H41,$B$1)="#NODATA","",_xll.EVDES(H41,$B$1)))</f>
        <v>Cost of Local Calls</v>
      </c>
      <c r="O41" s="210"/>
      <c r="P41" s="210"/>
      <c r="Q41" s="210"/>
      <c r="R41" s="210"/>
      <c r="S41" s="210"/>
      <c r="T41" s="210"/>
      <c r="U41" s="210"/>
      <c r="V41" s="210"/>
      <c r="W41" s="210"/>
      <c r="X41" s="210"/>
      <c r="Y41" s="210"/>
      <c r="Z41" s="210"/>
      <c r="AA41" s="210">
        <f t="shared" si="0"/>
        <v>0</v>
      </c>
      <c r="AB41" s="211" t="str">
        <f t="shared" si="1"/>
        <v/>
      </c>
      <c r="AC41" s="140"/>
      <c r="AD41" s="210"/>
      <c r="AE41" s="211" t="str">
        <f t="shared" si="2"/>
        <v/>
      </c>
      <c r="AF41" s="253">
        <f t="shared" si="3"/>
        <v>0</v>
      </c>
      <c r="AG41" s="210"/>
      <c r="AH41" s="211" t="str">
        <f t="shared" si="4"/>
        <v/>
      </c>
      <c r="AI41" s="253">
        <f t="shared" si="5"/>
        <v>0</v>
      </c>
      <c r="AJ41" s="440">
        <f t="shared" si="6"/>
        <v>0</v>
      </c>
      <c r="AK41" s="441">
        <f t="shared" si="7"/>
        <v>0</v>
      </c>
      <c r="AL41" s="442">
        <f t="shared" si="8"/>
        <v>0</v>
      </c>
      <c r="AM41" s="443">
        <f t="shared" si="9"/>
        <v>0</v>
      </c>
      <c r="AN41" s="444">
        <f t="shared" si="10"/>
        <v>0</v>
      </c>
      <c r="AO41" s="11"/>
    </row>
    <row r="42" spans="1:41" x14ac:dyDescent="0.35">
      <c r="A42" s="11" t="s">
        <v>110</v>
      </c>
      <c r="B42" s="11"/>
      <c r="C42" s="109" t="s">
        <v>101</v>
      </c>
      <c r="D42" s="11" t="s">
        <v>107</v>
      </c>
      <c r="E42" s="11"/>
      <c r="F42" s="11" t="s">
        <v>99</v>
      </c>
      <c r="G42" s="11"/>
      <c r="H42" s="88" t="s">
        <v>509</v>
      </c>
      <c r="I42" s="122" t="str">
        <f>IF(_epmOfflineCondition_,"N",_xll.EVPRO($B$1,$H42,"STYLE"))</f>
        <v>N</v>
      </c>
      <c r="J42" s="122" t="str">
        <f>IF(_epmOfflineCondition_,"N",_xll.EVPRO($B$1,$H42,"CALC"))</f>
        <v>N</v>
      </c>
      <c r="K42" s="179" t="str">
        <f>IF(AND(I42&gt;="T3"),"&gt;","")</f>
        <v/>
      </c>
      <c r="L42" s="90" t="str">
        <f>IF(_epmOfflineCondition_,"707904",_xll.EVPRO($B$1,H42,"JDEID"))</f>
        <v>707904</v>
      </c>
      <c r="M42" s="90" t="str">
        <f>IF(_epmOfflineCondition_,"690046",IF(AND(I42="N",J42="N"),_xll.EVPRO($B$1,H42,"PSFTID"),""))</f>
        <v>690046</v>
      </c>
      <c r="N42" s="90" t="str">
        <f>IF(_epmOfflineCondition_,"Cost of Long Distance Calls",IF(_xll.EVDES(H42,$B$1)="#NODATA","",_xll.EVDES(H42,$B$1)))</f>
        <v>Cost of Long Distance Calls</v>
      </c>
      <c r="O42" s="210"/>
      <c r="P42" s="210"/>
      <c r="Q42" s="210"/>
      <c r="R42" s="210"/>
      <c r="S42" s="210"/>
      <c r="T42" s="210"/>
      <c r="U42" s="210"/>
      <c r="V42" s="210"/>
      <c r="W42" s="210"/>
      <c r="X42" s="210"/>
      <c r="Y42" s="210"/>
      <c r="Z42" s="210"/>
      <c r="AA42" s="210">
        <f t="shared" si="0"/>
        <v>0</v>
      </c>
      <c r="AB42" s="211" t="str">
        <f t="shared" si="1"/>
        <v/>
      </c>
      <c r="AC42" s="140"/>
      <c r="AD42" s="210"/>
      <c r="AE42" s="211" t="str">
        <f t="shared" si="2"/>
        <v/>
      </c>
      <c r="AF42" s="253">
        <f t="shared" si="3"/>
        <v>0</v>
      </c>
      <c r="AG42" s="210"/>
      <c r="AH42" s="211" t="str">
        <f t="shared" si="4"/>
        <v/>
      </c>
      <c r="AI42" s="253">
        <f t="shared" si="5"/>
        <v>0</v>
      </c>
      <c r="AJ42" s="440">
        <f t="shared" si="6"/>
        <v>0</v>
      </c>
      <c r="AK42" s="441">
        <f t="shared" si="7"/>
        <v>0</v>
      </c>
      <c r="AL42" s="442">
        <f t="shared" si="8"/>
        <v>0</v>
      </c>
      <c r="AM42" s="443">
        <f t="shared" si="9"/>
        <v>0</v>
      </c>
      <c r="AN42" s="444">
        <f t="shared" si="10"/>
        <v>0</v>
      </c>
      <c r="AO42" s="11"/>
    </row>
    <row r="43" spans="1:41" x14ac:dyDescent="0.35">
      <c r="A43" s="11"/>
      <c r="B43" s="11"/>
      <c r="C43" s="208"/>
      <c r="D43" s="11"/>
      <c r="E43" s="11"/>
      <c r="F43" s="11"/>
      <c r="G43" s="11"/>
      <c r="H43" s="88" t="s">
        <v>510</v>
      </c>
      <c r="I43" s="122" t="str">
        <f>IF(_epmOfflineCondition_,"N",_xll.EVPRO($B$1,$H43,"STYLE"))</f>
        <v>N</v>
      </c>
      <c r="J43" s="122" t="str">
        <f>IF(_epmOfflineCondition_,"N",_xll.EVPRO($B$1,$H43,"CALC"))</f>
        <v>N</v>
      </c>
      <c r="K43" s="179" t="str">
        <f>IF(AND(I43&gt;="T3"),"&gt;","")</f>
        <v/>
      </c>
      <c r="L43" s="90" t="str">
        <f>IF(_epmOfflineCondition_,"707905",_xll.EVPRO($B$1,H43,"JDEID"))</f>
        <v>707905</v>
      </c>
      <c r="M43" s="90" t="str">
        <f>IF(_epmOfflineCondition_,"690039",IF(AND(I43="N",J43="N"),_xll.EVPRO($B$1,H43,"PSFTID"),""))</f>
        <v>690039</v>
      </c>
      <c r="N43" s="90" t="str">
        <f>IF(_epmOfflineCondition_,"Other Cost of Services",IF(_xll.EVDES(H43,$B$1)="#NODATA","",_xll.EVDES(H43,$B$1)))</f>
        <v>Other Cost of Services</v>
      </c>
      <c r="O43" s="210">
        <v>689.15</v>
      </c>
      <c r="P43" s="210">
        <v>-32.119999999999997</v>
      </c>
      <c r="Q43" s="210">
        <v>516.75</v>
      </c>
      <c r="R43" s="210">
        <v>711.29</v>
      </c>
      <c r="S43" s="210">
        <v>383.36</v>
      </c>
      <c r="T43" s="210">
        <v>285.10000000000002</v>
      </c>
      <c r="U43" s="210">
        <v>56.38</v>
      </c>
      <c r="V43" s="210"/>
      <c r="W43" s="210">
        <v>804</v>
      </c>
      <c r="X43" s="210">
        <v>612.64</v>
      </c>
      <c r="Y43" s="210">
        <v>149.09</v>
      </c>
      <c r="Z43" s="210">
        <v>2.75999999999999</v>
      </c>
      <c r="AA43" s="210">
        <f t="shared" si="0"/>
        <v>4178.3999999999996</v>
      </c>
      <c r="AB43" s="211">
        <f t="shared" si="1"/>
        <v>8.0148151010602409E-4</v>
      </c>
      <c r="AC43" s="140"/>
      <c r="AD43" s="210">
        <v>9000</v>
      </c>
      <c r="AE43" s="211">
        <f t="shared" si="2"/>
        <v>6.9381534886725417E-4</v>
      </c>
      <c r="AF43" s="253">
        <f t="shared" si="3"/>
        <v>-4821.6000000000004</v>
      </c>
      <c r="AG43" s="210">
        <v>8470.34</v>
      </c>
      <c r="AH43" s="211">
        <f t="shared" si="4"/>
        <v>1.0100584655969192E-3</v>
      </c>
      <c r="AI43" s="253">
        <f t="shared" si="5"/>
        <v>-4291.9400000000005</v>
      </c>
      <c r="AJ43" s="440">
        <f t="shared" si="6"/>
        <v>8.6487829110779929E-2</v>
      </c>
      <c r="AK43" s="441">
        <f t="shared" si="7"/>
        <v>0.18628912071535023</v>
      </c>
      <c r="AL43" s="442">
        <f t="shared" si="8"/>
        <v>0.17580614362806143</v>
      </c>
      <c r="AM43" s="443" t="str">
        <f t="shared" si="9"/>
        <v>0.01 pts.</v>
      </c>
      <c r="AN43" s="444" t="str">
        <f t="shared" si="10"/>
        <v>-0.02 pts.</v>
      </c>
      <c r="AO43" s="11"/>
    </row>
    <row r="44" spans="1:41" x14ac:dyDescent="0.35">
      <c r="A44" s="11"/>
      <c r="B44" s="11"/>
      <c r="C44" s="208"/>
      <c r="D44" s="11"/>
      <c r="E44" s="11"/>
      <c r="F44" s="11"/>
      <c r="G44" s="11"/>
      <c r="H44" s="88" t="s">
        <v>511</v>
      </c>
      <c r="I44" s="122" t="str">
        <f>IF(_epmOfflineCondition_,"T4",_xll.EVPRO($B$1,$H44,"STYLE"))</f>
        <v>T4</v>
      </c>
      <c r="J44" s="122" t="str">
        <f>IF(_epmOfflineCondition_,"Y",_xll.EVPRO($B$1,$H44,"CALC"))</f>
        <v>Y</v>
      </c>
      <c r="K44" s="179"/>
      <c r="L44" s="90" t="str">
        <f>IF(_epmOfflineCondition_,"707900",_xll.EVPRO($B$1,H44,"JDEID"))</f>
        <v>707900</v>
      </c>
      <c r="M44" s="90" t="str">
        <f>IF(_epmOfflineCondition_,"",IF(AND(I44="N",J44="N"),_xll.EVPRO($B$1,H44,"PSFTID"),""))</f>
        <v/>
      </c>
      <c r="N44" s="106" t="str">
        <f>IF(_epmOfflineCondition_,"Total Cost of Services",IF(_xll.EVDES(H44,$B$1)="#NODATA","",_xll.EVDES(H44,$B$1)))</f>
        <v>Total Cost of Services</v>
      </c>
      <c r="O44" s="112">
        <f t="shared" ref="O44:Z44" si="11">SUM(O39:O43)</f>
        <v>4099.97</v>
      </c>
      <c r="P44" s="112">
        <f t="shared" si="11"/>
        <v>2328.1</v>
      </c>
      <c r="Q44" s="112">
        <f t="shared" si="11"/>
        <v>4045.94</v>
      </c>
      <c r="R44" s="112">
        <f t="shared" si="11"/>
        <v>3747.12</v>
      </c>
      <c r="S44" s="112">
        <f t="shared" si="11"/>
        <v>3313.26</v>
      </c>
      <c r="T44" s="112">
        <f t="shared" si="11"/>
        <v>3369.51</v>
      </c>
      <c r="U44" s="112">
        <f t="shared" si="11"/>
        <v>629.33000000000004</v>
      </c>
      <c r="V44" s="112">
        <f t="shared" si="11"/>
        <v>3274.91</v>
      </c>
      <c r="W44" s="112">
        <f t="shared" si="11"/>
        <v>5753.76</v>
      </c>
      <c r="X44" s="112">
        <f t="shared" si="11"/>
        <v>3296.2</v>
      </c>
      <c r="Y44" s="112">
        <f t="shared" si="11"/>
        <v>2971.05</v>
      </c>
      <c r="Z44" s="112">
        <f t="shared" si="11"/>
        <v>3098.68</v>
      </c>
      <c r="AA44" s="112">
        <f t="shared" si="0"/>
        <v>39927.83</v>
      </c>
      <c r="AB44" s="113">
        <f t="shared" si="1"/>
        <v>7.6587730910531822E-3</v>
      </c>
      <c r="AC44" s="11"/>
      <c r="AD44" s="112">
        <f>SUM(AD39:AD43)</f>
        <v>54005.34</v>
      </c>
      <c r="AE44" s="113">
        <f t="shared" si="2"/>
        <v>4.1633037569771859E-3</v>
      </c>
      <c r="AF44" s="114">
        <f t="shared" si="3"/>
        <v>-14077.509999999995</v>
      </c>
      <c r="AG44" s="112">
        <f>SUM(AG39:AG43)</f>
        <v>51574.849999999991</v>
      </c>
      <c r="AH44" s="113">
        <f t="shared" si="4"/>
        <v>6.1501207571822694E-3</v>
      </c>
      <c r="AI44" s="114">
        <f t="shared" si="5"/>
        <v>-11647.01999999999</v>
      </c>
      <c r="AJ44" s="415">
        <f t="shared" si="6"/>
        <v>0.8264578158635536</v>
      </c>
      <c r="AK44" s="416">
        <f t="shared" si="7"/>
        <v>1.1178452558370591</v>
      </c>
      <c r="AL44" s="417">
        <f t="shared" si="8"/>
        <v>1.0704618098796179</v>
      </c>
      <c r="AM44" s="418" t="str">
        <f t="shared" si="9"/>
        <v>0.35 pts.</v>
      </c>
      <c r="AN44" s="543" t="str">
        <f t="shared" si="10"/>
        <v>0.15 pts.</v>
      </c>
      <c r="AO44" s="11"/>
    </row>
    <row r="45" spans="1:41" x14ac:dyDescent="0.35">
      <c r="A45" s="61" t="str">
        <f>IF(_epmOfflineCondition_,"Evdre:Ok",_xll.EVDRE($B$1,A48:B55,A58:B64))</f>
        <v>Evdre:Ok</v>
      </c>
      <c r="B45" s="11"/>
      <c r="C45" s="11"/>
      <c r="D45" s="11"/>
      <c r="E45" s="11"/>
      <c r="F45" s="11"/>
      <c r="G45" s="11"/>
      <c r="H45" s="106"/>
      <c r="I45" s="106"/>
      <c r="J45" s="106"/>
      <c r="K45" s="106"/>
      <c r="L45" s="106"/>
      <c r="M45" s="106"/>
      <c r="N45" s="106"/>
      <c r="O45" s="129"/>
      <c r="P45" s="130"/>
      <c r="Q45" s="130"/>
      <c r="R45" s="130"/>
      <c r="S45" s="130"/>
      <c r="T45" s="130"/>
      <c r="U45" s="130"/>
      <c r="V45" s="130"/>
      <c r="W45" s="130"/>
      <c r="X45" s="130"/>
      <c r="Y45" s="130"/>
      <c r="Z45" s="130"/>
      <c r="AA45" s="130"/>
      <c r="AB45" s="131"/>
      <c r="AC45" s="11"/>
      <c r="AD45" s="129"/>
      <c r="AE45" s="130"/>
      <c r="AF45" s="131"/>
      <c r="AG45" s="129"/>
      <c r="AH45" s="130"/>
      <c r="AI45" s="131"/>
      <c r="AJ45" s="11"/>
      <c r="AK45" s="11"/>
      <c r="AL45" s="11"/>
      <c r="AM45" s="11"/>
      <c r="AN45" s="11"/>
      <c r="AO45" s="11"/>
    </row>
    <row r="46" spans="1:41" x14ac:dyDescent="0.35">
      <c r="A46" s="11"/>
      <c r="B46" s="11"/>
      <c r="C46" s="11"/>
      <c r="D46" s="11"/>
      <c r="E46" s="11"/>
      <c r="F46" s="11"/>
      <c r="G46" s="11"/>
      <c r="H46" s="11" t="s">
        <v>501</v>
      </c>
      <c r="I46" s="59" t="str">
        <f>IF(_epmOfflineCondition_,"B1",_xll.EVPRO($B$1,$H46,"STYLE"))</f>
        <v>B1</v>
      </c>
      <c r="J46" s="59" t="str">
        <f>IF(_epmOfflineCondition_,"Y",_xll.EVPRO($B$1,$H46,"CALC"))</f>
        <v>Y</v>
      </c>
      <c r="K46" s="11"/>
      <c r="L46" s="11"/>
      <c r="M46" s="11"/>
      <c r="N46" s="105" t="str">
        <f>IF(_epmOfflineCondition_,"System Expenses",IF(_xll.EVDES(H46,$B$1)="#NODATA","",_xll.EVDES(H46,$B$1)))</f>
        <v>System Expenses</v>
      </c>
      <c r="O46" s="119"/>
      <c r="P46" s="120"/>
      <c r="Q46" s="120"/>
      <c r="R46" s="120"/>
      <c r="S46" s="120"/>
      <c r="T46" s="120"/>
      <c r="U46" s="120"/>
      <c r="V46" s="120"/>
      <c r="W46" s="120"/>
      <c r="X46" s="120"/>
      <c r="Y46" s="120"/>
      <c r="Z46" s="120"/>
      <c r="AA46" s="120"/>
      <c r="AB46" s="121"/>
      <c r="AC46" s="11"/>
      <c r="AD46" s="119"/>
      <c r="AE46" s="120"/>
      <c r="AF46" s="121"/>
      <c r="AG46" s="119"/>
      <c r="AH46" s="120"/>
      <c r="AI46" s="121"/>
      <c r="AJ46" s="11"/>
      <c r="AK46" s="11"/>
      <c r="AL46" s="11"/>
      <c r="AM46" s="11"/>
      <c r="AN46" s="11"/>
      <c r="AO46" s="11"/>
    </row>
    <row r="47" spans="1:41" x14ac:dyDescent="0.35">
      <c r="A47" s="62" t="s">
        <v>0</v>
      </c>
      <c r="B47" s="63" t="s">
        <v>1</v>
      </c>
      <c r="C47" s="11"/>
      <c r="D47" s="11"/>
      <c r="E47" s="11"/>
      <c r="F47" s="11"/>
      <c r="G47" s="11"/>
      <c r="H47" s="88" t="s">
        <v>886</v>
      </c>
      <c r="I47" s="122" t="str">
        <f>IF(_epmOfflineCondition_,"T5",_xll.EVPRO($B$1,$H47,"STYLE"))</f>
        <v>T5</v>
      </c>
      <c r="J47" s="122" t="str">
        <f>IF(_epmOfflineCondition_,"Y",_xll.EVPRO($B$1,$H47,"CALC"))</f>
        <v>Y</v>
      </c>
      <c r="K47" s="179" t="str">
        <f t="shared" ref="K47:K52" si="12">IF(AND(I47&gt;="T3"),"&gt;","")</f>
        <v>&gt;</v>
      </c>
      <c r="L47" s="90" t="str">
        <f>IF(_epmOfflineCondition_,"707010",_xll.EVPRO($B$1,H47,"JDEID"))</f>
        <v>707010</v>
      </c>
      <c r="M47" s="90" t="str">
        <f>IF(_epmOfflineCondition_,"",IF(AND(I47="N",J47="N"),_xll.EVPRO($B$1,H47,"PSFTID"),""))</f>
        <v/>
      </c>
      <c r="N47" s="90" t="str">
        <f>IF(_epmOfflineCondition_,"Administrative and General",IF(_xll.EVDES(H47,$B$1)="#NODATA","",_xll.EVDES(H47,$B$1)))</f>
        <v>Administrative and General</v>
      </c>
      <c r="O47" s="143"/>
      <c r="P47" s="143"/>
      <c r="Q47" s="143"/>
      <c r="R47" s="143"/>
      <c r="S47" s="143"/>
      <c r="T47" s="143"/>
      <c r="U47" s="143"/>
      <c r="V47" s="143"/>
      <c r="W47" s="143">
        <v>71.06</v>
      </c>
      <c r="X47" s="143">
        <v>232.86</v>
      </c>
      <c r="Y47" s="143">
        <v>232.8</v>
      </c>
      <c r="Z47" s="143">
        <v>232.8</v>
      </c>
      <c r="AA47" s="210">
        <f t="shared" ref="AA47:AA53" si="13">IF($I47="B1","",SUM(O47:Z47))</f>
        <v>769.52</v>
      </c>
      <c r="AB47" s="144">
        <f t="shared" ref="AB47:AB53" si="14">IF(AA47=0,"",IFERROR(AA47/AA$19,""))</f>
        <v>1.4760579448037231E-4</v>
      </c>
      <c r="AC47" s="140"/>
      <c r="AD47" s="143">
        <v>2205</v>
      </c>
      <c r="AE47" s="144">
        <f t="shared" ref="AE47:AE53" si="15">IF(AD47=0,"",IFERROR(AD47/AD$19,""))</f>
        <v>1.6998476047247726E-4</v>
      </c>
      <c r="AF47" s="145">
        <f t="shared" ref="AF47:AF53" si="16">IF(AND($AA47="",AD47=""),"",$AA47-AD47)</f>
        <v>-1435.48</v>
      </c>
      <c r="AG47" s="143">
        <v>0</v>
      </c>
      <c r="AH47" s="144" t="str">
        <f t="shared" ref="AH47:AH53" si="17">IF(AG47=0,"",IFERROR(AG47/AG$19,""))</f>
        <v/>
      </c>
      <c r="AI47" s="145">
        <f t="shared" ref="AI47:AI53" si="18">IF(AND($AA47="",AG47=""),"",$AA47-AG47)</f>
        <v>769.52</v>
      </c>
      <c r="AJ47" s="440">
        <f t="shared" ref="AJ47:AJ53" si="19">IFERROR(AA47/AA$20,0)</f>
        <v>1.5928133796986255E-2</v>
      </c>
      <c r="AK47" s="441">
        <f t="shared" ref="AK47:AK53" si="20">IFERROR(AD47/AD$20,0)</f>
        <v>4.5640834575260802E-2</v>
      </c>
      <c r="AL47" s="442">
        <f t="shared" ref="AL47:AL53" si="21">IFERROR(AG47/AG$20,0)</f>
        <v>0</v>
      </c>
      <c r="AM47" s="443" t="str">
        <f t="shared" ref="AM47:AM53" si="22">+IFERROR(ROUND(($AB47-AE47)*100,2)&amp;" pts.",0)</f>
        <v>0 pts.</v>
      </c>
      <c r="AN47" s="444">
        <f t="shared" ref="AN47:AN53" si="23">+IFERROR(ROUND(($AB47-AH47)*100,2)&amp;" pts.",0)</f>
        <v>0</v>
      </c>
      <c r="AO47" s="11"/>
    </row>
    <row r="48" spans="1:41" x14ac:dyDescent="0.35">
      <c r="A48" s="65" t="s">
        <v>2</v>
      </c>
      <c r="B48" s="66" t="str">
        <f>IF(_epmOfflineCondition_,"'IT'!$B$2:$B$10",_xll.EVRNG($B$2:$B$10))</f>
        <v>'IT'!$B$2:$B$10</v>
      </c>
      <c r="C48" s="11"/>
      <c r="D48" s="11"/>
      <c r="E48" s="11"/>
      <c r="F48" s="11"/>
      <c r="G48" s="11"/>
      <c r="H48" s="88" t="s">
        <v>887</v>
      </c>
      <c r="I48" s="122" t="str">
        <f>IF(_epmOfflineCondition_,"T5",_xll.EVPRO($B$1,$H48,"STYLE"))</f>
        <v>T5</v>
      </c>
      <c r="J48" s="122" t="str">
        <f>IF(_epmOfflineCondition_,"Y",_xll.EVPRO($B$1,$H48,"CALC"))</f>
        <v>Y</v>
      </c>
      <c r="K48" s="179" t="str">
        <f t="shared" si="12"/>
        <v>&gt;</v>
      </c>
      <c r="L48" s="90" t="str">
        <f>IF(_epmOfflineCondition_,"707150",_xll.EVPRO($B$1,H48,"JDEID"))</f>
        <v>707150</v>
      </c>
      <c r="M48" s="90" t="str">
        <f>IF(_epmOfflineCondition_,"",IF(AND(I48="N",J48="N"),_xll.EVPRO($B$1,H48,"PSFTID"),""))</f>
        <v/>
      </c>
      <c r="N48" s="90" t="str">
        <f>IF(_epmOfflineCondition_,"Food and Beverage",IF(_xll.EVDES(H48,$B$1)="#NODATA","",_xll.EVDES(H48,$B$1)))</f>
        <v>Food and Beverage</v>
      </c>
      <c r="O48" s="143">
        <v>2640.51</v>
      </c>
      <c r="P48" s="143">
        <v>2051.35</v>
      </c>
      <c r="Q48" s="143">
        <v>4084.82</v>
      </c>
      <c r="R48" s="143">
        <v>292.64999999999998</v>
      </c>
      <c r="S48" s="143">
        <v>-573.85</v>
      </c>
      <c r="T48" s="143">
        <v>1096.3</v>
      </c>
      <c r="U48" s="143">
        <v>1337.55</v>
      </c>
      <c r="V48" s="143">
        <v>1337.55</v>
      </c>
      <c r="W48" s="143">
        <v>1337.55</v>
      </c>
      <c r="X48" s="143">
        <v>-1.2</v>
      </c>
      <c r="Y48" s="143">
        <v>1337.55</v>
      </c>
      <c r="Z48" s="143">
        <v>1337.55</v>
      </c>
      <c r="AA48" s="210">
        <f t="shared" si="13"/>
        <v>16278.329999999994</v>
      </c>
      <c r="AB48" s="144">
        <f t="shared" si="14"/>
        <v>3.1224345468131801E-3</v>
      </c>
      <c r="AC48" s="140"/>
      <c r="AD48" s="143">
        <v>28515</v>
      </c>
      <c r="AE48" s="144">
        <f t="shared" si="15"/>
        <v>2.1982382969944168E-3</v>
      </c>
      <c r="AF48" s="145">
        <f t="shared" si="16"/>
        <v>-12236.670000000006</v>
      </c>
      <c r="AG48" s="143">
        <v>3141.58</v>
      </c>
      <c r="AH48" s="144">
        <f t="shared" si="17"/>
        <v>3.7462244424072344E-4</v>
      </c>
      <c r="AI48" s="145">
        <f t="shared" si="18"/>
        <v>13136.749999999995</v>
      </c>
      <c r="AJ48" s="440">
        <f t="shared" si="19"/>
        <v>0.33694175360158957</v>
      </c>
      <c r="AK48" s="441">
        <f t="shared" si="20"/>
        <v>0.59022603079980129</v>
      </c>
      <c r="AL48" s="442">
        <f t="shared" si="21"/>
        <v>6.5205064342050645E-2</v>
      </c>
      <c r="AM48" s="443" t="str">
        <f t="shared" si="22"/>
        <v>0.09 pts.</v>
      </c>
      <c r="AN48" s="444" t="str">
        <f t="shared" si="23"/>
        <v>0.27 pts.</v>
      </c>
      <c r="AO48" s="11"/>
    </row>
    <row r="49" spans="1:41" x14ac:dyDescent="0.35">
      <c r="A49" s="65" t="s">
        <v>3</v>
      </c>
      <c r="B49" s="66" t="str">
        <f>IF(_epmOfflineCondition_,"'IT'!$O$16:$AN$18",_xll.EVRNG($O$16:$AN$18))</f>
        <v>'IT'!$O$16:$AN$18</v>
      </c>
      <c r="C49" s="11"/>
      <c r="D49" s="11"/>
      <c r="E49" s="11"/>
      <c r="F49" s="11"/>
      <c r="G49" s="11"/>
      <c r="H49" s="88" t="s">
        <v>888</v>
      </c>
      <c r="I49" s="122" t="str">
        <f>IF(_epmOfflineCondition_,"T5",_xll.EVPRO($B$1,$H49,"STYLE"))</f>
        <v>T5</v>
      </c>
      <c r="J49" s="122" t="str">
        <f>IF(_epmOfflineCondition_,"Y",_xll.EVPRO($B$1,$H49,"CALC"))</f>
        <v>Y</v>
      </c>
      <c r="K49" s="179" t="str">
        <f t="shared" si="12"/>
        <v>&gt;</v>
      </c>
      <c r="L49" s="90" t="str">
        <f>IF(_epmOfflineCondition_,"707310",_xll.EVPRO($B$1,H49,"JDEID"))</f>
        <v>707310</v>
      </c>
      <c r="M49" s="90" t="str">
        <f>IF(_epmOfflineCondition_,"",IF(AND(I49="N",J49="N"),_xll.EVPRO($B$1,H49,"PSFTID"),""))</f>
        <v/>
      </c>
      <c r="N49" s="90" t="str">
        <f>IF(_epmOfflineCondition_,"Human Resources",IF(_xll.EVDES(H49,$B$1)="#NODATA","",_xll.EVDES(H49,$B$1)))</f>
        <v>Human Resources</v>
      </c>
      <c r="O49" s="143">
        <v>1320.17</v>
      </c>
      <c r="P49" s="143">
        <v>2211.2199999999998</v>
      </c>
      <c r="Q49" s="143">
        <v>675.34</v>
      </c>
      <c r="R49" s="143">
        <v>-774.13</v>
      </c>
      <c r="S49" s="143">
        <v>655.72</v>
      </c>
      <c r="T49" s="143">
        <v>1858.49</v>
      </c>
      <c r="U49" s="143">
        <v>530.32000000000005</v>
      </c>
      <c r="V49" s="143">
        <v>896.29</v>
      </c>
      <c r="W49" s="143">
        <v>537.98</v>
      </c>
      <c r="X49" s="143">
        <v>501.9</v>
      </c>
      <c r="Y49" s="143">
        <v>537.30999999999995</v>
      </c>
      <c r="Z49" s="143">
        <v>563.86</v>
      </c>
      <c r="AA49" s="210">
        <f t="shared" si="13"/>
        <v>9514.4699999999993</v>
      </c>
      <c r="AB49" s="144">
        <f t="shared" si="14"/>
        <v>1.8250219661732872E-3</v>
      </c>
      <c r="AC49" s="140"/>
      <c r="AD49" s="143">
        <v>17318</v>
      </c>
      <c r="AE49" s="144">
        <f t="shared" si="15"/>
        <v>1.3350549124092341E-3</v>
      </c>
      <c r="AF49" s="145">
        <f t="shared" si="16"/>
        <v>-7803.5300000000007</v>
      </c>
      <c r="AG49" s="143">
        <v>16150.89</v>
      </c>
      <c r="AH49" s="144">
        <f t="shared" si="17"/>
        <v>1.925937231731504E-3</v>
      </c>
      <c r="AI49" s="145">
        <f t="shared" si="18"/>
        <v>-6636.42</v>
      </c>
      <c r="AJ49" s="440">
        <f t="shared" si="19"/>
        <v>0.19693802781917535</v>
      </c>
      <c r="AK49" s="441">
        <f t="shared" si="20"/>
        <v>0.35846166583871503</v>
      </c>
      <c r="AL49" s="442">
        <f t="shared" si="21"/>
        <v>0.33521980074719798</v>
      </c>
      <c r="AM49" s="443" t="str">
        <f t="shared" si="22"/>
        <v>0.05 pts.</v>
      </c>
      <c r="AN49" s="444" t="str">
        <f t="shared" si="23"/>
        <v>-0.01 pts.</v>
      </c>
      <c r="AO49" s="11"/>
    </row>
    <row r="50" spans="1:41" x14ac:dyDescent="0.35">
      <c r="A50" s="65" t="s">
        <v>4</v>
      </c>
      <c r="B50" s="66" t="str">
        <f>IF(_epmOfflineCondition_,"'IT'!$H$39:$H$43",_xll.EVRNG(H39:H43))</f>
        <v>'IT'!$H$39:$H$43</v>
      </c>
      <c r="C50" s="11"/>
      <c r="D50" s="11"/>
      <c r="E50" s="11"/>
      <c r="F50" s="11"/>
      <c r="G50" s="11"/>
      <c r="H50" s="88" t="s">
        <v>889</v>
      </c>
      <c r="I50" s="122" t="str">
        <f>IF(_epmOfflineCondition_,"T5",_xll.EVPRO($B$1,$H50,"STYLE"))</f>
        <v>T5</v>
      </c>
      <c r="J50" s="122" t="str">
        <f>IF(_epmOfflineCondition_,"Y",_xll.EVPRO($B$1,$H50,"CALC"))</f>
        <v>Y</v>
      </c>
      <c r="K50" s="179" t="str">
        <f t="shared" si="12"/>
        <v>&gt;</v>
      </c>
      <c r="L50" s="90" t="str">
        <f>IF(_epmOfflineCondition_,"707450",_xll.EVPRO($B$1,H50,"JDEID"))</f>
        <v>707450</v>
      </c>
      <c r="M50" s="90" t="str">
        <f>IF(_epmOfflineCondition_,"",IF(AND(I50="N",J50="N"),_xll.EVPRO($B$1,H50,"PSFTID"),""))</f>
        <v/>
      </c>
      <c r="N50" s="90" t="str">
        <f>IF(_epmOfflineCondition_,"Other",IF(_xll.EVDES(H50,$B$1)="#NODATA","",_xll.EVDES(H50,$B$1)))</f>
        <v>Other</v>
      </c>
      <c r="O50" s="143">
        <v>396.27</v>
      </c>
      <c r="P50" s="143">
        <v>1800</v>
      </c>
      <c r="Q50" s="143">
        <v>-1660</v>
      </c>
      <c r="R50" s="143"/>
      <c r="S50" s="143">
        <v>218.93</v>
      </c>
      <c r="T50" s="143"/>
      <c r="U50" s="143">
        <v>140</v>
      </c>
      <c r="V50" s="143"/>
      <c r="W50" s="143"/>
      <c r="X50" s="143">
        <v>1724.85</v>
      </c>
      <c r="Y50" s="143">
        <v>-540</v>
      </c>
      <c r="Z50" s="143">
        <v>4320</v>
      </c>
      <c r="AA50" s="210">
        <f t="shared" si="13"/>
        <v>6400.05</v>
      </c>
      <c r="AB50" s="144">
        <f t="shared" si="14"/>
        <v>1.2276282162440313E-3</v>
      </c>
      <c r="AC50" s="140"/>
      <c r="AD50" s="143">
        <v>8120.9999999995998</v>
      </c>
      <c r="AE50" s="144">
        <f t="shared" si="15"/>
        <v>6.2605271646118811E-4</v>
      </c>
      <c r="AF50" s="145">
        <f t="shared" si="16"/>
        <v>-1720.9499999995996</v>
      </c>
      <c r="AG50" s="143">
        <v>7926.71</v>
      </c>
      <c r="AH50" s="144">
        <f t="shared" si="17"/>
        <v>9.4523248651550654E-4</v>
      </c>
      <c r="AI50" s="145">
        <f t="shared" si="18"/>
        <v>-1526.6599999999999</v>
      </c>
      <c r="AJ50" s="440">
        <f t="shared" si="19"/>
        <v>0.13247329855936413</v>
      </c>
      <c r="AK50" s="441">
        <f t="shared" si="20"/>
        <v>0.16809488325880939</v>
      </c>
      <c r="AL50" s="442">
        <f t="shared" si="21"/>
        <v>0.1645228310502283</v>
      </c>
      <c r="AM50" s="443" t="str">
        <f t="shared" si="22"/>
        <v>0.06 pts.</v>
      </c>
      <c r="AN50" s="444" t="str">
        <f t="shared" si="23"/>
        <v>0.03 pts.</v>
      </c>
      <c r="AO50" s="11"/>
    </row>
    <row r="51" spans="1:41" x14ac:dyDescent="0.35">
      <c r="A51" s="65" t="s">
        <v>5</v>
      </c>
      <c r="B51" s="66"/>
      <c r="C51" s="11"/>
      <c r="D51" s="11"/>
      <c r="E51" s="11"/>
      <c r="F51" s="11"/>
      <c r="G51" s="11"/>
      <c r="H51" s="88" t="s">
        <v>890</v>
      </c>
      <c r="I51" s="122" t="str">
        <f>IF(_epmOfflineCondition_,"T5",_xll.EVPRO($B$1,$H51,"STYLE"))</f>
        <v>T5</v>
      </c>
      <c r="J51" s="122" t="str">
        <f>IF(_epmOfflineCondition_,"Y",_xll.EVPRO($B$1,$H51,"CALC"))</f>
        <v>Y</v>
      </c>
      <c r="K51" s="179" t="str">
        <f t="shared" si="12"/>
        <v>&gt;</v>
      </c>
      <c r="L51" s="90" t="str">
        <f>IF(_epmOfflineCondition_,"707610",_xll.EVPRO($B$1,H51,"JDEID"))</f>
        <v>707610</v>
      </c>
      <c r="M51" s="90" t="str">
        <f>IF(_epmOfflineCondition_,"",IF(AND(I51="N",J51="N"),_xll.EVPRO($B$1,H51,"PSFTID"),""))</f>
        <v/>
      </c>
      <c r="N51" s="90" t="str">
        <f>IF(_epmOfflineCondition_,"Rooms",IF(_xll.EVDES(H51,$B$1)="#NODATA","",_xll.EVDES(H51,$B$1)))</f>
        <v>Rooms</v>
      </c>
      <c r="O51" s="143">
        <v>539.96</v>
      </c>
      <c r="P51" s="143">
        <v>1033.3900000000001</v>
      </c>
      <c r="Q51" s="143">
        <v>-349</v>
      </c>
      <c r="R51" s="143">
        <v>-811.16</v>
      </c>
      <c r="S51" s="143">
        <v>507.57</v>
      </c>
      <c r="T51" s="143">
        <v>507.57</v>
      </c>
      <c r="U51" s="143">
        <v>532.37</v>
      </c>
      <c r="V51" s="143">
        <v>567.61</v>
      </c>
      <c r="W51" s="143">
        <v>368.58</v>
      </c>
      <c r="X51" s="143">
        <v>378.57</v>
      </c>
      <c r="Y51" s="143">
        <v>348.64</v>
      </c>
      <c r="Z51" s="143">
        <v>498.54</v>
      </c>
      <c r="AA51" s="210">
        <f t="shared" si="13"/>
        <v>4122.6400000000003</v>
      </c>
      <c r="AB51" s="144">
        <f t="shared" si="14"/>
        <v>7.9078588283158617E-4</v>
      </c>
      <c r="AC51" s="140"/>
      <c r="AD51" s="143">
        <v>10235.0000000004</v>
      </c>
      <c r="AE51" s="144">
        <f t="shared" si="15"/>
        <v>7.8902223285073599E-4</v>
      </c>
      <c r="AF51" s="145">
        <f t="shared" si="16"/>
        <v>-6112.3600000003999</v>
      </c>
      <c r="AG51" s="143">
        <v>19800.900000000001</v>
      </c>
      <c r="AH51" s="144">
        <f t="shared" si="17"/>
        <v>2.3611881779760954E-3</v>
      </c>
      <c r="AI51" s="145">
        <f t="shared" si="18"/>
        <v>-15678.260000000002</v>
      </c>
      <c r="AJ51" s="440">
        <f t="shared" si="19"/>
        <v>8.5333664513992394E-2</v>
      </c>
      <c r="AK51" s="441">
        <f t="shared" si="20"/>
        <v>0.21185212783574267</v>
      </c>
      <c r="AL51" s="442">
        <f t="shared" si="21"/>
        <v>0.41097758405977586</v>
      </c>
      <c r="AM51" s="443" t="str">
        <f t="shared" si="22"/>
        <v>0 pts.</v>
      </c>
      <c r="AN51" s="444" t="str">
        <f t="shared" si="23"/>
        <v>-0.16 pts.</v>
      </c>
      <c r="AO51" s="11"/>
    </row>
    <row r="52" spans="1:41" x14ac:dyDescent="0.35">
      <c r="A52" s="65" t="s">
        <v>6</v>
      </c>
      <c r="B52" s="66"/>
      <c r="C52" s="11"/>
      <c r="D52" s="11"/>
      <c r="E52" s="11"/>
      <c r="F52" s="11"/>
      <c r="G52" s="11"/>
      <c r="H52" s="88" t="s">
        <v>891</v>
      </c>
      <c r="I52" s="122" t="str">
        <f>IF(_epmOfflineCondition_,"T5",_xll.EVPRO($B$1,$H52,"STYLE"))</f>
        <v>T5</v>
      </c>
      <c r="J52" s="122" t="str">
        <f>IF(_epmOfflineCondition_,"Y",_xll.EVPRO($B$1,$H52,"CALC"))</f>
        <v>Y</v>
      </c>
      <c r="K52" s="179" t="str">
        <f t="shared" si="12"/>
        <v>&gt;</v>
      </c>
      <c r="L52" s="90" t="str">
        <f>IF(_epmOfflineCondition_,"707650",_xll.EVPRO($B$1,H52,"JDEID"))</f>
        <v>707650</v>
      </c>
      <c r="M52" s="90" t="str">
        <f>IF(_epmOfflineCondition_,"",IF(AND(I52="N",J52="N"),_xll.EVPRO($B$1,H52,"PSFTID"),""))</f>
        <v/>
      </c>
      <c r="N52" s="90" t="str">
        <f>IF(_epmOfflineCondition_,"Sales and Marketing",IF(_xll.EVDES(H52,$B$1)="#NODATA","",_xll.EVDES(H52,$B$1)))</f>
        <v>Sales and Marketing</v>
      </c>
      <c r="O52" s="143">
        <v>2061.14</v>
      </c>
      <c r="P52" s="143">
        <v>2866.54</v>
      </c>
      <c r="Q52" s="143">
        <v>1343.42</v>
      </c>
      <c r="R52" s="143">
        <v>-80.069999999999894</v>
      </c>
      <c r="S52" s="143">
        <v>-435.13</v>
      </c>
      <c r="T52" s="143">
        <v>1169.74</v>
      </c>
      <c r="U52" s="143">
        <v>477.01</v>
      </c>
      <c r="V52" s="143">
        <v>1240.78</v>
      </c>
      <c r="W52" s="143">
        <v>1044.74</v>
      </c>
      <c r="X52" s="143">
        <v>544.74</v>
      </c>
      <c r="Y52" s="143">
        <v>1044.74</v>
      </c>
      <c r="Z52" s="143">
        <v>1250.45</v>
      </c>
      <c r="AA52" s="210">
        <f t="shared" si="13"/>
        <v>12528.1</v>
      </c>
      <c r="AB52" s="144">
        <f t="shared" si="14"/>
        <v>2.4030826409054376E-3</v>
      </c>
      <c r="AC52" s="140"/>
      <c r="AD52" s="143">
        <v>25830.0000000008</v>
      </c>
      <c r="AE52" s="144">
        <f t="shared" si="15"/>
        <v>1.9912500512490809E-3</v>
      </c>
      <c r="AF52" s="145">
        <f t="shared" si="16"/>
        <v>-13301.9000000008</v>
      </c>
      <c r="AG52" s="143">
        <v>16798.45</v>
      </c>
      <c r="AH52" s="144">
        <f t="shared" si="17"/>
        <v>2.0031565003773839E-3</v>
      </c>
      <c r="AI52" s="145">
        <f t="shared" si="18"/>
        <v>-4270.3500000000004</v>
      </c>
      <c r="AJ52" s="440">
        <f t="shared" si="19"/>
        <v>0.25931652591488658</v>
      </c>
      <c r="AK52" s="441">
        <f t="shared" si="20"/>
        <v>0.53464977645307166</v>
      </c>
      <c r="AL52" s="442">
        <f t="shared" si="21"/>
        <v>0.34866023246160233</v>
      </c>
      <c r="AM52" s="443" t="str">
        <f t="shared" si="22"/>
        <v>0.04 pts.</v>
      </c>
      <c r="AN52" s="444" t="str">
        <f t="shared" si="23"/>
        <v>0.04 pts.</v>
      </c>
      <c r="AO52" s="11"/>
    </row>
    <row r="53" spans="1:41" x14ac:dyDescent="0.35">
      <c r="A53" s="65" t="s">
        <v>7</v>
      </c>
      <c r="B53" s="66"/>
      <c r="C53" s="11"/>
      <c r="D53" s="11"/>
      <c r="E53" s="11"/>
      <c r="F53" s="11"/>
      <c r="G53" s="11"/>
      <c r="H53" s="88" t="s">
        <v>502</v>
      </c>
      <c r="I53" s="122" t="str">
        <f>IF(_epmOfflineCondition_,"T4",_xll.EVPRO($B$1,$H53,"STYLE"))</f>
        <v>T4</v>
      </c>
      <c r="J53" s="122" t="str">
        <f>IF(_epmOfflineCondition_,"Y",_xll.EVPRO($B$1,$H53,"CALC"))</f>
        <v>Y</v>
      </c>
      <c r="K53" s="179"/>
      <c r="L53" s="90" t="str">
        <f>IF(_epmOfflineCondition_,"",_xll.EVPRO($B$1,H53,"JDEID"))</f>
        <v/>
      </c>
      <c r="M53" s="90" t="str">
        <f>IF(_epmOfflineCondition_,"",IF(AND(I53="N",J53="N"),_xll.EVPRO($B$1,H53,"PSFTID"),""))</f>
        <v/>
      </c>
      <c r="N53" s="106" t="str">
        <f>IF(_epmOfflineCondition_,"Total System Expenses",IF(_xll.EVDES(H53,$B$1)="#NODATA","",_xll.EVDES(H53,$B$1)))</f>
        <v>Total System Expenses</v>
      </c>
      <c r="O53" s="112">
        <f t="shared" ref="O53:Z53" si="24">SUM(O47:O52)</f>
        <v>6958.0500000000011</v>
      </c>
      <c r="P53" s="112">
        <f t="shared" si="24"/>
        <v>9962.5</v>
      </c>
      <c r="Q53" s="112">
        <f t="shared" si="24"/>
        <v>4094.58</v>
      </c>
      <c r="R53" s="112">
        <f t="shared" si="24"/>
        <v>-1372.7099999999998</v>
      </c>
      <c r="S53" s="112">
        <f t="shared" si="24"/>
        <v>373.24</v>
      </c>
      <c r="T53" s="112">
        <f t="shared" si="24"/>
        <v>4632.1000000000004</v>
      </c>
      <c r="U53" s="112">
        <f t="shared" si="24"/>
        <v>3017.25</v>
      </c>
      <c r="V53" s="112">
        <f t="shared" si="24"/>
        <v>4042.2300000000005</v>
      </c>
      <c r="W53" s="112">
        <f t="shared" si="24"/>
        <v>3359.91</v>
      </c>
      <c r="X53" s="112">
        <f t="shared" si="24"/>
        <v>3381.7200000000003</v>
      </c>
      <c r="Y53" s="112">
        <f t="shared" si="24"/>
        <v>2961.04</v>
      </c>
      <c r="Z53" s="112">
        <f t="shared" si="24"/>
        <v>8203.2000000000007</v>
      </c>
      <c r="AA53" s="112">
        <f t="shared" si="13"/>
        <v>49613.110000000015</v>
      </c>
      <c r="AB53" s="113">
        <f t="shared" si="14"/>
        <v>9.5165590474478989E-3</v>
      </c>
      <c r="AC53" s="11"/>
      <c r="AD53" s="112">
        <f>SUM(AD47:AD52)</f>
        <v>92224.0000000008</v>
      </c>
      <c r="AE53" s="113">
        <f t="shared" si="15"/>
        <v>7.1096029704371339E-3</v>
      </c>
      <c r="AF53" s="114">
        <f t="shared" si="16"/>
        <v>-42610.890000000785</v>
      </c>
      <c r="AG53" s="112">
        <f>SUM(AG47:AG52)</f>
        <v>63818.53</v>
      </c>
      <c r="AH53" s="113">
        <f t="shared" si="17"/>
        <v>7.6101368408412126E-3</v>
      </c>
      <c r="AI53" s="114">
        <f t="shared" si="18"/>
        <v>-14205.419999999984</v>
      </c>
      <c r="AJ53" s="415">
        <f t="shared" si="19"/>
        <v>1.0269314042059947</v>
      </c>
      <c r="AK53" s="416">
        <f t="shared" si="20"/>
        <v>1.9089253187614008</v>
      </c>
      <c r="AL53" s="417">
        <f t="shared" si="21"/>
        <v>1.324585512660855</v>
      </c>
      <c r="AM53" s="418" t="str">
        <f t="shared" si="22"/>
        <v>0.24 pts.</v>
      </c>
      <c r="AN53" s="543" t="str">
        <f t="shared" si="23"/>
        <v>0.19 pts.</v>
      </c>
      <c r="AO53" s="11"/>
    </row>
    <row r="54" spans="1:41" x14ac:dyDescent="0.35">
      <c r="A54" s="65" t="s">
        <v>47</v>
      </c>
      <c r="B54" s="66" t="str">
        <f>IF(_epmOfflineCondition_,"'IT'!$A$105:$B$126",_xll.EVRNG($A$105:$B$126))</f>
        <v>'IT'!$A$105:$B$126</v>
      </c>
      <c r="C54" s="11"/>
      <c r="D54" s="11"/>
      <c r="E54" s="11"/>
      <c r="F54" s="11"/>
      <c r="G54" s="11"/>
      <c r="H54" s="179"/>
      <c r="I54" s="179"/>
      <c r="J54" s="179"/>
      <c r="K54" s="179"/>
      <c r="L54" s="90"/>
      <c r="M54" s="90"/>
      <c r="N54" s="106"/>
      <c r="O54" s="129"/>
      <c r="P54" s="130"/>
      <c r="Q54" s="130"/>
      <c r="R54" s="130"/>
      <c r="S54" s="130"/>
      <c r="T54" s="130"/>
      <c r="U54" s="130"/>
      <c r="V54" s="130"/>
      <c r="W54" s="130"/>
      <c r="X54" s="130"/>
      <c r="Y54" s="130"/>
      <c r="Z54" s="130"/>
      <c r="AA54" s="130"/>
      <c r="AB54" s="131"/>
      <c r="AC54" s="11"/>
      <c r="AD54" s="129"/>
      <c r="AE54" s="130"/>
      <c r="AF54" s="131"/>
      <c r="AG54" s="129"/>
      <c r="AH54" s="130"/>
      <c r="AI54" s="131"/>
      <c r="AJ54" s="11"/>
      <c r="AK54" s="11"/>
      <c r="AL54" s="11"/>
      <c r="AM54" s="11"/>
      <c r="AN54" s="11"/>
      <c r="AO54" s="11"/>
    </row>
    <row r="55" spans="1:41" x14ac:dyDescent="0.35">
      <c r="A55" s="65" t="s">
        <v>8</v>
      </c>
      <c r="B55" s="66"/>
      <c r="C55" s="11"/>
      <c r="D55" s="11"/>
      <c r="E55" s="11"/>
      <c r="F55" s="11"/>
      <c r="G55" s="11"/>
      <c r="H55" s="11" t="s">
        <v>82</v>
      </c>
      <c r="I55" s="59" t="str">
        <f>IF(_epmOfflineCondition_,"B1",_xll.EVPRO($B$1,$H55,"STYLE"))</f>
        <v>B1</v>
      </c>
      <c r="J55" s="59" t="str">
        <f>IF(_epmOfflineCondition_,"Y",_xll.EVPRO($B$1,$H55,"CALC"))</f>
        <v>Y</v>
      </c>
      <c r="K55" s="11"/>
      <c r="L55" s="11"/>
      <c r="M55" s="11"/>
      <c r="N55" s="105" t="str">
        <f>IF(_epmOfflineCondition_,"Other Expenses",IF(_xll.EVDES(H55,$B$1)="#NODATA","",_xll.EVDES(H55,$B$1)))</f>
        <v>Other Expenses</v>
      </c>
      <c r="O55" s="119"/>
      <c r="P55" s="120"/>
      <c r="Q55" s="120"/>
      <c r="R55" s="120"/>
      <c r="S55" s="120"/>
      <c r="T55" s="120"/>
      <c r="U55" s="120"/>
      <c r="V55" s="120"/>
      <c r="W55" s="120"/>
      <c r="X55" s="120"/>
      <c r="Y55" s="120"/>
      <c r="Z55" s="120"/>
      <c r="AA55" s="120"/>
      <c r="AB55" s="121"/>
      <c r="AC55" s="11"/>
      <c r="AD55" s="119"/>
      <c r="AE55" s="120"/>
      <c r="AF55" s="121"/>
      <c r="AG55" s="119"/>
      <c r="AH55" s="120"/>
      <c r="AI55" s="121"/>
      <c r="AJ55" s="11"/>
      <c r="AK55" s="11"/>
      <c r="AL55" s="11"/>
      <c r="AM55" s="11"/>
      <c r="AN55" s="11"/>
      <c r="AO55" s="11"/>
    </row>
    <row r="56" spans="1:41" x14ac:dyDescent="0.35">
      <c r="A56" s="11"/>
      <c r="B56" s="11"/>
      <c r="C56" s="11"/>
      <c r="D56" s="11"/>
      <c r="E56" s="11"/>
      <c r="F56" s="11"/>
      <c r="G56" s="11"/>
      <c r="H56" s="88" t="s">
        <v>826</v>
      </c>
      <c r="I56" s="122" t="str">
        <f>IF(_epmOfflineCondition_,"N",_xll.EVPRO($B$1,$H56,"STYLE"))</f>
        <v>N</v>
      </c>
      <c r="J56" s="122" t="str">
        <f>IF(_epmOfflineCondition_,"N",_xll.EVPRO($B$1,$H56,"CALC"))</f>
        <v>N</v>
      </c>
      <c r="K56" s="179" t="str">
        <f>IF(AND(I56&gt;="T3"),"&gt;","")</f>
        <v/>
      </c>
      <c r="L56" s="90" t="str">
        <f>IF(_epmOfflineCondition_,"701100",_xll.EVPRO($B$1,H56,"JDEID"))</f>
        <v>701100</v>
      </c>
      <c r="M56" s="90" t="str">
        <f>IF(_epmOfflineCondition_,"690015",IF(AND(I56="N",J56="N"),_xll.EVPRO($B$1,H56,"PSFTID"),""))</f>
        <v>690015</v>
      </c>
      <c r="N56" s="90" t="str">
        <f>IF(_epmOfflineCondition_,"Dues and Subscriptions",IF(_xll.EVDES(H56,$B$1)="#NODATA","",_xll.EVDES(H56,$B$1)))</f>
        <v>Dues and Subscriptions</v>
      </c>
      <c r="O56" s="143"/>
      <c r="P56" s="143"/>
      <c r="Q56" s="143"/>
      <c r="R56" s="143"/>
      <c r="S56" s="143"/>
      <c r="T56" s="143"/>
      <c r="U56" s="143"/>
      <c r="V56" s="143">
        <v>4.22</v>
      </c>
      <c r="W56" s="143"/>
      <c r="X56" s="143"/>
      <c r="Y56" s="143"/>
      <c r="Z56" s="143"/>
      <c r="AA56" s="210">
        <f t="shared" ref="AA56:AA61" si="25">IF($I56="B1","",SUM(O56:Z56))</f>
        <v>4.22</v>
      </c>
      <c r="AB56" s="144">
        <f t="shared" ref="AB56:AB61" si="26">IF(AA56=0,"",IFERROR(AA56/AA$19,""))</f>
        <v>8.0946103117160202E-7</v>
      </c>
      <c r="AC56" s="140"/>
      <c r="AD56" s="143"/>
      <c r="AE56" s="144" t="str">
        <f t="shared" ref="AE56:AE61" si="27">IF(AD56=0,"",IFERROR(AD56/AD$19,""))</f>
        <v/>
      </c>
      <c r="AF56" s="145">
        <f t="shared" ref="AF56:AF61" si="28">IF(AND($AA56="",AD56=""),"",$AA56-AD56)</f>
        <v>4.22</v>
      </c>
      <c r="AG56" s="143"/>
      <c r="AH56" s="144" t="str">
        <f t="shared" ref="AH56:AH61" si="29">IF(AG56=0,"",IFERROR(AG56/AG$19,""))</f>
        <v/>
      </c>
      <c r="AI56" s="145">
        <f t="shared" ref="AI56:AI61" si="30">IF(AND($AA56="",AG56=""),"",$AA56-AG56)</f>
        <v>4.22</v>
      </c>
      <c r="AJ56" s="440">
        <f t="shared" ref="AJ56:AJ61" si="31">IFERROR(AA56/AA$20,0)</f>
        <v>8.734889882430866E-5</v>
      </c>
      <c r="AK56" s="441">
        <f t="shared" ref="AK56:AK61" si="32">IFERROR(AD56/AD$20,0)</f>
        <v>0</v>
      </c>
      <c r="AL56" s="442">
        <f t="shared" ref="AL56:AL61" si="33">IFERROR(AG56/AG$20,0)</f>
        <v>0</v>
      </c>
      <c r="AM56" s="443">
        <f t="shared" ref="AM56:AM61" si="34">+IFERROR(ROUND(($AB56-AE56)*100,2)&amp;" pts.",0)</f>
        <v>0</v>
      </c>
      <c r="AN56" s="444">
        <f t="shared" ref="AN56:AN61" si="35">+IFERROR(ROUND(($AB56-AH56)*100,2)&amp;" pts.",0)</f>
        <v>0</v>
      </c>
      <c r="AO56" s="11"/>
    </row>
    <row r="57" spans="1:41" x14ac:dyDescent="0.35">
      <c r="A57" s="62" t="s">
        <v>9</v>
      </c>
      <c r="B57" s="63" t="s">
        <v>10</v>
      </c>
      <c r="C57" s="11"/>
      <c r="D57" s="11"/>
      <c r="E57" s="11"/>
      <c r="F57" s="11"/>
      <c r="G57" s="11"/>
      <c r="H57" s="88" t="s">
        <v>830</v>
      </c>
      <c r="I57" s="122" t="str">
        <f>IF(_epmOfflineCondition_,"T4",_xll.EVPRO($B$1,$H57,"STYLE"))</f>
        <v>T4</v>
      </c>
      <c r="J57" s="122" t="str">
        <f>IF(_epmOfflineCondition_,"Y",_xll.EVPRO($B$1,$H57,"CALC"))</f>
        <v>Y</v>
      </c>
      <c r="K57" s="179" t="str">
        <f>IF(AND(I57&gt;="T3"),"&gt;","")</f>
        <v>&gt;</v>
      </c>
      <c r="L57" s="90" t="str">
        <f>IF(_epmOfflineCondition_,"701500",_xll.EVPRO($B$1,H57,"JDEID"))</f>
        <v>701500</v>
      </c>
      <c r="M57" s="90" t="str">
        <f>IF(_epmOfflineCondition_,"",IF(AND(I57="N",J57="N"),_xll.EVPRO($B$1,H57,"PSFTID"),""))</f>
        <v/>
      </c>
      <c r="N57" s="90" t="str">
        <f>IF(_epmOfflineCondition_,"Operating Supplies",IF(_xll.EVDES(H57,$B$1)="#NODATA","",_xll.EVDES(H57,$B$1)))</f>
        <v>Operating Supplies</v>
      </c>
      <c r="O57" s="143"/>
      <c r="P57" s="143"/>
      <c r="Q57" s="143"/>
      <c r="R57" s="143">
        <v>0.22</v>
      </c>
      <c r="S57" s="143"/>
      <c r="T57" s="143"/>
      <c r="U57" s="143"/>
      <c r="V57" s="143"/>
      <c r="W57" s="143"/>
      <c r="X57" s="143"/>
      <c r="Y57" s="143"/>
      <c r="Z57" s="143"/>
      <c r="AA57" s="210">
        <f t="shared" si="25"/>
        <v>0.22</v>
      </c>
      <c r="AB57" s="144">
        <f t="shared" si="26"/>
        <v>4.2199390250652241E-8</v>
      </c>
      <c r="AC57" s="140"/>
      <c r="AD57" s="143"/>
      <c r="AE57" s="144" t="str">
        <f t="shared" si="27"/>
        <v/>
      </c>
      <c r="AF57" s="145">
        <f t="shared" si="28"/>
        <v>0.22</v>
      </c>
      <c r="AG57" s="143">
        <v>0</v>
      </c>
      <c r="AH57" s="144" t="str">
        <f t="shared" si="29"/>
        <v/>
      </c>
      <c r="AI57" s="145">
        <f t="shared" si="30"/>
        <v>0.22</v>
      </c>
      <c r="AJ57" s="440">
        <f t="shared" si="31"/>
        <v>4.5537340619307832E-6</v>
      </c>
      <c r="AK57" s="441">
        <f t="shared" si="32"/>
        <v>0</v>
      </c>
      <c r="AL57" s="442">
        <f t="shared" si="33"/>
        <v>0</v>
      </c>
      <c r="AM57" s="443">
        <f t="shared" si="34"/>
        <v>0</v>
      </c>
      <c r="AN57" s="444">
        <f t="shared" si="35"/>
        <v>0</v>
      </c>
      <c r="AO57" s="11"/>
    </row>
    <row r="58" spans="1:41" x14ac:dyDescent="0.35">
      <c r="A58" s="65" t="s">
        <v>11</v>
      </c>
      <c r="B58" s="66" t="s">
        <v>21</v>
      </c>
      <c r="C58" s="11"/>
      <c r="D58" s="11"/>
      <c r="E58" s="11"/>
      <c r="F58" s="11"/>
      <c r="G58" s="11"/>
      <c r="H58" s="88" t="s">
        <v>832</v>
      </c>
      <c r="I58" s="122" t="str">
        <f>IF(_epmOfflineCondition_,"T4",_xll.EVPRO($B$1,$H58,"STYLE"))</f>
        <v>T4</v>
      </c>
      <c r="J58" s="122" t="str">
        <f>IF(_epmOfflineCondition_,"Y",_xll.EVPRO($B$1,$H58,"CALC"))</f>
        <v>Y</v>
      </c>
      <c r="K58" s="179" t="str">
        <f>IF(AND(I58&gt;="T3"),"&gt;","")</f>
        <v>&gt;</v>
      </c>
      <c r="L58" s="90" t="str">
        <f>IF(_epmOfflineCondition_,"",_xll.EVPRO($B$1,H58,"JDEID"))</f>
        <v/>
      </c>
      <c r="M58" s="90" t="str">
        <f>IF(_epmOfflineCondition_,"",IF(AND(I58="N",J58="N"),_xll.EVPRO($B$1,H58,"PSFTID"),""))</f>
        <v/>
      </c>
      <c r="N58" s="90" t="str">
        <f>IF(_epmOfflineCondition_,"Contract Services",IF(_xll.EVDES(H58,$B$1)="#NODATA","",_xll.EVDES(H58,$B$1)))</f>
        <v>Contract Services</v>
      </c>
      <c r="O58" s="143">
        <v>308.52</v>
      </c>
      <c r="P58" s="143">
        <v>-383.65</v>
      </c>
      <c r="Q58" s="143">
        <v>330</v>
      </c>
      <c r="R58" s="143">
        <v>284.79000000000002</v>
      </c>
      <c r="S58" s="143">
        <v>95.47</v>
      </c>
      <c r="T58" s="143">
        <v>37.36</v>
      </c>
      <c r="U58" s="143">
        <v>102.64</v>
      </c>
      <c r="V58" s="143"/>
      <c r="W58" s="143">
        <v>341.3</v>
      </c>
      <c r="X58" s="143">
        <v>-2.78</v>
      </c>
      <c r="Y58" s="143">
        <v>355.57</v>
      </c>
      <c r="Z58" s="143">
        <v>100.84</v>
      </c>
      <c r="AA58" s="210">
        <f t="shared" si="25"/>
        <v>1570.06</v>
      </c>
      <c r="AB58" s="144">
        <f t="shared" si="26"/>
        <v>3.0116170298608659E-4</v>
      </c>
      <c r="AC58" s="140"/>
      <c r="AD58" s="143">
        <v>4500</v>
      </c>
      <c r="AE58" s="144">
        <f t="shared" si="27"/>
        <v>3.4690767443362709E-4</v>
      </c>
      <c r="AF58" s="145">
        <f t="shared" si="28"/>
        <v>-2929.94</v>
      </c>
      <c r="AG58" s="143">
        <v>6888.77</v>
      </c>
      <c r="AH58" s="144">
        <f t="shared" si="29"/>
        <v>8.2146176612155942E-4</v>
      </c>
      <c r="AI58" s="145">
        <f t="shared" si="30"/>
        <v>-5318.7100000000009</v>
      </c>
      <c r="AJ58" s="440">
        <f t="shared" si="31"/>
        <v>3.2498344096704754E-2</v>
      </c>
      <c r="AK58" s="441">
        <f t="shared" si="32"/>
        <v>9.3144560357675113E-2</v>
      </c>
      <c r="AL58" s="442">
        <f t="shared" si="33"/>
        <v>0.14297986716479869</v>
      </c>
      <c r="AM58" s="443" t="str">
        <f t="shared" si="34"/>
        <v>0 pts.</v>
      </c>
      <c r="AN58" s="444" t="str">
        <f t="shared" si="35"/>
        <v>-0.05 pts.</v>
      </c>
      <c r="AO58" s="11"/>
    </row>
    <row r="59" spans="1:41" x14ac:dyDescent="0.35">
      <c r="A59" s="65" t="s">
        <v>12</v>
      </c>
      <c r="B59" s="66" t="s">
        <v>22</v>
      </c>
      <c r="C59" s="11"/>
      <c r="D59" s="11"/>
      <c r="E59" s="11"/>
      <c r="F59" s="11"/>
      <c r="G59" s="11"/>
      <c r="H59" s="88" t="s">
        <v>833</v>
      </c>
      <c r="I59" s="122" t="str">
        <f>IF(_epmOfflineCondition_,"T4",_xll.EVPRO($B$1,$H59,"STYLE"))</f>
        <v>T4</v>
      </c>
      <c r="J59" s="122" t="str">
        <f>IF(_epmOfflineCondition_,"Y",_xll.EVPRO($B$1,$H59,"CALC"))</f>
        <v>Y</v>
      </c>
      <c r="K59" s="179" t="str">
        <f>IF(AND(I59&gt;="T3"),"&gt;","")</f>
        <v>&gt;</v>
      </c>
      <c r="L59" s="90" t="str">
        <f>IF(_epmOfflineCondition_,"",_xll.EVPRO($B$1,H59,"JDEID"))</f>
        <v/>
      </c>
      <c r="M59" s="90" t="str">
        <f>IF(_epmOfflineCondition_,"",IF(AND(I59="N",J59="N"),_xll.EVPRO($B$1,H59,"PSFTID"),""))</f>
        <v/>
      </c>
      <c r="N59" s="90" t="str">
        <f>IF(_epmOfflineCondition_,"Travel - Other",IF(_xll.EVDES(H59,$B$1)="#NODATA","",_xll.EVDES(H59,$B$1)))</f>
        <v>Travel - Other</v>
      </c>
      <c r="O59" s="143">
        <v>-14.79</v>
      </c>
      <c r="P59" s="143"/>
      <c r="Q59" s="143"/>
      <c r="R59" s="143"/>
      <c r="S59" s="143"/>
      <c r="T59" s="143"/>
      <c r="U59" s="143"/>
      <c r="V59" s="143"/>
      <c r="W59" s="143"/>
      <c r="X59" s="143"/>
      <c r="Y59" s="143"/>
      <c r="Z59" s="143"/>
      <c r="AA59" s="210">
        <f t="shared" si="25"/>
        <v>-14.79</v>
      </c>
      <c r="AB59" s="144">
        <f t="shared" si="26"/>
        <v>-2.8369499173052118E-6</v>
      </c>
      <c r="AC59" s="140"/>
      <c r="AD59" s="143"/>
      <c r="AE59" s="144" t="str">
        <f t="shared" si="27"/>
        <v/>
      </c>
      <c r="AF59" s="145">
        <f t="shared" si="28"/>
        <v>-14.79</v>
      </c>
      <c r="AG59" s="143"/>
      <c r="AH59" s="144" t="str">
        <f t="shared" si="29"/>
        <v/>
      </c>
      <c r="AI59" s="145">
        <f t="shared" si="30"/>
        <v>-14.79</v>
      </c>
      <c r="AJ59" s="440">
        <f t="shared" si="31"/>
        <v>-3.0613512170889217E-4</v>
      </c>
      <c r="AK59" s="441">
        <f t="shared" si="32"/>
        <v>0</v>
      </c>
      <c r="AL59" s="442">
        <f t="shared" si="33"/>
        <v>0</v>
      </c>
      <c r="AM59" s="443">
        <f t="shared" si="34"/>
        <v>0</v>
      </c>
      <c r="AN59" s="444">
        <f t="shared" si="35"/>
        <v>0</v>
      </c>
      <c r="AO59" s="11"/>
    </row>
    <row r="60" spans="1:41" x14ac:dyDescent="0.35">
      <c r="A60" s="65" t="s">
        <v>13</v>
      </c>
      <c r="B60" s="66" t="s">
        <v>505</v>
      </c>
      <c r="C60" s="11"/>
      <c r="D60" s="11"/>
      <c r="E60" s="11"/>
      <c r="F60" s="11"/>
      <c r="G60" s="11"/>
      <c r="H60" s="88" t="s">
        <v>849</v>
      </c>
      <c r="I60" s="122" t="str">
        <f>IF(_epmOfflineCondition_,"T4",_xll.EVPRO($B$1,$H60,"STYLE"))</f>
        <v>T4</v>
      </c>
      <c r="J60" s="122" t="str">
        <f>IF(_epmOfflineCondition_,"Y",_xll.EVPRO($B$1,$H60,"CALC"))</f>
        <v>Y</v>
      </c>
      <c r="K60" s="179" t="str">
        <f>IF(AND(I60&gt;="T3"),"&gt;","")</f>
        <v>&gt;</v>
      </c>
      <c r="L60" s="90" t="str">
        <f>IF(_epmOfflineCondition_,"706500",_xll.EVPRO($B$1,H60,"JDEID"))</f>
        <v>706500</v>
      </c>
      <c r="M60" s="90" t="str">
        <f>IF(_epmOfflineCondition_,"",IF(AND(I60="N",J60="N"),_xll.EVPRO($B$1,H60,"PSFTID"),""))</f>
        <v/>
      </c>
      <c r="N60" s="90" t="str">
        <f>IF(_epmOfflineCondition_,"Corporate Office Reimbursement",IF(_xll.EVDES(H60,$B$1)="#NODATA","",_xll.EVDES(H60,$B$1)))</f>
        <v>Corporate Office Reimbursement</v>
      </c>
      <c r="O60" s="143">
        <v>8978.3700000000008</v>
      </c>
      <c r="P60" s="143">
        <v>9064.6</v>
      </c>
      <c r="Q60" s="143">
        <v>3299.15</v>
      </c>
      <c r="R60" s="143">
        <v>-56.24</v>
      </c>
      <c r="S60" s="143">
        <v>-140.76</v>
      </c>
      <c r="T60" s="143">
        <v>672.16</v>
      </c>
      <c r="U60" s="143">
        <v>560.75</v>
      </c>
      <c r="V60" s="143">
        <v>985.43</v>
      </c>
      <c r="W60" s="143">
        <v>1727.75</v>
      </c>
      <c r="X60" s="143">
        <v>2183.84</v>
      </c>
      <c r="Y60" s="143">
        <v>2118.5</v>
      </c>
      <c r="Z60" s="143">
        <v>3859.84</v>
      </c>
      <c r="AA60" s="210">
        <f t="shared" si="25"/>
        <v>33253.39</v>
      </c>
      <c r="AB60" s="144">
        <f t="shared" si="26"/>
        <v>6.3785126443960758E-3</v>
      </c>
      <c r="AC60" s="140"/>
      <c r="AD60" s="143">
        <v>81143.756573204199</v>
      </c>
      <c r="AE60" s="144">
        <f t="shared" si="27"/>
        <v>6.2554204194708021E-3</v>
      </c>
      <c r="AF60" s="145">
        <f t="shared" si="28"/>
        <v>-47890.366573204199</v>
      </c>
      <c r="AG60" s="143">
        <v>53549.27</v>
      </c>
      <c r="AH60" s="144">
        <f t="shared" si="29"/>
        <v>6.3855634472801725E-3</v>
      </c>
      <c r="AI60" s="145">
        <f t="shared" si="30"/>
        <v>-20295.879999999997</v>
      </c>
      <c r="AJ60" s="440">
        <f t="shared" si="31"/>
        <v>0.68830497598940221</v>
      </c>
      <c r="AK60" s="441">
        <f t="shared" si="32"/>
        <v>1.6795776737291812</v>
      </c>
      <c r="AL60" s="442">
        <f t="shared" si="33"/>
        <v>1.1114418845994187</v>
      </c>
      <c r="AM60" s="443" t="str">
        <f t="shared" si="34"/>
        <v>0.01 pts.</v>
      </c>
      <c r="AN60" s="444" t="str">
        <f t="shared" si="35"/>
        <v>0 pts.</v>
      </c>
      <c r="AO60" s="11"/>
    </row>
    <row r="61" spans="1:41" x14ac:dyDescent="0.35">
      <c r="A61" s="65" t="s">
        <v>14</v>
      </c>
      <c r="B61" s="608"/>
      <c r="C61" s="11"/>
      <c r="D61" s="11"/>
      <c r="E61" s="11"/>
      <c r="F61" s="11"/>
      <c r="G61" s="11"/>
      <c r="H61" s="88" t="s">
        <v>79</v>
      </c>
      <c r="I61" s="136" t="str">
        <f>IF(_epmOfflineCondition_,"T3",_xll.EVPRO($B$1,$H61,"STYLE"))</f>
        <v>T3</v>
      </c>
      <c r="J61" s="136" t="str">
        <f>IF(_epmOfflineCondition_,"Y",_xll.EVPRO($B$1,$H61,"CALC"))</f>
        <v>Y</v>
      </c>
      <c r="K61" s="104"/>
      <c r="L61" s="59"/>
      <c r="M61" s="59"/>
      <c r="N61" s="106" t="str">
        <f>IF(_epmOfflineCondition_,"Total Operations Expense",IF(_xll.EVDES(H61,$B$1)="#NODATA","",_xll.EVDES(H61,$B$1)))</f>
        <v>Total Operations Expense</v>
      </c>
      <c r="O61" s="112">
        <f t="shared" ref="O61:Z61" si="36">SUM(O56:O60)</f>
        <v>9272.1</v>
      </c>
      <c r="P61" s="112">
        <f t="shared" si="36"/>
        <v>8680.9500000000007</v>
      </c>
      <c r="Q61" s="112">
        <f t="shared" si="36"/>
        <v>3629.15</v>
      </c>
      <c r="R61" s="112">
        <f t="shared" si="36"/>
        <v>228.77000000000004</v>
      </c>
      <c r="S61" s="112">
        <f t="shared" si="36"/>
        <v>-45.289999999999992</v>
      </c>
      <c r="T61" s="112">
        <f t="shared" si="36"/>
        <v>709.52</v>
      </c>
      <c r="U61" s="112">
        <f t="shared" si="36"/>
        <v>663.39</v>
      </c>
      <c r="V61" s="112">
        <f t="shared" si="36"/>
        <v>989.65</v>
      </c>
      <c r="W61" s="112">
        <f t="shared" si="36"/>
        <v>2069.0500000000002</v>
      </c>
      <c r="X61" s="112">
        <f t="shared" si="36"/>
        <v>2181.06</v>
      </c>
      <c r="Y61" s="112">
        <f t="shared" si="36"/>
        <v>2474.0700000000002</v>
      </c>
      <c r="Z61" s="112">
        <f t="shared" si="36"/>
        <v>3960.6800000000003</v>
      </c>
      <c r="AA61" s="112">
        <f t="shared" si="25"/>
        <v>34813.100000000006</v>
      </c>
      <c r="AB61" s="113">
        <f t="shared" si="26"/>
        <v>6.6776890578862805E-3</v>
      </c>
      <c r="AC61" s="11"/>
      <c r="AD61" s="112">
        <f>SUM(AD56:AD60)</f>
        <v>85643.756573204199</v>
      </c>
      <c r="AE61" s="113">
        <f t="shared" si="27"/>
        <v>6.6023280939044287E-3</v>
      </c>
      <c r="AF61" s="114">
        <f t="shared" si="28"/>
        <v>-50830.656573204193</v>
      </c>
      <c r="AG61" s="112">
        <f>SUM(AG56:AG60)</f>
        <v>60438.039999999994</v>
      </c>
      <c r="AH61" s="113">
        <f t="shared" si="29"/>
        <v>7.2070252134017318E-3</v>
      </c>
      <c r="AI61" s="114">
        <f t="shared" si="30"/>
        <v>-25624.939999999988</v>
      </c>
      <c r="AJ61" s="415">
        <f t="shared" si="31"/>
        <v>0.72058908759728446</v>
      </c>
      <c r="AK61" s="416">
        <f t="shared" si="32"/>
        <v>1.7727222340868563</v>
      </c>
      <c r="AL61" s="417">
        <f t="shared" si="33"/>
        <v>1.2544217517642173</v>
      </c>
      <c r="AM61" s="418" t="str">
        <f t="shared" si="34"/>
        <v>0.01 pts.</v>
      </c>
      <c r="AN61" s="543" t="str">
        <f t="shared" si="35"/>
        <v>-0.05 pts.</v>
      </c>
      <c r="AO61" s="11"/>
    </row>
    <row r="62" spans="1:41" x14ac:dyDescent="0.35">
      <c r="A62" s="65" t="s">
        <v>15</v>
      </c>
      <c r="B62" s="66"/>
      <c r="C62" s="11"/>
      <c r="D62" s="11"/>
      <c r="E62" s="11"/>
      <c r="F62" s="11"/>
      <c r="G62" s="11"/>
      <c r="H62" s="11"/>
      <c r="I62" s="59"/>
      <c r="J62" s="59"/>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16</v>
      </c>
      <c r="B63" s="66"/>
      <c r="C63" s="11"/>
      <c r="D63" s="11"/>
      <c r="E63" s="11"/>
      <c r="F63" s="11"/>
      <c r="G63" s="11"/>
      <c r="H63" s="88" t="s">
        <v>80</v>
      </c>
      <c r="I63" s="136" t="str">
        <f>IF(_epmOfflineCondition_,"T3",_xll.EVPRO($B$1,$H63,"STYLE"))</f>
        <v>T3</v>
      </c>
      <c r="J63" s="136" t="str">
        <f>IF(_epmOfflineCondition_,"Y",_xll.EVPRO($B$1,$H63,"CALC"))</f>
        <v>Y</v>
      </c>
      <c r="K63" s="106"/>
      <c r="L63" s="59"/>
      <c r="M63" s="59"/>
      <c r="N63" s="106" t="str">
        <f>IF(_epmOfflineCondition_,"Total Expenses",IF(_xll.EVDES(H63,$B$1)="#NODATA","",_xll.EVDES(H63,$B$1)))</f>
        <v>Total Expenses</v>
      </c>
      <c r="O63" s="238">
        <v>20330.12</v>
      </c>
      <c r="P63" s="238">
        <v>20971.55</v>
      </c>
      <c r="Q63" s="238">
        <v>11769.67</v>
      </c>
      <c r="R63" s="238">
        <v>2603.1799999999998</v>
      </c>
      <c r="S63" s="238">
        <v>3641.21</v>
      </c>
      <c r="T63" s="238">
        <v>8711.1299999999992</v>
      </c>
      <c r="U63" s="238">
        <v>4309.97</v>
      </c>
      <c r="V63" s="238">
        <v>8306.7900000000009</v>
      </c>
      <c r="W63" s="238">
        <v>11182.72</v>
      </c>
      <c r="X63" s="238">
        <v>8858.98</v>
      </c>
      <c r="Y63" s="238">
        <v>8406.16</v>
      </c>
      <c r="Z63" s="238">
        <v>15262.56</v>
      </c>
      <c r="AA63" s="238">
        <f>IF($I63="B1","",SUM(O63:Z63))</f>
        <v>124354.04</v>
      </c>
      <c r="AB63" s="239">
        <f>IF(AA63=0,"",IFERROR(AA63/AA$19,""))</f>
        <v>2.3853021196387356E-2</v>
      </c>
      <c r="AC63" s="140"/>
      <c r="AD63" s="238">
        <v>231873.096573205</v>
      </c>
      <c r="AE63" s="239">
        <f>IF(AD63=0,"",IFERROR(AD63/AD$19,""))</f>
        <v>1.7875234821318749E-2</v>
      </c>
      <c r="AF63" s="254">
        <f>IF(AND($AA63="",AD63=""),"",$AA63-AD63)</f>
        <v>-107519.056573205</v>
      </c>
      <c r="AG63" s="255">
        <v>175831.42</v>
      </c>
      <c r="AH63" s="256">
        <f>IF(AG63=0,"",IFERROR(AG63/AG$19,""))</f>
        <v>2.0967282811425215E-2</v>
      </c>
      <c r="AI63" s="254">
        <f>IF(AND($AA63="",AG63=""),"",$AA63-AG63)</f>
        <v>-51477.380000000019</v>
      </c>
      <c r="AJ63" s="472">
        <f>IFERROR(AA63/AA$20,0)</f>
        <v>2.5739783076668323</v>
      </c>
      <c r="AK63" s="473">
        <f>IFERROR(AD63/AD$20,0)</f>
        <v>4.7994928086853159</v>
      </c>
      <c r="AL63" s="474">
        <f>IFERROR(AG63/AG$20,0)</f>
        <v>3.6494690743046911</v>
      </c>
      <c r="AM63" s="475" t="str">
        <f>+IFERROR(ROUND(($AB63-AE63)*100,2)&amp;" pts.",0)</f>
        <v>0.6 pts.</v>
      </c>
      <c r="AN63" s="556" t="str">
        <f>+IFERROR(ROUND(($AB63-AH63)*100,2)&amp;" pts.",0)</f>
        <v>0.29 pts.</v>
      </c>
      <c r="AO63" s="11"/>
    </row>
    <row r="64" spans="1:41" ht="15" thickBot="1" x14ac:dyDescent="0.4">
      <c r="A64" s="65" t="s">
        <v>17</v>
      </c>
      <c r="B64" s="66"/>
      <c r="C64" s="11"/>
      <c r="D64" s="11"/>
      <c r="E64" s="11"/>
      <c r="F64" s="11"/>
      <c r="G64" s="11"/>
      <c r="H64" s="88" t="s">
        <v>81</v>
      </c>
      <c r="I64" s="136" t="str">
        <f>IF(_epmOfflineCondition_,"T3",_xll.EVPRO($B$1,$H64,"STYLE"))</f>
        <v>T3</v>
      </c>
      <c r="J64" s="136" t="str">
        <f>IF(_epmOfflineCondition_,"Y",_xll.EVPRO($B$1,$H64,"CALC"))</f>
        <v>Y</v>
      </c>
      <c r="K64" s="106"/>
      <c r="L64" s="59"/>
      <c r="M64" s="59"/>
      <c r="N64" s="106" t="str">
        <f>IF(_epmOfflineCondition_,"Department Profit (Loss)",IF(_xll.EVDES(H64,$B$1)="#NODATA","",_xll.EVDES(H64,$B$1)))</f>
        <v>Department Profit (Loss)</v>
      </c>
      <c r="O64" s="169">
        <v>-20330.12</v>
      </c>
      <c r="P64" s="169">
        <v>-20971.55</v>
      </c>
      <c r="Q64" s="169">
        <v>-11769.67</v>
      </c>
      <c r="R64" s="169">
        <v>-2603.1799999999998</v>
      </c>
      <c r="S64" s="169">
        <v>-3641.21</v>
      </c>
      <c r="T64" s="169">
        <v>-8711.1299999999992</v>
      </c>
      <c r="U64" s="169">
        <v>-4309.97</v>
      </c>
      <c r="V64" s="169">
        <v>-8306.7900000000009</v>
      </c>
      <c r="W64" s="169">
        <v>-11182.72</v>
      </c>
      <c r="X64" s="169">
        <v>-8858.98</v>
      </c>
      <c r="Y64" s="169">
        <v>-8406.16</v>
      </c>
      <c r="Z64" s="169">
        <v>-15262.56</v>
      </c>
      <c r="AA64" s="169">
        <f>IF($I64="B1","",SUM(O64:Z64))</f>
        <v>-124354.04</v>
      </c>
      <c r="AB64" s="170">
        <f>IF(AA64=0,"",IFERROR(AA64/AA$19,""))</f>
        <v>-2.3853021196387356E-2</v>
      </c>
      <c r="AC64" s="140"/>
      <c r="AD64" s="169">
        <v>-231873.096573205</v>
      </c>
      <c r="AE64" s="170">
        <f>IF(AD64=0,"",IFERROR(AD64/AD$19,""))</f>
        <v>-1.7875234821318749E-2</v>
      </c>
      <c r="AF64" s="171">
        <f>IF(AND($AA64="",AD64=""),"",$AA64-AD64)</f>
        <v>107519.056573205</v>
      </c>
      <c r="AG64" s="169">
        <v>-175831.42</v>
      </c>
      <c r="AH64" s="170">
        <f>IF(AG64=0,"",IFERROR(AG64/AG$19,""))</f>
        <v>-2.0967282811425215E-2</v>
      </c>
      <c r="AI64" s="171">
        <f>IF(AND($AA64="",AG64=""),"",$AA64-AG64)</f>
        <v>51477.380000000019</v>
      </c>
      <c r="AJ64" s="477">
        <f>IFERROR(AA64/AA$20,0)</f>
        <v>-2.5739783076668323</v>
      </c>
      <c r="AK64" s="478">
        <f>IFERROR(AD64/AD$20,0)</f>
        <v>-4.7994928086853159</v>
      </c>
      <c r="AL64" s="479">
        <f>IFERROR(AG64/AG$20,0)</f>
        <v>-3.6494690743046911</v>
      </c>
      <c r="AM64" s="480" t="str">
        <f>+IFERROR(ROUND(($AB64-AE64)*100,2)&amp;" pts.",0)</f>
        <v>-0.6 pts.</v>
      </c>
      <c r="AN64" s="557" t="str">
        <f>+IFERROR(ROUND(($AB64-AH64)*100,2)&amp;" pts.",0)</f>
        <v>-0.29 pts.</v>
      </c>
      <c r="AO64" s="11"/>
    </row>
    <row r="65" spans="1:41" ht="15" thickTop="1" x14ac:dyDescent="0.35">
      <c r="A65" s="11"/>
      <c r="B65" s="11"/>
      <c r="C65" s="11"/>
      <c r="D65" s="11"/>
      <c r="E65" s="11"/>
      <c r="F65" s="11"/>
      <c r="G65" s="11"/>
      <c r="H65" s="11"/>
      <c r="I65" s="59"/>
      <c r="J65" s="59"/>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208"/>
      <c r="D66" s="11"/>
      <c r="E66" s="11"/>
      <c r="F66" s="11"/>
      <c r="G66" s="11"/>
      <c r="H66" s="11"/>
      <c r="I66" s="59"/>
      <c r="J66" s="59"/>
      <c r="K66" s="11"/>
      <c r="L66" s="59"/>
      <c r="M66" s="59"/>
      <c r="N66" s="104" t="str">
        <f>N63&amp;" - Check"</f>
        <v>Total Expenses - Check</v>
      </c>
      <c r="O66" s="209">
        <f t="shared" ref="O66:AA66" si="37">SUMIF($H$35:$H$64,"600000",O$35:O$64)+SUMIF($H$35:$H$64,"707900",O$35:O$64)+SUMIF($H$35:$H$64,"ITSYS_EXP",O$35:O$64)+SUMIF($H$35:$H$64,"700000",O$35:O$64)-SUMIF($H$35:$H$64,"TOTDEPTEXP",O$35:O$64)</f>
        <v>0</v>
      </c>
      <c r="P66" s="209">
        <f t="shared" si="37"/>
        <v>0</v>
      </c>
      <c r="Q66" s="209">
        <f t="shared" si="37"/>
        <v>0</v>
      </c>
      <c r="R66" s="209">
        <f t="shared" si="37"/>
        <v>0</v>
      </c>
      <c r="S66" s="209">
        <f t="shared" si="37"/>
        <v>0</v>
      </c>
      <c r="T66" s="209">
        <f t="shared" si="37"/>
        <v>0</v>
      </c>
      <c r="U66" s="209">
        <f t="shared" si="37"/>
        <v>0</v>
      </c>
      <c r="V66" s="209">
        <f t="shared" si="37"/>
        <v>0</v>
      </c>
      <c r="W66" s="209">
        <f t="shared" si="37"/>
        <v>0</v>
      </c>
      <c r="X66" s="209">
        <f t="shared" si="37"/>
        <v>0</v>
      </c>
      <c r="Y66" s="209">
        <f t="shared" si="37"/>
        <v>0</v>
      </c>
      <c r="Z66" s="209">
        <f t="shared" si="37"/>
        <v>0</v>
      </c>
      <c r="AA66" s="209">
        <f t="shared" si="37"/>
        <v>0</v>
      </c>
      <c r="AB66" s="100"/>
      <c r="AC66" s="11"/>
      <c r="AD66" s="209">
        <f>SUMIF($H$35:$H$64,"600000",AD$35:AD$64)+SUMIF($H$35:$H$64,"707900",AD$35:AD$64)+SUMIF($H$35:$H$64,"ITSYS_EXP",AD$35:AD$64)+SUMIF($H$35:$H$64,"700000",AD$35:AD$64)-SUMIF($H$35:$H$64,"TOTDEPTEXP",AD$35:AD$64)</f>
        <v>0</v>
      </c>
      <c r="AE66" s="100"/>
      <c r="AF66" s="91"/>
      <c r="AG66" s="209">
        <f>SUMIF($H$35:$H$64,"600000",AG$35:AG$64)+SUMIF($H$35:$H$64,"707900",AG$35:AG$64)+SUMIF($H$35:$H$64,"ITSYS_EXP",AG$35:AG$64)+SUMIF($H$35:$H$64,"700000",AG$35:AG$64)-SUMIF($H$35:$H$64,"TOTDEPTEXP",AG$35:AG$64)</f>
        <v>0</v>
      </c>
      <c r="AH66" s="100"/>
      <c r="AI66" s="91"/>
      <c r="AJ66" s="11"/>
      <c r="AK66" s="11"/>
      <c r="AL66" s="11"/>
      <c r="AM66" s="11"/>
      <c r="AN66" s="11"/>
      <c r="AO66" s="11"/>
    </row>
    <row r="67" spans="1:41" x14ac:dyDescent="0.35">
      <c r="A67" s="11"/>
      <c r="B67" s="11"/>
      <c r="C67" s="11"/>
      <c r="D67" s="11"/>
      <c r="E67" s="11"/>
      <c r="F67" s="11"/>
      <c r="G67" s="11"/>
      <c r="H67" s="11"/>
      <c r="I67" s="59"/>
      <c r="J67" s="59"/>
      <c r="K67" s="11"/>
      <c r="L67" s="59"/>
      <c r="M67" s="59"/>
      <c r="N67" s="104" t="str">
        <f>N64&amp;" - Check"</f>
        <v>Department Profit (Loss) - Check</v>
      </c>
      <c r="O67" s="209">
        <f t="shared" ref="O67:AA67" si="38">SUMIF($H$33:$H$64,"TOTDEPTEXP",O$33:O$64)+SUMIF($H$33:$H$64,"TOTDEPTPL",O$33:O$64)</f>
        <v>0</v>
      </c>
      <c r="P67" s="209">
        <f t="shared" si="38"/>
        <v>0</v>
      </c>
      <c r="Q67" s="209">
        <f t="shared" si="38"/>
        <v>0</v>
      </c>
      <c r="R67" s="209">
        <f t="shared" si="38"/>
        <v>0</v>
      </c>
      <c r="S67" s="209">
        <f t="shared" si="38"/>
        <v>0</v>
      </c>
      <c r="T67" s="209">
        <f t="shared" si="38"/>
        <v>0</v>
      </c>
      <c r="U67" s="209">
        <f t="shared" si="38"/>
        <v>0</v>
      </c>
      <c r="V67" s="209">
        <f t="shared" si="38"/>
        <v>0</v>
      </c>
      <c r="W67" s="209">
        <f t="shared" si="38"/>
        <v>0</v>
      </c>
      <c r="X67" s="209">
        <f t="shared" si="38"/>
        <v>0</v>
      </c>
      <c r="Y67" s="209">
        <f t="shared" si="38"/>
        <v>0</v>
      </c>
      <c r="Z67" s="209">
        <f t="shared" si="38"/>
        <v>0</v>
      </c>
      <c r="AA67" s="209">
        <f t="shared" si="38"/>
        <v>0</v>
      </c>
      <c r="AB67" s="100"/>
      <c r="AC67" s="11"/>
      <c r="AD67" s="209">
        <f>SUMIF($H$33:$H$64,"ROOMS_TOT",AD$33:AD$64)-SUMIF($H$33:$H$64,"TOTDEPTEXP",AD$33:AD$64)-SUMIF($H$33:$H$64,"TOTDEPTPL",AD$33:AD$64)</f>
        <v>0</v>
      </c>
      <c r="AE67" s="100"/>
      <c r="AF67" s="91"/>
      <c r="AG67" s="209">
        <f>SUMIF($H$33:$H$64,"ROOMS_TOT",AG$33:AG$64)-SUMIF($H$33:$H$64,"TOTDEPTEXP",AG$33:AG$64)-SUMIF($H$33:$H$64,"TOTDEPTPL",AG$33:AG$64)</f>
        <v>0</v>
      </c>
      <c r="AH67" s="100"/>
      <c r="AI67" s="91"/>
      <c r="AJ67" s="11"/>
      <c r="AK67" s="11"/>
      <c r="AL67" s="11"/>
      <c r="AM67" s="11"/>
      <c r="AN67" s="11"/>
      <c r="AO67" s="11"/>
    </row>
    <row r="68" spans="1:41" x14ac:dyDescent="0.35">
      <c r="A68" s="61" t="str">
        <f>IF(_epmOfflineCondition_,"Evdre:Ok",_xll.EVDRE($B$1,A71:B78,A81:B87))</f>
        <v>Evdre:Ok</v>
      </c>
      <c r="B68" s="11"/>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62" t="s">
        <v>0</v>
      </c>
      <c r="B70" s="63" t="s">
        <v>1</v>
      </c>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65" t="s">
        <v>2</v>
      </c>
      <c r="B71" s="66" t="str">
        <f>IF(_epmOfflineCondition_,"'IT'!$B$2:$B$10",_xll.EVRNG($B$2:$B$10))</f>
        <v>'IT'!$B$2:$B$10</v>
      </c>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65" t="s">
        <v>3</v>
      </c>
      <c r="B72" s="66" t="str">
        <f>IF(_epmOfflineCondition_,"'IT'!$O$16:$AN$18",_xll.EVRNG($O$16:$AN$18))</f>
        <v>'IT'!$O$16:$AN$18</v>
      </c>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65" t="s">
        <v>4</v>
      </c>
      <c r="B73" s="66" t="str">
        <f>IF(_epmOfflineCondition_,"'IT'!$H$47:$H$52,'IT'!$H$56:$H$60",_xll.EVRNG(H47:H52,H56:H60))</f>
        <v>'IT'!$H$47:$H$52,'IT'!$H$56:$H$60</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5</v>
      </c>
      <c r="B74" s="66"/>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65" t="s">
        <v>6</v>
      </c>
      <c r="B75" s="66"/>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7</v>
      </c>
      <c r="B76" s="66"/>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47</v>
      </c>
      <c r="B77" s="66" t="str">
        <f>IF(_epmOfflineCondition_,"'IT'!$A$105:$B$126",_xll.EVRNG($A$105:$B$126))</f>
        <v>'IT'!$A$105:$B$126</v>
      </c>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8</v>
      </c>
      <c r="B78" s="66"/>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2" t="s">
        <v>9</v>
      </c>
      <c r="B80" s="63" t="s">
        <v>10</v>
      </c>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11</v>
      </c>
      <c r="B81" s="66" t="s">
        <v>21</v>
      </c>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12</v>
      </c>
      <c r="B82" s="66" t="s">
        <v>22</v>
      </c>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13</v>
      </c>
      <c r="B83" s="66" t="s">
        <v>503</v>
      </c>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14</v>
      </c>
      <c r="B84" s="608"/>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15</v>
      </c>
      <c r="B85" s="66"/>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16</v>
      </c>
      <c r="B86" s="66" t="s">
        <v>78</v>
      </c>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17</v>
      </c>
      <c r="B87" s="66"/>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208"/>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1" t="str">
        <f>IF(_epmOfflineCondition_,"Evdre:Ok",_xll.EVDRE($B$1,A94:B101))</f>
        <v>Evdre:Ok</v>
      </c>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2" t="s">
        <v>0</v>
      </c>
      <c r="B93" s="63" t="s">
        <v>1</v>
      </c>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2</v>
      </c>
      <c r="B94" s="66" t="str">
        <f>IF(_epmOfflineCondition_,"'IT'!$B$2:$B$10",_xll.EVRNG($B$2:$B$10))</f>
        <v>'IT'!$B$2:$B$10</v>
      </c>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3</v>
      </c>
      <c r="B95" s="66" t="str">
        <f>IF(_epmOfflineCondition_,"'IT'!$O$16:$AN$18",_xll.EVRNG($O$16:$AN$18))</f>
        <v>'IT'!$O$16:$AN$18</v>
      </c>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4</v>
      </c>
      <c r="B96" s="66" t="str">
        <f>IF(_epmOfflineCondition_,"'IT'!$H$63:$H$64",_xll.EVRNG(H63:H64))</f>
        <v>'IT'!$H$63:$H$64</v>
      </c>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5</v>
      </c>
      <c r="B97" s="66"/>
      <c r="C97" s="11"/>
      <c r="D97" s="11"/>
      <c r="E97" s="11"/>
      <c r="F97" s="11"/>
      <c r="G97" s="11"/>
      <c r="H97" s="11"/>
      <c r="I97" s="59"/>
      <c r="J97" s="59"/>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6</v>
      </c>
      <c r="B98" s="66"/>
      <c r="C98" s="11"/>
      <c r="D98" s="11"/>
      <c r="E98" s="11"/>
      <c r="F98" s="11"/>
      <c r="G98" s="11"/>
      <c r="H98" s="11"/>
      <c r="I98" s="59"/>
      <c r="J98" s="59"/>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7</v>
      </c>
      <c r="B99" s="66"/>
      <c r="C99" s="11"/>
      <c r="D99" s="11"/>
      <c r="E99" s="11"/>
      <c r="F99" s="11"/>
      <c r="G99" s="11"/>
      <c r="H99" s="11"/>
      <c r="I99" s="59"/>
      <c r="J99" s="59"/>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47</v>
      </c>
      <c r="B100" s="66" t="str">
        <f>IF(_epmOfflineCondition_,"'IT'!$A$105:$B$126",_xll.EVRNG($A$105:$B$126))</f>
        <v>'IT'!$A$105:$B$126</v>
      </c>
      <c r="C100" s="11"/>
      <c r="D100" s="11"/>
      <c r="E100" s="11"/>
      <c r="F100" s="11"/>
      <c r="G100" s="11"/>
      <c r="H100" s="11"/>
      <c r="I100" s="59"/>
      <c r="J100" s="59"/>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5" t="s">
        <v>8</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11"/>
      <c r="I102" s="59"/>
      <c r="J102" s="59"/>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11"/>
      <c r="I103" s="59"/>
      <c r="J103" s="59"/>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62" t="s">
        <v>23</v>
      </c>
      <c r="B104" s="63" t="s">
        <v>24</v>
      </c>
      <c r="C104" s="11"/>
      <c r="D104" s="11"/>
      <c r="E104" s="11"/>
      <c r="F104" s="11"/>
      <c r="G104" s="11"/>
      <c r="H104" s="11"/>
      <c r="I104" s="59"/>
      <c r="J104" s="59"/>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65" t="s">
        <v>25</v>
      </c>
      <c r="B105" s="66"/>
      <c r="C105" s="11"/>
      <c r="D105" s="11"/>
      <c r="E105" s="11"/>
      <c r="F105" s="11"/>
      <c r="G105" s="11"/>
      <c r="H105" s="11"/>
      <c r="I105" s="59"/>
      <c r="J105" s="59"/>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65" t="s">
        <v>26</v>
      </c>
      <c r="B106" s="66"/>
      <c r="C106" s="11"/>
      <c r="D106" s="11"/>
      <c r="E106" s="11"/>
      <c r="F106" s="11"/>
      <c r="G106" s="11"/>
      <c r="H106" s="11"/>
      <c r="I106" s="59"/>
      <c r="J106" s="59"/>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65" t="s">
        <v>27</v>
      </c>
      <c r="B107" s="66"/>
      <c r="C107" s="11"/>
      <c r="D107" s="11"/>
      <c r="E107" s="11"/>
      <c r="F107" s="11"/>
      <c r="G107" s="11"/>
      <c r="H107" s="11"/>
      <c r="I107" s="59"/>
      <c r="J107" s="59"/>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35">
      <c r="A108" s="65" t="s">
        <v>28</v>
      </c>
      <c r="B108" s="66"/>
      <c r="C108" s="11"/>
      <c r="D108" s="11"/>
      <c r="E108" s="11"/>
      <c r="F108" s="11"/>
      <c r="G108" s="11"/>
      <c r="H108" s="11"/>
      <c r="I108" s="59"/>
      <c r="J108" s="59"/>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35">
      <c r="A109" s="65" t="s">
        <v>29</v>
      </c>
      <c r="B109" s="66"/>
      <c r="C109" s="11"/>
      <c r="D109" s="11"/>
      <c r="E109" s="11"/>
      <c r="F109" s="11"/>
      <c r="G109" s="11"/>
      <c r="H109" s="11"/>
      <c r="I109" s="59"/>
      <c r="J109" s="59"/>
      <c r="K109" s="11"/>
      <c r="L109" s="59"/>
      <c r="M109" s="59"/>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35">
      <c r="A110" s="65" t="s">
        <v>30</v>
      </c>
      <c r="B110" s="66" t="s">
        <v>78</v>
      </c>
      <c r="C110" s="11"/>
      <c r="D110" s="11"/>
      <c r="E110" s="11"/>
      <c r="F110" s="11"/>
      <c r="G110" s="11"/>
      <c r="H110" s="11"/>
      <c r="I110" s="59"/>
      <c r="J110" s="59"/>
      <c r="K110" s="11"/>
      <c r="L110" s="59"/>
      <c r="M110" s="59"/>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35">
      <c r="A111" s="65" t="s">
        <v>31</v>
      </c>
      <c r="B111" s="66" t="s">
        <v>78</v>
      </c>
      <c r="C111" s="11"/>
      <c r="D111" s="11"/>
      <c r="E111" s="11"/>
      <c r="F111" s="11"/>
      <c r="G111" s="11"/>
      <c r="H111" s="11"/>
      <c r="I111" s="59"/>
      <c r="J111" s="59"/>
      <c r="K111" s="11"/>
      <c r="L111" s="59"/>
      <c r="M111" s="59"/>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35">
      <c r="A112" s="65" t="s">
        <v>32</v>
      </c>
      <c r="B112" s="66"/>
      <c r="C112" s="11"/>
      <c r="D112" s="11"/>
      <c r="E112" s="11"/>
      <c r="F112" s="11"/>
      <c r="G112" s="11"/>
      <c r="H112" s="11"/>
      <c r="I112" s="59"/>
      <c r="J112" s="59"/>
      <c r="K112" s="11"/>
      <c r="L112" s="59"/>
      <c r="M112" s="59"/>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35">
      <c r="A113" s="65" t="s">
        <v>33</v>
      </c>
      <c r="B113" s="66"/>
      <c r="C113" s="11"/>
      <c r="D113" s="11"/>
      <c r="E113" s="11"/>
      <c r="F113" s="11"/>
      <c r="G113" s="11"/>
      <c r="H113" s="11"/>
      <c r="I113" s="59"/>
      <c r="J113" s="59"/>
      <c r="K113" s="11"/>
      <c r="L113" s="59"/>
      <c r="M113" s="59"/>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35">
      <c r="A114" s="65" t="s">
        <v>34</v>
      </c>
      <c r="B114" s="66"/>
      <c r="C114" s="11"/>
      <c r="D114" s="11"/>
      <c r="E114" s="11"/>
      <c r="F114" s="11"/>
      <c r="G114" s="11"/>
      <c r="H114" s="11"/>
      <c r="I114" s="59"/>
      <c r="J114" s="59"/>
      <c r="K114" s="11"/>
      <c r="L114" s="59"/>
      <c r="M114" s="59"/>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35">
      <c r="A115" s="65" t="s">
        <v>35</v>
      </c>
      <c r="B115" s="66"/>
      <c r="C115" s="11"/>
      <c r="D115" s="11"/>
      <c r="E115" s="11"/>
      <c r="F115" s="11"/>
      <c r="G115" s="11"/>
      <c r="H115" s="11"/>
      <c r="I115" s="59"/>
      <c r="J115" s="59"/>
      <c r="K115" s="11"/>
      <c r="L115" s="59"/>
      <c r="M115" s="59"/>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35">
      <c r="A116" s="65" t="s">
        <v>36</v>
      </c>
      <c r="B116" s="66"/>
      <c r="C116" s="11"/>
      <c r="D116" s="11"/>
      <c r="E116" s="11"/>
      <c r="F116" s="11"/>
      <c r="G116" s="11"/>
      <c r="H116" s="11"/>
      <c r="I116" s="59"/>
      <c r="J116" s="59"/>
      <c r="K116" s="11"/>
      <c r="L116" s="59"/>
      <c r="M116" s="59"/>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35">
      <c r="A117" s="65" t="s">
        <v>37</v>
      </c>
      <c r="B117" s="66"/>
      <c r="C117" s="11"/>
      <c r="D117" s="11"/>
      <c r="E117" s="11"/>
      <c r="F117" s="11"/>
      <c r="G117" s="11"/>
      <c r="H117" s="11"/>
      <c r="I117" s="59"/>
      <c r="J117" s="59"/>
      <c r="K117" s="11"/>
      <c r="L117" s="59"/>
      <c r="M117" s="59"/>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35">
      <c r="A118" s="65" t="s">
        <v>38</v>
      </c>
      <c r="B118" s="66"/>
      <c r="C118" s="11"/>
      <c r="D118" s="11"/>
      <c r="E118" s="11"/>
      <c r="F118" s="11"/>
      <c r="G118" s="11"/>
      <c r="H118" s="11"/>
      <c r="I118" s="59"/>
      <c r="J118" s="59"/>
      <c r="K118" s="11"/>
      <c r="L118" s="59"/>
      <c r="M118" s="59"/>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35">
      <c r="A119" s="65" t="s">
        <v>39</v>
      </c>
      <c r="B119" s="66"/>
      <c r="C119" s="11"/>
      <c r="D119" s="11"/>
      <c r="E119" s="11"/>
      <c r="F119" s="11"/>
      <c r="G119" s="11"/>
      <c r="H119" s="11"/>
      <c r="I119" s="59"/>
      <c r="J119" s="59"/>
      <c r="K119" s="11"/>
      <c r="L119" s="59"/>
      <c r="M119" s="59"/>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35">
      <c r="A120" s="65" t="s">
        <v>40</v>
      </c>
      <c r="B120" s="66"/>
      <c r="C120" s="11"/>
      <c r="D120" s="11"/>
      <c r="E120" s="11"/>
      <c r="F120" s="11"/>
      <c r="G120" s="11"/>
      <c r="H120" s="11"/>
      <c r="I120" s="59"/>
      <c r="J120" s="59"/>
      <c r="K120" s="11"/>
      <c r="L120" s="59"/>
      <c r="M120" s="59"/>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35">
      <c r="A121" s="65" t="s">
        <v>41</v>
      </c>
      <c r="B121" s="66"/>
      <c r="C121" s="11"/>
      <c r="D121" s="11"/>
      <c r="E121" s="11"/>
      <c r="F121" s="11"/>
      <c r="G121" s="11"/>
      <c r="H121" s="11"/>
      <c r="I121" s="59"/>
      <c r="J121" s="59"/>
      <c r="K121" s="11"/>
      <c r="L121" s="59"/>
      <c r="M121" s="59"/>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35">
      <c r="A122" s="65" t="s">
        <v>42</v>
      </c>
      <c r="B122" s="66"/>
      <c r="C122" s="11"/>
      <c r="D122" s="11"/>
      <c r="E122" s="11"/>
      <c r="F122" s="11"/>
      <c r="G122" s="11"/>
      <c r="H122" s="11"/>
      <c r="I122" s="59"/>
      <c r="J122" s="59"/>
      <c r="K122" s="11"/>
      <c r="L122" s="59"/>
      <c r="M122" s="59"/>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35">
      <c r="A123" s="65" t="s">
        <v>43</v>
      </c>
      <c r="B123" s="66"/>
      <c r="C123" s="11"/>
      <c r="D123" s="11"/>
      <c r="E123" s="11"/>
      <c r="F123" s="11"/>
      <c r="G123" s="11"/>
      <c r="H123" s="11"/>
      <c r="I123" s="59"/>
      <c r="J123" s="59"/>
      <c r="K123" s="11"/>
      <c r="L123" s="59"/>
      <c r="M123" s="59"/>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35">
      <c r="A124" s="65" t="s">
        <v>44</v>
      </c>
      <c r="B124" s="66"/>
      <c r="C124" s="11"/>
      <c r="D124" s="11"/>
      <c r="E124" s="11"/>
      <c r="F124" s="11"/>
      <c r="G124" s="11"/>
      <c r="H124" s="11"/>
      <c r="I124" s="59"/>
      <c r="J124" s="59"/>
      <c r="K124" s="11"/>
      <c r="L124" s="59"/>
      <c r="M124" s="59"/>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35">
      <c r="A125" s="65" t="s">
        <v>45</v>
      </c>
      <c r="B125" s="66"/>
      <c r="C125" s="11"/>
      <c r="D125" s="11"/>
      <c r="E125" s="11"/>
      <c r="F125" s="11"/>
      <c r="G125" s="11"/>
      <c r="H125" s="11"/>
      <c r="I125" s="59"/>
      <c r="J125" s="59"/>
      <c r="K125" s="11"/>
      <c r="L125" s="59"/>
      <c r="M125" s="59"/>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35">
      <c r="A126" s="65" t="s">
        <v>46</v>
      </c>
      <c r="B126" s="66"/>
      <c r="C126" s="11"/>
      <c r="D126" s="11"/>
      <c r="E126" s="11"/>
      <c r="F126" s="11"/>
      <c r="G126" s="11"/>
      <c r="H126" s="11"/>
      <c r="I126" s="59"/>
      <c r="J126" s="59"/>
      <c r="K126" s="11"/>
      <c r="L126" s="59"/>
      <c r="M126" s="59"/>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sheetData>
  <sheetProtection algorithmName="SHA-512" hashValue="wGkE5xtBaPFlvTp4NvIwXM2I+Yl+P/p4py+Xpf94IvOK9DovG/33s1UBQXZmlP8tDds5R+aTqP1Rp4mLElEK3w==" saltValue="F+ngesYe41CMx1JJ8qyE3A==" spinCount="100000" sheet="1" scenarios="1"/>
  <mergeCells count="2">
    <mergeCell ref="AD31:AE31"/>
    <mergeCell ref="AG31:AH31"/>
  </mergeCells>
  <dataValidations count="2">
    <dataValidation type="list" allowBlank="1" sqref="B82 B28 B59" xr:uid="{00000000-0002-0000-2800-000000000000}">
      <formula1>"ACCOUNT,BUSINESSUNIT,CATEGORY,DATASRC,DEPARTMENT,INTCO,MEASURES,RPTCURRENCY,TIME"</formula1>
    </dataValidation>
    <dataValidation type="list" allowBlank="1" sqref="B83 B29 B60" xr:uid="{00000000-0002-0000-28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6326"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6326" r:id="rId7" name="FPMExcelClientSheetOptionstb1"/>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pageSetUpPr fitToPage="1"/>
  </sheetPr>
  <dimension ref="A1:AO10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512</v>
      </c>
      <c r="C6" s="11" t="str">
        <f>IF(_epmOfflineCondition_,"Sales &amp; Marketing",_xll.EVDES(B6,$B$1))</f>
        <v>Sales &amp; Marketing</v>
      </c>
      <c r="D6" s="11"/>
      <c r="E6" s="58" t="str">
        <f>IF(_epmOfflineCondition_,"D_SM",_xll.EVPRO($B$1,$B$6,$F$6))</f>
        <v>D_SM</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IF(_epmOfflineCondition_,"'SM'!$B$2:$B$10",_xll.EVRNG($B$2:$B$10))</f>
        <v>'SM'!$B$2:$B$10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IF(_epmOfflineCondition_,"'SM'!$O$16:$AN$18",_xll.EVRNG($O$16:$AN$18))</f>
        <v>'SM'!$O$16:$AN$18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IF(_epmOfflineCondition_,"'SM'!$H$35:$H$36,'SM'!$H$38:$H$47,'SM'!$H$50:$H$71",_xll.EVRNG(H35:H36,H38:H47,H50:H71))</f>
        <v>'SM'!$H$35:$H$36,'SM'!$H$38:$H$47,'SM'!$H$50:$H$71</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IF(_epmOfflineCondition_,"'SM'!$A$36:$F$42",_xll.EVRNG(A36:F42))</f>
        <v>'SM'!$A$36:$F$42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IF(_epmOfflineCondition_,"'SM'!$A$59:$B$80",_xll.EVRNG($A$59:$B$80))</f>
        <v>'SM'!$A$59:$B$80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IF(_epmOfflineCondition_,"Sales &amp; Marketing Department",IF(_xll.EVDES(B6,$B$1)="#NODATA","",_xll.EVDES(B6,$B$1)&amp;" Department"))</f>
        <v>Sales &amp; Marketing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735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ht="15" customHeight="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859</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10">
        <v>16821.580000000002</v>
      </c>
      <c r="P35" s="210">
        <v>9070.02</v>
      </c>
      <c r="Q35" s="210">
        <v>7890.38</v>
      </c>
      <c r="R35" s="210">
        <v>3315.44</v>
      </c>
      <c r="S35" s="210">
        <v>3234.59</v>
      </c>
      <c r="T35" s="210">
        <v>3833.78</v>
      </c>
      <c r="U35" s="210">
        <v>6280.92</v>
      </c>
      <c r="V35" s="210">
        <v>6423.8</v>
      </c>
      <c r="W35" s="210">
        <v>6573.94</v>
      </c>
      <c r="X35" s="210">
        <v>10450.74</v>
      </c>
      <c r="Y35" s="210">
        <v>9623.7800000000007</v>
      </c>
      <c r="Z35" s="210">
        <v>9211.0300000000007</v>
      </c>
      <c r="AA35" s="210">
        <f t="shared" ref="AA35:AA47" si="1">IF($I35="B1","",SUM(O35:Z35))</f>
        <v>92730.000000000015</v>
      </c>
      <c r="AB35" s="211">
        <f t="shared" ref="AB35:AB47" si="2">IF(AA35=0,"",IFERROR(AA35/AA$19,""))</f>
        <v>1.7787042990649923E-2</v>
      </c>
      <c r="AC35" s="140"/>
      <c r="AD35" s="143">
        <v>270107.51970961801</v>
      </c>
      <c r="AE35" s="144">
        <f t="shared" ref="AE35:AE47" si="3">IF(AD35=0,"",IFERROR(AD35/AD$19,""))</f>
        <v>2.0822749224333036E-2</v>
      </c>
      <c r="AF35" s="145">
        <f t="shared" ref="AF35:AF47" si="4">IF(AND($AA35="",AD35=""),"",$AA35-AD35)</f>
        <v>-177377.51970961801</v>
      </c>
      <c r="AG35" s="143">
        <v>255444.44</v>
      </c>
      <c r="AH35" s="144">
        <f t="shared" ref="AH35:AH47" si="5">IF(AG35=0,"",IFERROR(AG35/AG$19,""))</f>
        <v>3.0460857428587791E-2</v>
      </c>
      <c r="AI35" s="145">
        <f t="shared" ref="AI35:AI47" si="6">IF(AND($AA35="",AG35=""),"",$AA35-AG35)</f>
        <v>-162714.44</v>
      </c>
      <c r="AJ35" s="440">
        <f t="shared" ref="AJ35:AJ47" si="7">IFERROR(AA35/AA$20,0)</f>
        <v>1.9193989071038255</v>
      </c>
      <c r="AK35" s="441">
        <f t="shared" ref="AK35:AK47" si="8">IFERROR(AD35/AD$20,0)</f>
        <v>5.590899149478763</v>
      </c>
      <c r="AL35" s="442">
        <f t="shared" ref="AL35:AL47" si="9">IFERROR(AG35/AG$20,0)</f>
        <v>5.3018771274387717</v>
      </c>
      <c r="AM35" s="443" t="str">
        <f t="shared" ref="AM35:AM47" si="10">+IFERROR(ROUND(($AB35-AE35)*100,2)&amp;" pts.",0)</f>
        <v>-0.3 pts.</v>
      </c>
      <c r="AN35" s="444" t="str">
        <f t="shared" ref="AN35:AN47" si="11">+IFERROR(ROUND(($AB35-AH35)*100,2)&amp;" pts.",0)</f>
        <v>-1.27 pts.</v>
      </c>
      <c r="AO35" s="11"/>
    </row>
    <row r="36" spans="1:41" hidden="1" x14ac:dyDescent="0.35">
      <c r="A36" s="11"/>
      <c r="B36" s="11"/>
      <c r="C36" s="11"/>
      <c r="D36" s="11"/>
      <c r="E36" s="11"/>
      <c r="F36" s="11"/>
      <c r="G36" s="11"/>
      <c r="H36" s="88"/>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10"/>
      <c r="P36" s="210"/>
      <c r="Q36" s="210"/>
      <c r="R36" s="210"/>
      <c r="S36" s="210"/>
      <c r="T36" s="210"/>
      <c r="U36" s="210"/>
      <c r="V36" s="210"/>
      <c r="W36" s="210"/>
      <c r="X36" s="210"/>
      <c r="Y36" s="210"/>
      <c r="Z36" s="210"/>
      <c r="AA36" s="210">
        <f t="shared" si="1"/>
        <v>0</v>
      </c>
      <c r="AB36" s="211"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 t="shared" si="0"/>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t="str">
        <f t="shared" si="2"/>
        <v/>
      </c>
      <c r="AC37" s="11"/>
      <c r="AD37" s="91"/>
      <c r="AE37" s="100" t="str">
        <f t="shared" si="3"/>
        <v/>
      </c>
      <c r="AF37" s="92" t="str">
        <f t="shared" si="4"/>
        <v/>
      </c>
      <c r="AG37" s="91"/>
      <c r="AH37" s="100" t="str">
        <f t="shared" si="5"/>
        <v/>
      </c>
      <c r="AI37" s="92" t="str">
        <f t="shared" si="6"/>
        <v/>
      </c>
      <c r="AJ37" s="397">
        <f t="shared" si="7"/>
        <v>0</v>
      </c>
      <c r="AK37" s="398">
        <f t="shared" si="8"/>
        <v>0</v>
      </c>
      <c r="AL37" s="399">
        <f t="shared" si="9"/>
        <v>0</v>
      </c>
      <c r="AM37" s="400">
        <f t="shared" si="10"/>
        <v>0</v>
      </c>
      <c r="AN37" s="401">
        <f t="shared" si="11"/>
        <v>0</v>
      </c>
      <c r="AO37" s="11"/>
    </row>
    <row r="38" spans="1:41" x14ac:dyDescent="0.35">
      <c r="A38" s="11" t="s">
        <v>100</v>
      </c>
      <c r="B38" s="11"/>
      <c r="C38" s="53" t="s">
        <v>101</v>
      </c>
      <c r="D38" s="11" t="s">
        <v>106</v>
      </c>
      <c r="E38" s="11"/>
      <c r="F38" s="11" t="s">
        <v>98</v>
      </c>
      <c r="G38" s="11"/>
      <c r="H38" s="88" t="s">
        <v>954</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IF(_epmOfflineCondition_,"Non-Mgmt. (Sales &amp; Marketing)",IF(_xll.EVDES(H38,$B$1)="#NODATA","",_xll.EVDES(H38,$B$1)))</f>
        <v>Non-Mgmt. (Sales &amp; Marketing)</v>
      </c>
      <c r="O38" s="216">
        <v>505.54</v>
      </c>
      <c r="P38" s="216">
        <v>431.95</v>
      </c>
      <c r="Q38" s="216">
        <v>320.51</v>
      </c>
      <c r="R38" s="216"/>
      <c r="S38" s="216"/>
      <c r="T38" s="216">
        <v>1300</v>
      </c>
      <c r="U38" s="216">
        <v>-894.79</v>
      </c>
      <c r="V38" s="216">
        <v>-309.45999999999998</v>
      </c>
      <c r="W38" s="216"/>
      <c r="X38" s="216"/>
      <c r="Y38" s="216"/>
      <c r="Z38" s="216"/>
      <c r="AA38" s="216">
        <f t="shared" si="1"/>
        <v>1353.75</v>
      </c>
      <c r="AB38" s="218">
        <f t="shared" si="2"/>
        <v>2.5967011159918393E-4</v>
      </c>
      <c r="AC38" s="140"/>
      <c r="AD38" s="217">
        <v>37645.714285714101</v>
      </c>
      <c r="AE38" s="219">
        <f t="shared" si="3"/>
        <v>2.9021304878333004E-3</v>
      </c>
      <c r="AF38" s="220">
        <f t="shared" si="4"/>
        <v>-36291.964285714101</v>
      </c>
      <c r="AG38" s="217">
        <v>46703.07</v>
      </c>
      <c r="AH38" s="219">
        <f t="shared" si="5"/>
        <v>5.5691780049992694E-3</v>
      </c>
      <c r="AI38" s="220">
        <f t="shared" si="6"/>
        <v>-45349.32</v>
      </c>
      <c r="AJ38" s="449">
        <f t="shared" si="7"/>
        <v>2.8020988574267262E-2</v>
      </c>
      <c r="AK38" s="450">
        <f t="shared" si="8"/>
        <v>0.77922077922077537</v>
      </c>
      <c r="AL38" s="451">
        <f t="shared" si="9"/>
        <v>0.96934557907845575</v>
      </c>
      <c r="AM38" s="452" t="str">
        <f t="shared" si="10"/>
        <v>-0.26 pts.</v>
      </c>
      <c r="AN38" s="453" t="str">
        <f t="shared" si="11"/>
        <v>-0.53 pts.</v>
      </c>
      <c r="AO38" s="11"/>
    </row>
    <row r="39" spans="1:41" x14ac:dyDescent="0.35">
      <c r="A39" s="11" t="s">
        <v>109</v>
      </c>
      <c r="B39" s="11"/>
      <c r="C39" s="106" t="s">
        <v>101</v>
      </c>
      <c r="D39" s="11" t="s">
        <v>106</v>
      </c>
      <c r="E39" s="11"/>
      <c r="F39" s="11" t="s">
        <v>98</v>
      </c>
      <c r="G39" s="11"/>
      <c r="H39" s="88" t="s">
        <v>852</v>
      </c>
      <c r="I39" s="188" t="str">
        <f>IF(_epmOfflineCondition_,"T2",_xll.EVPRO($B$1,$H39,"STYLE"))</f>
        <v>T2</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IF(_epmOfflineCondition_,"Total Salaries and Wages",IF(_xll.EVDES(H39,$B$1)="#NODATA","",_xll.EVDES(H39,$B$1)))</f>
        <v>Total Salaries and Wages</v>
      </c>
      <c r="O39" s="225">
        <v>17327.12</v>
      </c>
      <c r="P39" s="225">
        <v>9501.9699999999993</v>
      </c>
      <c r="Q39" s="225">
        <v>8210.89</v>
      </c>
      <c r="R39" s="225">
        <v>3315.44</v>
      </c>
      <c r="S39" s="225">
        <v>3234.59</v>
      </c>
      <c r="T39" s="225">
        <v>5133.78</v>
      </c>
      <c r="U39" s="225">
        <v>5386.13</v>
      </c>
      <c r="V39" s="225">
        <v>6114.34</v>
      </c>
      <c r="W39" s="225">
        <v>6573.94</v>
      </c>
      <c r="X39" s="225">
        <v>10450.74</v>
      </c>
      <c r="Y39" s="225">
        <v>9623.7800000000007</v>
      </c>
      <c r="Z39" s="225">
        <v>9211.0300000000007</v>
      </c>
      <c r="AA39" s="225">
        <f t="shared" si="1"/>
        <v>94083.75</v>
      </c>
      <c r="AB39" s="226">
        <f t="shared" si="2"/>
        <v>1.8046713102249104E-2</v>
      </c>
      <c r="AC39" s="227"/>
      <c r="AD39" s="225">
        <v>307753.23399533198</v>
      </c>
      <c r="AE39" s="226">
        <f t="shared" si="3"/>
        <v>2.3724879712166327E-2</v>
      </c>
      <c r="AF39" s="228">
        <f t="shared" si="4"/>
        <v>-213669.48399533198</v>
      </c>
      <c r="AG39" s="225">
        <v>302147.51</v>
      </c>
      <c r="AH39" s="226">
        <f t="shared" si="5"/>
        <v>3.6030035433587064E-2</v>
      </c>
      <c r="AI39" s="228">
        <f t="shared" si="6"/>
        <v>-208063.76</v>
      </c>
      <c r="AJ39" s="229">
        <f t="shared" si="7"/>
        <v>1.9474198956780924</v>
      </c>
      <c r="AK39" s="230">
        <f t="shared" si="8"/>
        <v>6.3701199286995358</v>
      </c>
      <c r="AL39" s="232">
        <f t="shared" si="9"/>
        <v>6.2712227065172277</v>
      </c>
      <c r="AM39" s="427" t="str">
        <f t="shared" si="10"/>
        <v>-0.57 pts.</v>
      </c>
      <c r="AN39" s="456" t="str">
        <f t="shared" si="11"/>
        <v>-1.8 pts.</v>
      </c>
      <c r="AO39" s="11"/>
    </row>
    <row r="40" spans="1:41" x14ac:dyDescent="0.35">
      <c r="A40" s="11" t="s">
        <v>109</v>
      </c>
      <c r="B40" s="11"/>
      <c r="C40" s="196" t="s">
        <v>101</v>
      </c>
      <c r="D40" s="11" t="s">
        <v>107</v>
      </c>
      <c r="E40" s="11"/>
      <c r="F40" s="11" t="s">
        <v>99</v>
      </c>
      <c r="G40" s="11"/>
      <c r="H40" s="88" t="s">
        <v>874</v>
      </c>
      <c r="I40" s="122" t="str">
        <f>IF(_epmOfflineCondition_,"T3",_xll.EVPRO($B$1,$H40,"STYLE"))</f>
        <v>T3</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IF(_epmOfflineCondition_,"Contracted &amp; Leased Labor",IF(_xll.EVDES(H40,$B$1)="#NODATA","",_xll.EVDES(H40,$B$1)))</f>
        <v>Contracted &amp; Leased Labor</v>
      </c>
      <c r="O40" s="216">
        <v>7480</v>
      </c>
      <c r="P40" s="216">
        <v>10600</v>
      </c>
      <c r="Q40" s="216">
        <v>5000</v>
      </c>
      <c r="R40" s="216"/>
      <c r="S40" s="216">
        <v>4000</v>
      </c>
      <c r="T40" s="216">
        <v>-1766.67</v>
      </c>
      <c r="U40" s="216">
        <v>800</v>
      </c>
      <c r="V40" s="216">
        <v>1300</v>
      </c>
      <c r="W40" s="216">
        <v>1300</v>
      </c>
      <c r="X40" s="216">
        <v>1300</v>
      </c>
      <c r="Y40" s="216">
        <v>2600</v>
      </c>
      <c r="Z40" s="216"/>
      <c r="AA40" s="216">
        <f t="shared" si="1"/>
        <v>32613.33</v>
      </c>
      <c r="AB40" s="218">
        <f t="shared" si="2"/>
        <v>6.2557392729241101E-3</v>
      </c>
      <c r="AC40" s="140"/>
      <c r="AD40" s="216"/>
      <c r="AE40" s="218" t="str">
        <f t="shared" si="3"/>
        <v/>
      </c>
      <c r="AF40" s="233">
        <f t="shared" si="4"/>
        <v>32613.33</v>
      </c>
      <c r="AG40" s="216">
        <v>18480</v>
      </c>
      <c r="AH40" s="218">
        <f t="shared" si="5"/>
        <v>2.2036754657110656E-3</v>
      </c>
      <c r="AI40" s="233">
        <f t="shared" si="6"/>
        <v>14133.330000000002</v>
      </c>
      <c r="AJ40" s="537">
        <f t="shared" si="7"/>
        <v>0.6750565076999504</v>
      </c>
      <c r="AK40" s="538">
        <f t="shared" si="8"/>
        <v>0</v>
      </c>
      <c r="AL40" s="539">
        <f t="shared" si="9"/>
        <v>0.38356164383561642</v>
      </c>
      <c r="AM40" s="540">
        <f t="shared" si="10"/>
        <v>0</v>
      </c>
      <c r="AN40" s="541" t="str">
        <f t="shared" si="11"/>
        <v>0.41 pts.</v>
      </c>
      <c r="AO40" s="11"/>
    </row>
    <row r="41" spans="1:41" x14ac:dyDescent="0.35">
      <c r="A41" s="11" t="s">
        <v>110</v>
      </c>
      <c r="B41" s="11"/>
      <c r="C41" s="106" t="s">
        <v>101</v>
      </c>
      <c r="D41" s="11" t="s">
        <v>106</v>
      </c>
      <c r="E41" s="11"/>
      <c r="F41" s="11" t="s">
        <v>98</v>
      </c>
      <c r="G41" s="11"/>
      <c r="H41" s="88" t="s">
        <v>853</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16">
        <v>4449.75</v>
      </c>
      <c r="P41" s="216">
        <v>-422.780000000001</v>
      </c>
      <c r="Q41" s="216">
        <v>1268.75</v>
      </c>
      <c r="R41" s="216"/>
      <c r="S41" s="216"/>
      <c r="T41" s="216"/>
      <c r="U41" s="216"/>
      <c r="V41" s="216"/>
      <c r="W41" s="216"/>
      <c r="X41" s="216">
        <v>-7974.6</v>
      </c>
      <c r="Y41" s="216"/>
      <c r="Z41" s="216">
        <v>-1993.65</v>
      </c>
      <c r="AA41" s="216">
        <f t="shared" si="1"/>
        <v>-4672.5300000000007</v>
      </c>
      <c r="AB41" s="218">
        <f t="shared" si="2"/>
        <v>-8.9626325876309147E-4</v>
      </c>
      <c r="AC41" s="140"/>
      <c r="AD41" s="217">
        <v>57892.5155702103</v>
      </c>
      <c r="AE41" s="219">
        <f t="shared" si="3"/>
        <v>4.4629684319053781E-3</v>
      </c>
      <c r="AF41" s="220">
        <f t="shared" si="4"/>
        <v>-62565.045570210299</v>
      </c>
      <c r="AG41" s="217">
        <v>68107.929999999993</v>
      </c>
      <c r="AH41" s="219">
        <f t="shared" si="5"/>
        <v>8.1216328117622635E-3</v>
      </c>
      <c r="AI41" s="220">
        <f t="shared" si="6"/>
        <v>-72780.459999999992</v>
      </c>
      <c r="AJ41" s="449">
        <f t="shared" si="7"/>
        <v>-9.671572280178839E-2</v>
      </c>
      <c r="AK41" s="450">
        <f t="shared" si="8"/>
        <v>1.198305091286022</v>
      </c>
      <c r="AL41" s="451">
        <f t="shared" si="9"/>
        <v>1.4136141552511414</v>
      </c>
      <c r="AM41" s="452" t="str">
        <f t="shared" si="10"/>
        <v>-0.54 pts.</v>
      </c>
      <c r="AN41" s="453" t="str">
        <f t="shared" si="11"/>
        <v>-0.9 pts.</v>
      </c>
      <c r="AO41" s="11"/>
    </row>
    <row r="42" spans="1:41" x14ac:dyDescent="0.35">
      <c r="A42" s="11" t="s">
        <v>110</v>
      </c>
      <c r="B42" s="11"/>
      <c r="C42" s="109" t="s">
        <v>101</v>
      </c>
      <c r="D42" s="11" t="s">
        <v>107</v>
      </c>
      <c r="E42" s="11"/>
      <c r="F42" s="11" t="s">
        <v>99</v>
      </c>
      <c r="G42" s="11"/>
      <c r="H42" s="88" t="s">
        <v>854</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5">
        <v>29256.87</v>
      </c>
      <c r="P42" s="225">
        <v>19679.189999999999</v>
      </c>
      <c r="Q42" s="225">
        <v>14479.64</v>
      </c>
      <c r="R42" s="225">
        <v>3315.44</v>
      </c>
      <c r="S42" s="225">
        <v>7234.59</v>
      </c>
      <c r="T42" s="225">
        <v>3367.11</v>
      </c>
      <c r="U42" s="225">
        <v>6186.13</v>
      </c>
      <c r="V42" s="225">
        <v>7414.34</v>
      </c>
      <c r="W42" s="225">
        <v>7873.94</v>
      </c>
      <c r="X42" s="225">
        <v>3776.14</v>
      </c>
      <c r="Y42" s="225">
        <v>12223.78</v>
      </c>
      <c r="Z42" s="225">
        <v>7217.38</v>
      </c>
      <c r="AA42" s="225">
        <f t="shared" si="1"/>
        <v>122024.55</v>
      </c>
      <c r="AB42" s="226">
        <f t="shared" si="2"/>
        <v>2.3406189116410122E-2</v>
      </c>
      <c r="AC42" s="227"/>
      <c r="AD42" s="225">
        <v>365645.74956554302</v>
      </c>
      <c r="AE42" s="226">
        <f t="shared" si="3"/>
        <v>2.8187848144071763E-2</v>
      </c>
      <c r="AF42" s="228">
        <f t="shared" si="4"/>
        <v>-243621.19956554304</v>
      </c>
      <c r="AG42" s="225">
        <v>388735.44</v>
      </c>
      <c r="AH42" s="226">
        <f t="shared" si="5"/>
        <v>4.6355343711060391E-2</v>
      </c>
      <c r="AI42" s="228">
        <f t="shared" si="6"/>
        <v>-266710.89</v>
      </c>
      <c r="AJ42" s="229">
        <f t="shared" si="7"/>
        <v>2.5257606805762545</v>
      </c>
      <c r="AK42" s="230">
        <f t="shared" si="8"/>
        <v>7.5684250199855736</v>
      </c>
      <c r="AL42" s="232">
        <f t="shared" si="9"/>
        <v>8.0683985056039855</v>
      </c>
      <c r="AM42" s="427" t="str">
        <f t="shared" si="10"/>
        <v>-0.48 pts.</v>
      </c>
      <c r="AN42" s="456" t="str">
        <f t="shared" si="11"/>
        <v>-2.29 pts.</v>
      </c>
      <c r="AO42" s="11"/>
    </row>
    <row r="43" spans="1:41" x14ac:dyDescent="0.35">
      <c r="A43" s="11"/>
      <c r="B43" s="11"/>
      <c r="C43" s="208"/>
      <c r="D43" s="11"/>
      <c r="E43" s="11"/>
      <c r="F43" s="11"/>
      <c r="G43" s="11"/>
      <c r="H43" s="88" t="s">
        <v>855</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16">
        <v>2965.43</v>
      </c>
      <c r="P43" s="216">
        <v>2195.09</v>
      </c>
      <c r="Q43" s="216">
        <v>802.68</v>
      </c>
      <c r="R43" s="216">
        <v>253</v>
      </c>
      <c r="S43" s="216">
        <v>227.63</v>
      </c>
      <c r="T43" s="216">
        <v>227.64</v>
      </c>
      <c r="U43" s="216">
        <v>265.26</v>
      </c>
      <c r="V43" s="216">
        <v>105.59</v>
      </c>
      <c r="W43" s="216">
        <v>505.39</v>
      </c>
      <c r="X43" s="216">
        <v>339.22</v>
      </c>
      <c r="Y43" s="216">
        <v>718.09</v>
      </c>
      <c r="Z43" s="216">
        <v>792.65</v>
      </c>
      <c r="AA43" s="216">
        <f t="shared" si="1"/>
        <v>9397.6700000000019</v>
      </c>
      <c r="AB43" s="218">
        <f t="shared" si="2"/>
        <v>1.802617926258396E-3</v>
      </c>
      <c r="AC43" s="140"/>
      <c r="AD43" s="216">
        <v>31288.873967137701</v>
      </c>
      <c r="AE43" s="218">
        <f t="shared" si="3"/>
        <v>2.4120778896859099E-3</v>
      </c>
      <c r="AF43" s="233">
        <f t="shared" si="4"/>
        <v>-21891.203967137699</v>
      </c>
      <c r="AG43" s="216">
        <v>28632.04</v>
      </c>
      <c r="AH43" s="218">
        <f t="shared" si="5"/>
        <v>3.4142707836178495E-3</v>
      </c>
      <c r="AI43" s="233">
        <f t="shared" si="6"/>
        <v>-19234.37</v>
      </c>
      <c r="AJ43" s="537">
        <f t="shared" si="7"/>
        <v>0.19452040900811396</v>
      </c>
      <c r="AK43" s="538">
        <f t="shared" si="8"/>
        <v>0.6476418688346105</v>
      </c>
      <c r="AL43" s="539">
        <f t="shared" si="9"/>
        <v>0.59427231216272314</v>
      </c>
      <c r="AM43" s="540" t="str">
        <f t="shared" si="10"/>
        <v>-0.06 pts.</v>
      </c>
      <c r="AN43" s="541" t="str">
        <f t="shared" si="11"/>
        <v>-0.16 pts.</v>
      </c>
      <c r="AO43" s="11"/>
    </row>
    <row r="44" spans="1:41" x14ac:dyDescent="0.35">
      <c r="A44" s="11"/>
      <c r="B44" s="11"/>
      <c r="C44" s="11"/>
      <c r="D44" s="11"/>
      <c r="E44" s="11"/>
      <c r="F44" s="11"/>
      <c r="G44" s="11"/>
      <c r="H44" s="88" t="s">
        <v>856</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16">
        <v>13509.98</v>
      </c>
      <c r="P44" s="216">
        <v>4345.25</v>
      </c>
      <c r="Q44" s="216">
        <v>-4135.26</v>
      </c>
      <c r="R44" s="216">
        <v>-185.29</v>
      </c>
      <c r="S44" s="216">
        <v>142.93</v>
      </c>
      <c r="T44" s="216"/>
      <c r="U44" s="216">
        <v>161.15</v>
      </c>
      <c r="V44" s="216">
        <v>-68.19</v>
      </c>
      <c r="W44" s="216">
        <v>157.07</v>
      </c>
      <c r="X44" s="216"/>
      <c r="Y44" s="216">
        <v>1014.44</v>
      </c>
      <c r="Z44" s="216">
        <v>931.55</v>
      </c>
      <c r="AA44" s="216">
        <f t="shared" si="1"/>
        <v>15873.629999999997</v>
      </c>
      <c r="AB44" s="218">
        <f t="shared" si="2"/>
        <v>3.0448068502930037E-3</v>
      </c>
      <c r="AC44" s="140"/>
      <c r="AD44" s="217">
        <v>20512.231016354901</v>
      </c>
      <c r="AE44" s="219">
        <f t="shared" si="3"/>
        <v>1.5813000798508875E-3</v>
      </c>
      <c r="AF44" s="220">
        <f t="shared" si="4"/>
        <v>-4638.6010163549035</v>
      </c>
      <c r="AG44" s="217">
        <v>20518.080000000002</v>
      </c>
      <c r="AH44" s="219">
        <f t="shared" si="5"/>
        <v>2.4467093885009146E-3</v>
      </c>
      <c r="AI44" s="220">
        <f t="shared" si="6"/>
        <v>-4644.4500000000044</v>
      </c>
      <c r="AJ44" s="449">
        <f t="shared" si="7"/>
        <v>0.32856495280675602</v>
      </c>
      <c r="AK44" s="450">
        <f t="shared" si="8"/>
        <v>0.42457838666076547</v>
      </c>
      <c r="AL44" s="451">
        <f t="shared" si="9"/>
        <v>0.42586301369863017</v>
      </c>
      <c r="AM44" s="452" t="str">
        <f t="shared" si="10"/>
        <v>0.15 pts.</v>
      </c>
      <c r="AN44" s="453" t="str">
        <f t="shared" si="11"/>
        <v>0.06 pts.</v>
      </c>
      <c r="AO44" s="11"/>
    </row>
    <row r="45" spans="1:41" x14ac:dyDescent="0.35">
      <c r="A45" s="61" t="str">
        <f>IF(_epmOfflineCondition_,"Evdre:Ok",_xll.EVDRE($B$1,A48:B55))</f>
        <v>Evdre:Ok</v>
      </c>
      <c r="B45" s="11" t="s">
        <v>739</v>
      </c>
      <c r="C45" s="11"/>
      <c r="D45" s="11"/>
      <c r="E45" s="11"/>
      <c r="F45" s="11"/>
      <c r="G45" s="11"/>
      <c r="H45" s="88" t="s">
        <v>857</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16">
        <v>1639.37</v>
      </c>
      <c r="P45" s="216">
        <v>-1672.48</v>
      </c>
      <c r="Q45" s="216">
        <v>-207.3</v>
      </c>
      <c r="R45" s="216">
        <v>-0.77999999999998704</v>
      </c>
      <c r="S45" s="216">
        <v>-24.06</v>
      </c>
      <c r="T45" s="216">
        <v>-42.06</v>
      </c>
      <c r="U45" s="216">
        <v>-88.07</v>
      </c>
      <c r="V45" s="216">
        <v>-156.38999999999999</v>
      </c>
      <c r="W45" s="216">
        <v>-194.64</v>
      </c>
      <c r="X45" s="216">
        <v>521.17999999999995</v>
      </c>
      <c r="Y45" s="216">
        <v>463.8</v>
      </c>
      <c r="Z45" s="216">
        <v>420.24</v>
      </c>
      <c r="AA45" s="216">
        <f t="shared" si="1"/>
        <v>658.81</v>
      </c>
      <c r="AB45" s="218">
        <f t="shared" si="2"/>
        <v>1.2636991041378273E-4</v>
      </c>
      <c r="AC45" s="140"/>
      <c r="AD45" s="217">
        <v>19232.492468446198</v>
      </c>
      <c r="AE45" s="219">
        <f t="shared" si="3"/>
        <v>1.4826442746202042E-3</v>
      </c>
      <c r="AF45" s="220">
        <f t="shared" si="4"/>
        <v>-18573.682468446197</v>
      </c>
      <c r="AG45" s="217">
        <v>12181.52</v>
      </c>
      <c r="AH45" s="219">
        <f t="shared" si="5"/>
        <v>1.4526037207288236E-3</v>
      </c>
      <c r="AI45" s="220">
        <f t="shared" si="6"/>
        <v>-11522.710000000001</v>
      </c>
      <c r="AJ45" s="449">
        <f t="shared" si="7"/>
        <v>1.3636570624275542E-2</v>
      </c>
      <c r="AK45" s="450">
        <f t="shared" si="8"/>
        <v>0.39808934567904863</v>
      </c>
      <c r="AL45" s="451">
        <f t="shared" si="9"/>
        <v>0.25283354088833543</v>
      </c>
      <c r="AM45" s="452" t="str">
        <f t="shared" si="10"/>
        <v>-0.14 pts.</v>
      </c>
      <c r="AN45" s="453" t="str">
        <f t="shared" si="11"/>
        <v>-0.13 pts.</v>
      </c>
      <c r="AO45" s="11"/>
    </row>
    <row r="46" spans="1:41" x14ac:dyDescent="0.35">
      <c r="A46" s="11"/>
      <c r="B46" s="11"/>
      <c r="C46" s="11"/>
      <c r="D46" s="11"/>
      <c r="E46" s="11"/>
      <c r="F46" s="11"/>
      <c r="G46" s="11"/>
      <c r="H46" s="88" t="s">
        <v>858</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38">
        <v>18114.78</v>
      </c>
      <c r="P46" s="238">
        <v>4867.8599999999997</v>
      </c>
      <c r="Q46" s="238">
        <v>-3539.88</v>
      </c>
      <c r="R46" s="238">
        <v>66.930000000000007</v>
      </c>
      <c r="S46" s="238">
        <v>346.5</v>
      </c>
      <c r="T46" s="238">
        <v>185.58</v>
      </c>
      <c r="U46" s="238">
        <v>338.34</v>
      </c>
      <c r="V46" s="238">
        <v>-118.99</v>
      </c>
      <c r="W46" s="238">
        <v>467.82</v>
      </c>
      <c r="X46" s="238">
        <v>860.4</v>
      </c>
      <c r="Y46" s="238">
        <v>2196.33</v>
      </c>
      <c r="Z46" s="238">
        <v>2144.44</v>
      </c>
      <c r="AA46" s="238">
        <f t="shared" si="1"/>
        <v>25930.109999999997</v>
      </c>
      <c r="AB46" s="239">
        <f t="shared" si="2"/>
        <v>4.9737946869651819E-3</v>
      </c>
      <c r="AC46" s="240"/>
      <c r="AD46" s="238">
        <v>71033.597451938796</v>
      </c>
      <c r="AE46" s="239">
        <f t="shared" si="3"/>
        <v>5.4760222441570016E-3</v>
      </c>
      <c r="AF46" s="241">
        <f t="shared" si="4"/>
        <v>-45103.487451938796</v>
      </c>
      <c r="AG46" s="238">
        <v>61331.64</v>
      </c>
      <c r="AH46" s="239">
        <f t="shared" si="5"/>
        <v>7.3135838928475878E-3</v>
      </c>
      <c r="AI46" s="241">
        <f t="shared" si="6"/>
        <v>-35401.53</v>
      </c>
      <c r="AJ46" s="242">
        <f t="shared" si="7"/>
        <v>0.53672193243914545</v>
      </c>
      <c r="AK46" s="243">
        <f t="shared" si="8"/>
        <v>1.4703096011744246</v>
      </c>
      <c r="AL46" s="245">
        <f t="shared" si="9"/>
        <v>1.2729688667496886</v>
      </c>
      <c r="AM46" s="431" t="str">
        <f t="shared" si="10"/>
        <v>-0.05 pts.</v>
      </c>
      <c r="AN46" s="465" t="str">
        <f t="shared" si="11"/>
        <v>-0.23 pts.</v>
      </c>
      <c r="AO46" s="11"/>
    </row>
    <row r="47" spans="1:41" x14ac:dyDescent="0.35">
      <c r="A47" s="62" t="s">
        <v>0</v>
      </c>
      <c r="B47" s="63" t="s">
        <v>1</v>
      </c>
      <c r="C47" s="11"/>
      <c r="D47" s="11"/>
      <c r="E47" s="11"/>
      <c r="F47" s="11"/>
      <c r="G47" s="11"/>
      <c r="H47" s="88"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38">
        <v>47371.65</v>
      </c>
      <c r="P47" s="238">
        <v>24547.05</v>
      </c>
      <c r="Q47" s="238">
        <v>10939.76</v>
      </c>
      <c r="R47" s="238">
        <v>3382.37</v>
      </c>
      <c r="S47" s="238">
        <v>7581.09</v>
      </c>
      <c r="T47" s="238">
        <v>3552.69</v>
      </c>
      <c r="U47" s="238">
        <v>6524.47</v>
      </c>
      <c r="V47" s="238">
        <v>7295.35</v>
      </c>
      <c r="W47" s="238">
        <v>8341.76</v>
      </c>
      <c r="X47" s="238">
        <v>4636.54</v>
      </c>
      <c r="Y47" s="238">
        <v>14420.11</v>
      </c>
      <c r="Z47" s="238">
        <v>9361.82</v>
      </c>
      <c r="AA47" s="238">
        <f t="shared" si="1"/>
        <v>147954.65999999997</v>
      </c>
      <c r="AB47" s="239">
        <f t="shared" si="2"/>
        <v>2.8379983803375298E-2</v>
      </c>
      <c r="AC47" s="240"/>
      <c r="AD47" s="238">
        <v>436679.34701748198</v>
      </c>
      <c r="AE47" s="239">
        <f t="shared" si="3"/>
        <v>3.3663870388228774E-2</v>
      </c>
      <c r="AF47" s="241">
        <f t="shared" si="4"/>
        <v>-288724.68701748201</v>
      </c>
      <c r="AG47" s="238">
        <v>450067.08</v>
      </c>
      <c r="AH47" s="239">
        <f t="shared" si="5"/>
        <v>5.3668927603907977E-2</v>
      </c>
      <c r="AI47" s="241">
        <f t="shared" si="6"/>
        <v>-302112.42000000004</v>
      </c>
      <c r="AJ47" s="242">
        <f t="shared" si="7"/>
        <v>3.0624826130153995</v>
      </c>
      <c r="AK47" s="243">
        <f t="shared" si="8"/>
        <v>9.0387346211600015</v>
      </c>
      <c r="AL47" s="245">
        <f t="shared" si="9"/>
        <v>9.3413673723536732</v>
      </c>
      <c r="AM47" s="431" t="str">
        <f t="shared" si="10"/>
        <v>-0.53 pts.</v>
      </c>
      <c r="AN47" s="465" t="str">
        <f t="shared" si="11"/>
        <v>-2.53 pts.</v>
      </c>
      <c r="AO47" s="11"/>
    </row>
    <row r="48" spans="1:41" x14ac:dyDescent="0.35">
      <c r="A48" s="65" t="s">
        <v>2</v>
      </c>
      <c r="B48" s="66" t="str">
        <f>IF(_epmOfflineCondition_,"'SM'!$B$2:$B$10",_xll.EVRNG($B$2:$B$10))</f>
        <v>'SM'!$B$2:$B$10</v>
      </c>
      <c r="C48" s="11"/>
      <c r="D48" s="11"/>
      <c r="E48" s="11"/>
      <c r="F48" s="11"/>
      <c r="G48" s="11"/>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35">
      <c r="A49" s="65" t="s">
        <v>3</v>
      </c>
      <c r="B49" s="66" t="str">
        <f>IF(_epmOfflineCondition_,"'SM'!$O$16:$AN$18",_xll.EVRNG($O$16:$AN$18))</f>
        <v>'SM'!$O$16:$AN$18</v>
      </c>
      <c r="C49" s="11"/>
      <c r="D49" s="11"/>
      <c r="E49" s="11"/>
      <c r="F49" s="11"/>
      <c r="G49" s="11"/>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35">
      <c r="A50" s="65" t="s">
        <v>4</v>
      </c>
      <c r="B50" s="66" t="str">
        <f>IF(_epmOfflineCondition_,"'SM'!$H$72:$H$75",_xll.EVRNG(H72:H75))</f>
        <v>'SM'!$H$72:$H$75</v>
      </c>
      <c r="C50" s="11"/>
      <c r="D50" s="11"/>
      <c r="E50" s="11"/>
      <c r="F50" s="11"/>
      <c r="G50" s="11"/>
      <c r="H50" s="88" t="s">
        <v>826</v>
      </c>
      <c r="I50" s="122" t="str">
        <f>IF(_epmOfflineCondition_,"N",_xll.EVPRO($B$1,$H50,"STYLE"))</f>
        <v>N</v>
      </c>
      <c r="J50" s="122" t="str">
        <f>IF(_epmOfflineCondition_,"N",_xll.EVPRO($B$1,$H50,"CALC"))</f>
        <v>N</v>
      </c>
      <c r="K50" s="179" t="str">
        <f t="shared" ref="K50:K71"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43">
        <v>6619.59</v>
      </c>
      <c r="P50" s="143">
        <v>4774.28</v>
      </c>
      <c r="Q50" s="143">
        <v>3809.89</v>
      </c>
      <c r="R50" s="143">
        <v>-1892.09</v>
      </c>
      <c r="S50" s="143">
        <v>2870.91</v>
      </c>
      <c r="T50" s="143">
        <v>3165.91</v>
      </c>
      <c r="U50" s="143">
        <v>3968.41</v>
      </c>
      <c r="V50" s="143">
        <v>3440.41</v>
      </c>
      <c r="W50" s="143">
        <v>5703.15</v>
      </c>
      <c r="X50" s="143">
        <v>4055.69</v>
      </c>
      <c r="Y50" s="143">
        <v>3457.08</v>
      </c>
      <c r="Z50" s="143">
        <v>3959.68</v>
      </c>
      <c r="AA50" s="210">
        <f t="shared" ref="AA50:AA72" si="13">IF($I50="B1","",SUM(O50:Z50))</f>
        <v>43932.91</v>
      </c>
      <c r="AB50" s="144">
        <f t="shared" ref="AB50:AB72" si="14">IF(AA50=0,"",IFERROR(AA50/AA$19,""))</f>
        <v>8.427009154258102E-3</v>
      </c>
      <c r="AC50" s="140"/>
      <c r="AD50" s="143">
        <v>52131</v>
      </c>
      <c r="AE50" s="144">
        <f t="shared" ref="AE50:AE72" si="15">IF(AD50=0,"",IFERROR(AD50/AD$19,""))</f>
        <v>4.0188097724220915E-3</v>
      </c>
      <c r="AF50" s="145">
        <f t="shared" ref="AF50:AF72" si="16">IF(AND($AA50="",AD50=""),"",$AA50-AD50)</f>
        <v>-8198.0899999999965</v>
      </c>
      <c r="AG50" s="143">
        <v>58536.09</v>
      </c>
      <c r="AH50" s="144">
        <f t="shared" ref="AH50:AH72" si="17">IF(AG50=0,"",IFERROR(AG50/AG$19,""))</f>
        <v>6.9802243177302407E-3</v>
      </c>
      <c r="AI50" s="145">
        <f t="shared" ref="AI50:AI72" si="18">IF(AND($AA50="",AG50=""),"",$AA50-AG50)</f>
        <v>-14603.179999999993</v>
      </c>
      <c r="AJ50" s="440">
        <f t="shared" ref="AJ50:AJ72" si="19">IFERROR(AA50/AA$20,0)</f>
        <v>0.90935813048517977</v>
      </c>
      <c r="AK50" s="441">
        <f t="shared" ref="AK50:AK72" si="20">IFERROR(AD50/AD$20,0)</f>
        <v>1.0790486835568802</v>
      </c>
      <c r="AL50" s="442">
        <f t="shared" ref="AL50:AL72" si="21">IFERROR(AG50/AG$20,0)</f>
        <v>1.2149458281444583</v>
      </c>
      <c r="AM50" s="443" t="str">
        <f t="shared" ref="AM50:AM72" si="22">+IFERROR(ROUND(($AB50-AE50)*100,2)&amp;" pts.",0)</f>
        <v>0.44 pts.</v>
      </c>
      <c r="AN50" s="444" t="str">
        <f t="shared" ref="AN50:AN72" si="23">+IFERROR(ROUND(($AB50-AH50)*100,2)&amp;" pts.",0)</f>
        <v>0.14 pts.</v>
      </c>
      <c r="AO50" s="11"/>
    </row>
    <row r="51" spans="1:41" x14ac:dyDescent="0.35">
      <c r="A51" s="65" t="s">
        <v>5</v>
      </c>
      <c r="B51" s="66"/>
      <c r="C51" s="11"/>
      <c r="D51" s="11"/>
      <c r="E51" s="11"/>
      <c r="F51" s="11"/>
      <c r="G51" s="11"/>
      <c r="H51" s="88" t="s">
        <v>828</v>
      </c>
      <c r="I51" s="122" t="str">
        <f>IF(_epmOfflineCondition_,"N",_xll.EVPRO($B$1,$H51,"STYLE"))</f>
        <v>N</v>
      </c>
      <c r="J51" s="122" t="str">
        <f>IF(_epmOfflineCondition_,"N",_xll.EVPRO($B$1,$H51,"CALC"))</f>
        <v>N</v>
      </c>
      <c r="K51" s="179" t="str">
        <f t="shared" si="12"/>
        <v/>
      </c>
      <c r="L51" s="90" t="str">
        <f>IF(_epmOfflineCondition_,"701200",_xll.EVPRO($B$1,H51,"JDEID"))</f>
        <v>701200</v>
      </c>
      <c r="M51" s="90" t="str">
        <f>IF(_epmOfflineCondition_,"690010",IF(AND(I51="N",J51="N"),_xll.EVPRO($B$1,H51,"PSFTID"),""))</f>
        <v>690010</v>
      </c>
      <c r="N51" s="90" t="str">
        <f>IF(_epmOfflineCondition_,"Postage and Overnight Delivery",IF(_xll.EVDES(H51,$B$1)="#NODATA","",_xll.EVDES(H51,$B$1)))</f>
        <v>Postage and Overnight Delivery</v>
      </c>
      <c r="O51" s="143"/>
      <c r="P51" s="143">
        <v>45.27</v>
      </c>
      <c r="Q51" s="143"/>
      <c r="R51" s="143"/>
      <c r="S51" s="143"/>
      <c r="T51" s="143"/>
      <c r="U51" s="143"/>
      <c r="V51" s="143"/>
      <c r="W51" s="143"/>
      <c r="X51" s="143"/>
      <c r="Y51" s="143"/>
      <c r="Z51" s="143"/>
      <c r="AA51" s="210">
        <f t="shared" si="13"/>
        <v>45.27</v>
      </c>
      <c r="AB51" s="144">
        <f t="shared" si="14"/>
        <v>8.6834836211228492E-6</v>
      </c>
      <c r="AC51" s="140"/>
      <c r="AD51" s="143">
        <v>1200</v>
      </c>
      <c r="AE51" s="144">
        <f t="shared" si="15"/>
        <v>9.2508713182300558E-5</v>
      </c>
      <c r="AF51" s="145">
        <f t="shared" si="16"/>
        <v>-1154.73</v>
      </c>
      <c r="AG51" s="143">
        <v>2640.42</v>
      </c>
      <c r="AH51" s="144">
        <f t="shared" si="17"/>
        <v>3.1486086434917815E-4</v>
      </c>
      <c r="AI51" s="145">
        <f t="shared" si="18"/>
        <v>-2595.15</v>
      </c>
      <c r="AJ51" s="440">
        <f t="shared" si="19"/>
        <v>9.3703427719821165E-4</v>
      </c>
      <c r="AK51" s="441">
        <f t="shared" si="20"/>
        <v>2.4838549428713365E-2</v>
      </c>
      <c r="AL51" s="442">
        <f t="shared" si="21"/>
        <v>5.4803237858032379E-2</v>
      </c>
      <c r="AM51" s="443" t="str">
        <f t="shared" si="22"/>
        <v>-0.01 pts.</v>
      </c>
      <c r="AN51" s="444" t="str">
        <f t="shared" si="23"/>
        <v>-0.03 pts.</v>
      </c>
      <c r="AO51" s="11"/>
    </row>
    <row r="52" spans="1:41" x14ac:dyDescent="0.35">
      <c r="A52" s="65" t="s">
        <v>6</v>
      </c>
      <c r="B52" s="66"/>
      <c r="C52" s="11"/>
      <c r="D52" s="11"/>
      <c r="E52" s="11"/>
      <c r="F52" s="11"/>
      <c r="G52" s="11"/>
      <c r="H52" s="88" t="s">
        <v>830</v>
      </c>
      <c r="I52" s="122" t="str">
        <f>IF(_epmOfflineCondition_,"T4",_xll.EVPRO($B$1,$H52,"STYLE"))</f>
        <v>T4</v>
      </c>
      <c r="J52" s="122" t="str">
        <f>IF(_epmOfflineCondition_,"Y",_xll.EVPRO($B$1,$H52,"CALC"))</f>
        <v>Y</v>
      </c>
      <c r="K52" s="179" t="str">
        <f t="shared" si="12"/>
        <v>&gt;</v>
      </c>
      <c r="L52" s="90" t="str">
        <f>IF(_epmOfflineCondition_,"701500",_xll.EVPRO($B$1,H52,"JDEID"))</f>
        <v>701500</v>
      </c>
      <c r="M52" s="90" t="str">
        <f>IF(_epmOfflineCondition_,"",IF(AND(I52="N",J52="N"),_xll.EVPRO($B$1,H52,"PSFTID"),""))</f>
        <v/>
      </c>
      <c r="N52" s="90" t="str">
        <f>IF(_epmOfflineCondition_,"Operating Supplies",IF(_xll.EVDES(H52,$B$1)="#NODATA","",_xll.EVDES(H52,$B$1)))</f>
        <v>Operating Supplies</v>
      </c>
      <c r="O52" s="143">
        <v>105.11</v>
      </c>
      <c r="P52" s="143"/>
      <c r="Q52" s="143">
        <v>430.87</v>
      </c>
      <c r="R52" s="143">
        <v>29.88</v>
      </c>
      <c r="S52" s="143"/>
      <c r="T52" s="143"/>
      <c r="U52" s="143"/>
      <c r="V52" s="143"/>
      <c r="W52" s="143"/>
      <c r="X52" s="143"/>
      <c r="Y52" s="143"/>
      <c r="Z52" s="143"/>
      <c r="AA52" s="210">
        <f t="shared" si="13"/>
        <v>565.86</v>
      </c>
      <c r="AB52" s="144">
        <f t="shared" si="14"/>
        <v>1.0854066803288216E-4</v>
      </c>
      <c r="AC52" s="140"/>
      <c r="AD52" s="143">
        <v>1200</v>
      </c>
      <c r="AE52" s="144">
        <f t="shared" si="15"/>
        <v>9.2508713182300558E-5</v>
      </c>
      <c r="AF52" s="145">
        <f t="shared" si="16"/>
        <v>-634.14</v>
      </c>
      <c r="AG52" s="143">
        <v>3215.15</v>
      </c>
      <c r="AH52" s="144">
        <f t="shared" si="17"/>
        <v>3.8339540982580808E-4</v>
      </c>
      <c r="AI52" s="145">
        <f t="shared" si="18"/>
        <v>-2649.29</v>
      </c>
      <c r="AJ52" s="440">
        <f t="shared" si="19"/>
        <v>1.1712617983109786E-2</v>
      </c>
      <c r="AK52" s="441">
        <f t="shared" si="20"/>
        <v>2.4838549428713365E-2</v>
      </c>
      <c r="AL52" s="442">
        <f t="shared" si="21"/>
        <v>6.6732046492320465E-2</v>
      </c>
      <c r="AM52" s="443" t="str">
        <f t="shared" si="22"/>
        <v>0 pts.</v>
      </c>
      <c r="AN52" s="444" t="str">
        <f t="shared" si="23"/>
        <v>-0.03 pts.</v>
      </c>
      <c r="AO52" s="11"/>
    </row>
    <row r="53" spans="1:41" x14ac:dyDescent="0.35">
      <c r="A53" s="65" t="s">
        <v>7</v>
      </c>
      <c r="B53" s="66"/>
      <c r="C53" s="11"/>
      <c r="D53" s="11"/>
      <c r="E53" s="11"/>
      <c r="F53" s="11"/>
      <c r="G53" s="11"/>
      <c r="H53" s="88" t="s">
        <v>832</v>
      </c>
      <c r="I53" s="122" t="str">
        <f>IF(_epmOfflineCondition_,"T4",_xll.EVPRO($B$1,$H53,"STYLE"))</f>
        <v>T4</v>
      </c>
      <c r="J53" s="122" t="str">
        <f>IF(_epmOfflineCondition_,"Y",_xll.EVPRO($B$1,$H53,"CALC"))</f>
        <v>Y</v>
      </c>
      <c r="K53" s="179" t="str">
        <f t="shared" si="12"/>
        <v>&gt;</v>
      </c>
      <c r="L53" s="90" t="str">
        <f>IF(_epmOfflineCondition_,"",_xll.EVPRO($B$1,H53,"JDEID"))</f>
        <v/>
      </c>
      <c r="M53" s="90" t="str">
        <f>IF(_epmOfflineCondition_,"",IF(AND(I53="N",J53="N"),_xll.EVPRO($B$1,H53,"PSFTID"),""))</f>
        <v/>
      </c>
      <c r="N53" s="90" t="str">
        <f>IF(_epmOfflineCondition_,"Contract Services",IF(_xll.EVDES(H53,$B$1)="#NODATA","",_xll.EVDES(H53,$B$1)))</f>
        <v>Contract Services</v>
      </c>
      <c r="O53" s="143">
        <v>2979.74</v>
      </c>
      <c r="P53" s="143">
        <v>9225.2800000000007</v>
      </c>
      <c r="Q53" s="143">
        <v>3153.33</v>
      </c>
      <c r="R53" s="143">
        <v>238.47</v>
      </c>
      <c r="S53" s="143">
        <v>73.33</v>
      </c>
      <c r="T53" s="143">
        <v>80.81</v>
      </c>
      <c r="U53" s="143">
        <v>73.33</v>
      </c>
      <c r="V53" s="143">
        <v>73.33</v>
      </c>
      <c r="W53" s="143">
        <v>73.33</v>
      </c>
      <c r="X53" s="143">
        <v>198.33</v>
      </c>
      <c r="Y53" s="143">
        <v>73.33</v>
      </c>
      <c r="Z53" s="143">
        <v>1665.33</v>
      </c>
      <c r="AA53" s="210">
        <f t="shared" si="13"/>
        <v>17907.939999999999</v>
      </c>
      <c r="AB53" s="144">
        <f t="shared" si="14"/>
        <v>3.4350188574784782E-3</v>
      </c>
      <c r="AC53" s="140"/>
      <c r="AD53" s="143">
        <v>11143</v>
      </c>
      <c r="AE53" s="144">
        <f t="shared" si="15"/>
        <v>8.5902049249197922E-4</v>
      </c>
      <c r="AF53" s="145">
        <f t="shared" si="16"/>
        <v>6764.9399999999987</v>
      </c>
      <c r="AG53" s="143">
        <v>18189.71</v>
      </c>
      <c r="AH53" s="144">
        <f t="shared" si="17"/>
        <v>2.1690593969371876E-3</v>
      </c>
      <c r="AI53" s="145">
        <f t="shared" si="18"/>
        <v>-281.77000000000044</v>
      </c>
      <c r="AJ53" s="440">
        <f t="shared" si="19"/>
        <v>0.37067271071369429</v>
      </c>
      <c r="AK53" s="441">
        <f t="shared" si="20"/>
        <v>0.23064663023679416</v>
      </c>
      <c r="AL53" s="442">
        <f t="shared" si="21"/>
        <v>0.37753652968036527</v>
      </c>
      <c r="AM53" s="443" t="str">
        <f t="shared" si="22"/>
        <v>0.26 pts.</v>
      </c>
      <c r="AN53" s="444" t="str">
        <f t="shared" si="23"/>
        <v>0.13 pts.</v>
      </c>
      <c r="AO53" s="11"/>
    </row>
    <row r="54" spans="1:41" x14ac:dyDescent="0.35">
      <c r="A54" s="65" t="s">
        <v>47</v>
      </c>
      <c r="B54" s="66" t="str">
        <f>IF(_epmOfflineCondition_,"'SM'!$A$59:$B$80",_xll.EVRNG($A$59:$B$80))</f>
        <v>'SM'!$A$59:$B$80</v>
      </c>
      <c r="C54" s="11"/>
      <c r="D54" s="11"/>
      <c r="E54" s="11"/>
      <c r="F54" s="11"/>
      <c r="G54" s="11"/>
      <c r="H54" s="88" t="s">
        <v>833</v>
      </c>
      <c r="I54" s="122" t="str">
        <f>IF(_epmOfflineCondition_,"T4",_xll.EVPRO($B$1,$H54,"STYLE"))</f>
        <v>T4</v>
      </c>
      <c r="J54" s="122" t="str">
        <f>IF(_epmOfflineCondition_,"Y",_xll.EVPRO($B$1,$H54,"CALC"))</f>
        <v>Y</v>
      </c>
      <c r="K54" s="179" t="str">
        <f t="shared" si="12"/>
        <v>&gt;</v>
      </c>
      <c r="L54" s="90" t="str">
        <f>IF(_epmOfflineCondition_,"",_xll.EVPRO($B$1,H54,"JDEID"))</f>
        <v/>
      </c>
      <c r="M54" s="90" t="str">
        <f>IF(_epmOfflineCondition_,"",IF(AND(I54="N",J54="N"),_xll.EVPRO($B$1,H54,"PSFTID"),""))</f>
        <v/>
      </c>
      <c r="N54" s="90" t="str">
        <f>IF(_epmOfflineCondition_,"Travel - Other",IF(_xll.EVDES(H54,$B$1)="#NODATA","",_xll.EVDES(H54,$B$1)))</f>
        <v>Travel - Other</v>
      </c>
      <c r="O54" s="143">
        <v>1275.8599999999999</v>
      </c>
      <c r="P54" s="143">
        <v>834.72</v>
      </c>
      <c r="Q54" s="143">
        <v>1985.46</v>
      </c>
      <c r="R54" s="143">
        <v>21.35</v>
      </c>
      <c r="S54" s="143"/>
      <c r="T54" s="143"/>
      <c r="U54" s="143"/>
      <c r="V54" s="143"/>
      <c r="W54" s="143"/>
      <c r="X54" s="143"/>
      <c r="Y54" s="143"/>
      <c r="Z54" s="143"/>
      <c r="AA54" s="210">
        <f t="shared" si="13"/>
        <v>4117.3900000000003</v>
      </c>
      <c r="AB54" s="144">
        <f t="shared" si="14"/>
        <v>7.897788519278774E-4</v>
      </c>
      <c r="AC54" s="140"/>
      <c r="AD54" s="143">
        <v>20124</v>
      </c>
      <c r="AE54" s="144">
        <f t="shared" si="15"/>
        <v>1.5513711200671803E-3</v>
      </c>
      <c r="AF54" s="145">
        <f t="shared" si="16"/>
        <v>-16006.61</v>
      </c>
      <c r="AG54" s="143">
        <v>20151.650000000001</v>
      </c>
      <c r="AH54" s="144">
        <f t="shared" si="17"/>
        <v>2.4030138906166883E-3</v>
      </c>
      <c r="AI54" s="145">
        <f t="shared" si="18"/>
        <v>-16034.260000000002</v>
      </c>
      <c r="AJ54" s="440">
        <f t="shared" si="19"/>
        <v>8.5224995860241765E-2</v>
      </c>
      <c r="AK54" s="441">
        <f t="shared" si="20"/>
        <v>0.41654247391952309</v>
      </c>
      <c r="AL54" s="442">
        <f t="shared" si="21"/>
        <v>0.41825757575757577</v>
      </c>
      <c r="AM54" s="443" t="str">
        <f t="shared" si="22"/>
        <v>-0.08 pts.</v>
      </c>
      <c r="AN54" s="444" t="str">
        <f t="shared" si="23"/>
        <v>-0.16 pts.</v>
      </c>
      <c r="AO54" s="11"/>
    </row>
    <row r="55" spans="1:41" x14ac:dyDescent="0.35">
      <c r="A55" s="65" t="s">
        <v>8</v>
      </c>
      <c r="B55" s="66"/>
      <c r="C55" s="11"/>
      <c r="D55" s="11"/>
      <c r="E55" s="11"/>
      <c r="F55" s="11"/>
      <c r="G55" s="11"/>
      <c r="H55" s="88" t="s">
        <v>834</v>
      </c>
      <c r="I55" s="122" t="str">
        <f>IF(_epmOfflineCondition_,"T4",_xll.EVPRO($B$1,$H55,"STYLE"))</f>
        <v>T4</v>
      </c>
      <c r="J55" s="122" t="str">
        <f>IF(_epmOfflineCondition_,"Y",_xll.EVPRO($B$1,$H55,"CALC"))</f>
        <v>Y</v>
      </c>
      <c r="K55" s="179" t="str">
        <f t="shared" si="12"/>
        <v>&gt;</v>
      </c>
      <c r="L55" s="90" t="str">
        <f>IF(_epmOfflineCondition_,"702900",_xll.EVPRO($B$1,H55,"JDEID"))</f>
        <v>702900</v>
      </c>
      <c r="M55" s="90" t="str">
        <f>IF(_epmOfflineCondition_,"",IF(AND(I55="N",J55="N"),_xll.EVPRO($B$1,H55,"PSFTID"),""))</f>
        <v/>
      </c>
      <c r="N55" s="90" t="str">
        <f>IF(_epmOfflineCondition_,"Travel - Meals &amp; Entertainment",IF(_xll.EVDES(H55,$B$1)="#NODATA","",_xll.EVDES(H55,$B$1)))</f>
        <v>Travel - Meals &amp; Entertainment</v>
      </c>
      <c r="O55" s="143">
        <v>1996.91</v>
      </c>
      <c r="P55" s="143">
        <v>883.6</v>
      </c>
      <c r="Q55" s="143">
        <v>307.45999999999998</v>
      </c>
      <c r="R55" s="143">
        <v>11.85</v>
      </c>
      <c r="S55" s="143"/>
      <c r="T55" s="143"/>
      <c r="U55" s="143"/>
      <c r="V55" s="143"/>
      <c r="W55" s="143"/>
      <c r="X55" s="143"/>
      <c r="Y55" s="143"/>
      <c r="Z55" s="143"/>
      <c r="AA55" s="210">
        <f t="shared" si="13"/>
        <v>3199.82</v>
      </c>
      <c r="AB55" s="144">
        <f t="shared" si="14"/>
        <v>6.1377478596291843E-4</v>
      </c>
      <c r="AC55" s="140"/>
      <c r="AD55" s="143">
        <v>7759</v>
      </c>
      <c r="AE55" s="144">
        <f t="shared" si="15"/>
        <v>5.9814592131789167E-4</v>
      </c>
      <c r="AF55" s="145">
        <f t="shared" si="16"/>
        <v>-4559.18</v>
      </c>
      <c r="AG55" s="143">
        <v>9421.4699999999993</v>
      </c>
      <c r="AH55" s="144">
        <f t="shared" si="17"/>
        <v>1.1234773966413869E-3</v>
      </c>
      <c r="AI55" s="145">
        <f t="shared" si="18"/>
        <v>-6221.65</v>
      </c>
      <c r="AJ55" s="440">
        <f t="shared" si="19"/>
        <v>6.6232406027487992E-2</v>
      </c>
      <c r="AK55" s="441">
        <f t="shared" si="20"/>
        <v>0.16060192084782249</v>
      </c>
      <c r="AL55" s="442">
        <f t="shared" si="21"/>
        <v>0.19554732254047322</v>
      </c>
      <c r="AM55" s="443" t="str">
        <f t="shared" si="22"/>
        <v>0 pts.</v>
      </c>
      <c r="AN55" s="444" t="str">
        <f t="shared" si="23"/>
        <v>-0.05 pts.</v>
      </c>
      <c r="AO55" s="11"/>
    </row>
    <row r="56" spans="1:41" x14ac:dyDescent="0.35">
      <c r="A56" s="11"/>
      <c r="B56" s="11"/>
      <c r="C56" s="11"/>
      <c r="D56" s="11"/>
      <c r="E56" s="11"/>
      <c r="F56" s="11"/>
      <c r="G56" s="11"/>
      <c r="H56" s="88" t="s">
        <v>835</v>
      </c>
      <c r="I56" s="122" t="str">
        <f>IF(_epmOfflineCondition_,"T4",_xll.EVPRO($B$1,$H56,"STYLE"))</f>
        <v>T4</v>
      </c>
      <c r="J56" s="122" t="str">
        <f>IF(_epmOfflineCondition_,"Y",_xll.EVPRO($B$1,$H56,"CALC"))</f>
        <v>Y</v>
      </c>
      <c r="K56" s="179" t="str">
        <f t="shared" si="12"/>
        <v>&gt;</v>
      </c>
      <c r="L56" s="90" t="str">
        <f>IF(_epmOfflineCondition_,"703000",_xll.EVPRO($B$1,H56,"JDEID"))</f>
        <v>703000</v>
      </c>
      <c r="M56" s="90" t="str">
        <f>IF(_epmOfflineCondition_,"",IF(AND(I56="N",J56="N"),_xll.EVPRO($B$1,H56,"PSFTID"),""))</f>
        <v/>
      </c>
      <c r="N56" s="90" t="str">
        <f>IF(_epmOfflineCondition_,"Complimentary Services &amp; Gifts",IF(_xll.EVDES(H56,$B$1)="#NODATA","",_xll.EVDES(H56,$B$1)))</f>
        <v>Complimentary Services &amp; Gifts</v>
      </c>
      <c r="O56" s="143">
        <v>151</v>
      </c>
      <c r="P56" s="143">
        <v>545</v>
      </c>
      <c r="Q56" s="143">
        <v>137.77000000000001</v>
      </c>
      <c r="R56" s="143"/>
      <c r="S56" s="143"/>
      <c r="T56" s="143"/>
      <c r="U56" s="143"/>
      <c r="V56" s="143"/>
      <c r="W56" s="143"/>
      <c r="X56" s="143"/>
      <c r="Y56" s="143">
        <v>8.75</v>
      </c>
      <c r="Z56" s="143">
        <v>31.47</v>
      </c>
      <c r="AA56" s="210">
        <f t="shared" si="13"/>
        <v>873.99</v>
      </c>
      <c r="AB56" s="144">
        <f t="shared" si="14"/>
        <v>1.6764475038712524E-4</v>
      </c>
      <c r="AC56" s="140"/>
      <c r="AD56" s="143">
        <v>9800</v>
      </c>
      <c r="AE56" s="144">
        <f t="shared" si="15"/>
        <v>7.5548782432212119E-4</v>
      </c>
      <c r="AF56" s="145">
        <f t="shared" si="16"/>
        <v>-8926.01</v>
      </c>
      <c r="AG56" s="143">
        <v>9969.02</v>
      </c>
      <c r="AH56" s="144">
        <f t="shared" si="17"/>
        <v>1.1887708220337083E-3</v>
      </c>
      <c r="AI56" s="145">
        <f t="shared" si="18"/>
        <v>-9095.0300000000007</v>
      </c>
      <c r="AJ56" s="440">
        <f t="shared" si="19"/>
        <v>1.8090536512667659E-2</v>
      </c>
      <c r="AK56" s="441">
        <f t="shared" si="20"/>
        <v>0.2028481536678258</v>
      </c>
      <c r="AL56" s="442">
        <f t="shared" si="21"/>
        <v>0.20691199667911997</v>
      </c>
      <c r="AM56" s="443" t="str">
        <f t="shared" si="22"/>
        <v>-0.06 pts.</v>
      </c>
      <c r="AN56" s="444" t="str">
        <f t="shared" si="23"/>
        <v>-0.1 pts.</v>
      </c>
      <c r="AO56" s="11"/>
    </row>
    <row r="57" spans="1:41" x14ac:dyDescent="0.35">
      <c r="A57" s="11"/>
      <c r="B57" s="11"/>
      <c r="C57" s="11"/>
      <c r="D57" s="11"/>
      <c r="E57" s="11"/>
      <c r="F57" s="11"/>
      <c r="G57" s="11"/>
      <c r="H57" s="88" t="s">
        <v>836</v>
      </c>
      <c r="I57" s="122" t="str">
        <f>IF(_epmOfflineCondition_,"N",_xll.EVPRO($B$1,$H57,"STYLE"))</f>
        <v>N</v>
      </c>
      <c r="J57" s="122" t="str">
        <f>IF(_epmOfflineCondition_,"N",_xll.EVPRO($B$1,$H57,"CALC"))</f>
        <v>N</v>
      </c>
      <c r="K57" s="179" t="str">
        <f t="shared" si="12"/>
        <v/>
      </c>
      <c r="L57" s="90" t="str">
        <f>IF(_epmOfflineCondition_,"703100",_xll.EVPRO($B$1,H57,"JDEID"))</f>
        <v>703100</v>
      </c>
      <c r="M57" s="90" t="str">
        <f>IF(_epmOfflineCondition_,"690035",IF(AND(I57="N",J57="N"),_xll.EVPRO($B$1,H57,"PSFTID"),""))</f>
        <v>690035</v>
      </c>
      <c r="N57" s="90" t="str">
        <f>IF(_epmOfflineCondition_,"Training",IF(_xll.EVDES(H57,$B$1)="#NODATA","",_xll.EVDES(H57,$B$1)))</f>
        <v>Training</v>
      </c>
      <c r="O57" s="143">
        <v>21.24</v>
      </c>
      <c r="P57" s="143"/>
      <c r="Q57" s="143"/>
      <c r="R57" s="143"/>
      <c r="S57" s="143"/>
      <c r="T57" s="143"/>
      <c r="U57" s="143"/>
      <c r="V57" s="143"/>
      <c r="W57" s="143"/>
      <c r="X57" s="143"/>
      <c r="Y57" s="143"/>
      <c r="Z57" s="143"/>
      <c r="AA57" s="210">
        <f t="shared" si="13"/>
        <v>21.24</v>
      </c>
      <c r="AB57" s="144">
        <f t="shared" si="14"/>
        <v>4.0741593132902435E-6</v>
      </c>
      <c r="AC57" s="140"/>
      <c r="AD57" s="143">
        <v>2412</v>
      </c>
      <c r="AE57" s="144">
        <f t="shared" si="15"/>
        <v>1.8594251349642412E-4</v>
      </c>
      <c r="AF57" s="145">
        <f t="shared" si="16"/>
        <v>-2390.7600000000002</v>
      </c>
      <c r="AG57" s="143">
        <v>4574.8500000000004</v>
      </c>
      <c r="AH57" s="144">
        <f t="shared" si="17"/>
        <v>5.4553488659676787E-4</v>
      </c>
      <c r="AI57" s="145">
        <f t="shared" si="18"/>
        <v>-4553.6100000000006</v>
      </c>
      <c r="AJ57" s="440">
        <f t="shared" si="19"/>
        <v>4.3964232488822647E-4</v>
      </c>
      <c r="AK57" s="441">
        <f t="shared" si="20"/>
        <v>4.9925484351713859E-2</v>
      </c>
      <c r="AL57" s="442">
        <f t="shared" si="21"/>
        <v>9.4953300124533013E-2</v>
      </c>
      <c r="AM57" s="443" t="str">
        <f t="shared" si="22"/>
        <v>-0.02 pts.</v>
      </c>
      <c r="AN57" s="444" t="str">
        <f t="shared" si="23"/>
        <v>-0.05 pts.</v>
      </c>
      <c r="AO57" s="11"/>
    </row>
    <row r="58" spans="1:41" x14ac:dyDescent="0.35">
      <c r="A58" s="62" t="s">
        <v>23</v>
      </c>
      <c r="B58" s="63" t="s">
        <v>24</v>
      </c>
      <c r="C58" s="11"/>
      <c r="D58" s="11"/>
      <c r="E58" s="11"/>
      <c r="F58" s="11"/>
      <c r="G58" s="11"/>
      <c r="H58" s="88" t="s">
        <v>838</v>
      </c>
      <c r="I58" s="122" t="str">
        <f>IF(_epmOfflineCondition_,"N",_xll.EVPRO($B$1,$H58,"STYLE"))</f>
        <v>N</v>
      </c>
      <c r="J58" s="122" t="str">
        <f>IF(_epmOfflineCondition_,"N",_xll.EVPRO($B$1,$H58,"CALC"))</f>
        <v>N</v>
      </c>
      <c r="K58" s="179" t="str">
        <f t="shared" si="12"/>
        <v/>
      </c>
      <c r="L58" s="90" t="str">
        <f>IF(_epmOfflineCondition_,"703300",_xll.EVPRO($B$1,H58,"JDEID"))</f>
        <v>703300</v>
      </c>
      <c r="M58" s="90" t="str">
        <f>IF(_epmOfflineCondition_,"590115",IF(AND(I58="N",J58="N"),_xll.EVPRO($B$1,H58,"PSFTID"),""))</f>
        <v>590115</v>
      </c>
      <c r="N58" s="90" t="str">
        <f>IF(_epmOfflineCondition_,"Uniforms Laundry",IF(_xll.EVDES(H58,$B$1)="#NODATA","",_xll.EVDES(H58,$B$1)))</f>
        <v>Uniforms Laundry</v>
      </c>
      <c r="O58" s="143">
        <v>381.46</v>
      </c>
      <c r="P58" s="143"/>
      <c r="Q58" s="143"/>
      <c r="R58" s="143"/>
      <c r="S58" s="143"/>
      <c r="T58" s="143"/>
      <c r="U58" s="143"/>
      <c r="V58" s="143"/>
      <c r="W58" s="143"/>
      <c r="X58" s="143"/>
      <c r="Y58" s="143"/>
      <c r="Z58" s="143"/>
      <c r="AA58" s="210">
        <f t="shared" si="13"/>
        <v>381.46</v>
      </c>
      <c r="AB58" s="144">
        <f t="shared" si="14"/>
        <v>7.3169906386426367E-5</v>
      </c>
      <c r="AC58" s="140"/>
      <c r="AD58" s="143">
        <v>357</v>
      </c>
      <c r="AE58" s="144">
        <f t="shared" si="15"/>
        <v>2.7521342171734414E-5</v>
      </c>
      <c r="AF58" s="145">
        <f t="shared" si="16"/>
        <v>24.45999999999998</v>
      </c>
      <c r="AG58" s="143">
        <v>465.71</v>
      </c>
      <c r="AH58" s="144">
        <f t="shared" si="17"/>
        <v>5.5534291187029242E-5</v>
      </c>
      <c r="AI58" s="145">
        <f t="shared" si="18"/>
        <v>-84.25</v>
      </c>
      <c r="AJ58" s="440">
        <f t="shared" si="19"/>
        <v>7.8957608875641662E-3</v>
      </c>
      <c r="AK58" s="441">
        <f t="shared" si="20"/>
        <v>7.3894684550422259E-3</v>
      </c>
      <c r="AL58" s="442">
        <f t="shared" si="21"/>
        <v>9.6660440016604395E-3</v>
      </c>
      <c r="AM58" s="443" t="str">
        <f t="shared" si="22"/>
        <v>0 pts.</v>
      </c>
      <c r="AN58" s="444" t="str">
        <f t="shared" si="23"/>
        <v>0 pts.</v>
      </c>
      <c r="AO58" s="11"/>
    </row>
    <row r="59" spans="1:41" x14ac:dyDescent="0.35">
      <c r="A59" s="65" t="s">
        <v>25</v>
      </c>
      <c r="B59" s="66"/>
      <c r="C59" s="11"/>
      <c r="D59" s="11"/>
      <c r="E59" s="11"/>
      <c r="F59" s="11"/>
      <c r="G59" s="11"/>
      <c r="H59" s="88" t="s">
        <v>849</v>
      </c>
      <c r="I59" s="122" t="str">
        <f>IF(_epmOfflineCondition_,"T4",_xll.EVPRO($B$1,$H59,"STYLE"))</f>
        <v>T4</v>
      </c>
      <c r="J59" s="122" t="str">
        <f>IF(_epmOfflineCondition_,"Y",_xll.EVPRO($B$1,$H59,"CALC"))</f>
        <v>Y</v>
      </c>
      <c r="K59" s="179" t="str">
        <f t="shared" si="12"/>
        <v>&gt;</v>
      </c>
      <c r="L59" s="90" t="str">
        <f>IF(_epmOfflineCondition_,"706500",_xll.EVPRO($B$1,H59,"JDEID"))</f>
        <v>706500</v>
      </c>
      <c r="M59" s="90" t="str">
        <f>IF(_epmOfflineCondition_,"",IF(AND(I59="N",J59="N"),_xll.EVPRO($B$1,H59,"PSFTID"),""))</f>
        <v/>
      </c>
      <c r="N59" s="90" t="str">
        <f>IF(_epmOfflineCondition_,"Corporate Office Reimbursement",IF(_xll.EVDES(H59,$B$1)="#NODATA","",_xll.EVDES(H59,$B$1)))</f>
        <v>Corporate Office Reimbursement</v>
      </c>
      <c r="O59" s="143">
        <v>22255.11</v>
      </c>
      <c r="P59" s="143">
        <v>22366.86</v>
      </c>
      <c r="Q59" s="143">
        <v>7265.39</v>
      </c>
      <c r="R59" s="143">
        <v>-125.14</v>
      </c>
      <c r="S59" s="143">
        <v>-228.07</v>
      </c>
      <c r="T59" s="143">
        <v>1797.31</v>
      </c>
      <c r="U59" s="143">
        <v>1472.28</v>
      </c>
      <c r="V59" s="143">
        <v>2304.3000000000002</v>
      </c>
      <c r="W59" s="143">
        <v>4218.33</v>
      </c>
      <c r="X59" s="143">
        <v>5249.09</v>
      </c>
      <c r="Y59" s="143">
        <v>5102.16</v>
      </c>
      <c r="Z59" s="143">
        <v>9705.1200000000008</v>
      </c>
      <c r="AA59" s="210">
        <f t="shared" si="13"/>
        <v>81382.740000000005</v>
      </c>
      <c r="AB59" s="144">
        <f t="shared" si="14"/>
        <v>1.5610463658760756E-2</v>
      </c>
      <c r="AC59" s="140"/>
      <c r="AD59" s="143">
        <v>168536.74960000001</v>
      </c>
      <c r="AE59" s="144">
        <f t="shared" si="15"/>
        <v>1.299259819118634E-2</v>
      </c>
      <c r="AF59" s="145">
        <f t="shared" si="16"/>
        <v>-87154.009600000005</v>
      </c>
      <c r="AG59" s="143">
        <v>126798.89</v>
      </c>
      <c r="AH59" s="144">
        <f t="shared" si="17"/>
        <v>1.5120324836168625E-2</v>
      </c>
      <c r="AI59" s="145">
        <f t="shared" si="18"/>
        <v>-45416.149999999994</v>
      </c>
      <c r="AJ59" s="440">
        <f t="shared" si="19"/>
        <v>1.6845243417784403</v>
      </c>
      <c r="AK59" s="441">
        <f t="shared" si="20"/>
        <v>3.4885069879119062</v>
      </c>
      <c r="AL59" s="442">
        <f t="shared" si="21"/>
        <v>2.6317743877127437</v>
      </c>
      <c r="AM59" s="443" t="str">
        <f t="shared" si="22"/>
        <v>0.26 pts.</v>
      </c>
      <c r="AN59" s="444" t="str">
        <f t="shared" si="23"/>
        <v>0.05 pts.</v>
      </c>
      <c r="AO59" s="11"/>
    </row>
    <row r="60" spans="1:41" x14ac:dyDescent="0.35">
      <c r="A60" s="65" t="s">
        <v>26</v>
      </c>
      <c r="B60" s="66"/>
      <c r="C60" s="11"/>
      <c r="D60" s="11"/>
      <c r="E60" s="11"/>
      <c r="F60" s="11"/>
      <c r="G60" s="11"/>
      <c r="H60" s="88" t="s">
        <v>942</v>
      </c>
      <c r="I60" s="122" t="str">
        <f>IF(_epmOfflineCondition_,"T4",_xll.EVPRO($B$1,$H60,"STYLE"))</f>
        <v>T4</v>
      </c>
      <c r="J60" s="122" t="str">
        <f>IF(_epmOfflineCondition_,"Y",_xll.EVPRO($B$1,$H60,"CALC"))</f>
        <v>Y</v>
      </c>
      <c r="K60" s="179" t="str">
        <f t="shared" si="12"/>
        <v>&gt;</v>
      </c>
      <c r="L60" s="90" t="str">
        <f>IF(_epmOfflineCondition_,"711100",_xll.EVPRO($B$1,H60,"JDEID"))</f>
        <v>711100</v>
      </c>
      <c r="M60" s="90" t="str">
        <f>IF(_epmOfflineCondition_,"",IF(AND(I60="N",J60="N"),_xll.EVPRO($B$1,H60,"PSFTID"),""))</f>
        <v/>
      </c>
      <c r="N60" s="90" t="str">
        <f>IF(_epmOfflineCondition_,"Promotion",IF(_xll.EVDES(H60,$B$1)="#NODATA","",_xll.EVDES(H60,$B$1)))</f>
        <v>Promotion</v>
      </c>
      <c r="O60" s="143">
        <v>6910.46</v>
      </c>
      <c r="P60" s="143">
        <v>8686.3700000000008</v>
      </c>
      <c r="Q60" s="143">
        <v>3208.23</v>
      </c>
      <c r="R60" s="143">
        <v>-200</v>
      </c>
      <c r="S60" s="143"/>
      <c r="T60" s="143"/>
      <c r="U60" s="143"/>
      <c r="V60" s="143"/>
      <c r="W60" s="143"/>
      <c r="X60" s="143">
        <v>1150</v>
      </c>
      <c r="Y60" s="143">
        <v>409.17</v>
      </c>
      <c r="Z60" s="143">
        <v>769.36</v>
      </c>
      <c r="AA60" s="210">
        <f t="shared" si="13"/>
        <v>20933.59</v>
      </c>
      <c r="AB60" s="144">
        <f t="shared" si="14"/>
        <v>4.015385153441596E-3</v>
      </c>
      <c r="AC60" s="140"/>
      <c r="AD60" s="143">
        <v>32285.5</v>
      </c>
      <c r="AE60" s="144">
        <f t="shared" si="15"/>
        <v>2.488908382872637E-3</v>
      </c>
      <c r="AF60" s="145">
        <f t="shared" si="16"/>
        <v>-11351.91</v>
      </c>
      <c r="AG60" s="143">
        <v>86103.28</v>
      </c>
      <c r="AH60" s="144">
        <f t="shared" si="17"/>
        <v>1.0267515457426964E-2</v>
      </c>
      <c r="AI60" s="145">
        <f t="shared" si="18"/>
        <v>-65169.69</v>
      </c>
      <c r="AJ60" s="440">
        <f t="shared" si="19"/>
        <v>0.43330000827951648</v>
      </c>
      <c r="AK60" s="441">
        <f t="shared" si="20"/>
        <v>0.6682708229839377</v>
      </c>
      <c r="AL60" s="442">
        <f t="shared" si="21"/>
        <v>1.7871166459111665</v>
      </c>
      <c r="AM60" s="443" t="str">
        <f t="shared" si="22"/>
        <v>0.15 pts.</v>
      </c>
      <c r="AN60" s="444" t="str">
        <f t="shared" si="23"/>
        <v>-0.63 pts.</v>
      </c>
      <c r="AO60" s="11"/>
    </row>
    <row r="61" spans="1:41" x14ac:dyDescent="0.35">
      <c r="A61" s="65" t="s">
        <v>27</v>
      </c>
      <c r="B61" s="66"/>
      <c r="C61" s="11"/>
      <c r="D61" s="11"/>
      <c r="E61" s="11"/>
      <c r="F61" s="11"/>
      <c r="G61" s="11"/>
      <c r="H61" s="88" t="s">
        <v>943</v>
      </c>
      <c r="I61" s="122" t="str">
        <f>IF(_epmOfflineCondition_,"N",_xll.EVPRO($B$1,$H61,"STYLE"))</f>
        <v>N</v>
      </c>
      <c r="J61" s="122" t="str">
        <f>IF(_epmOfflineCondition_,"N",_xll.EVPRO($B$1,$H61,"CALC"))</f>
        <v>N</v>
      </c>
      <c r="K61" s="179" t="str">
        <f t="shared" si="12"/>
        <v/>
      </c>
      <c r="L61" s="90" t="str">
        <f>IF(_epmOfflineCondition_,"711200",_xll.EVPRO($B$1,H61,"JDEID"))</f>
        <v>711200</v>
      </c>
      <c r="M61" s="90" t="str">
        <f>IF(_epmOfflineCondition_,"690668",IF(AND(I61="N",J61="N"),_xll.EVPRO($B$1,H61,"PSFTID"),""))</f>
        <v>690668</v>
      </c>
      <c r="N61" s="90" t="str">
        <f>IF(_epmOfflineCondition_,"Fam Trips",IF(_xll.EVDES(H61,$B$1)="#NODATA","",_xll.EVDES(H61,$B$1)))</f>
        <v>Fam Trips</v>
      </c>
      <c r="O61" s="143"/>
      <c r="P61" s="143"/>
      <c r="Q61" s="143"/>
      <c r="R61" s="143"/>
      <c r="S61" s="143"/>
      <c r="T61" s="143"/>
      <c r="U61" s="143"/>
      <c r="V61" s="143"/>
      <c r="W61" s="143"/>
      <c r="X61" s="143"/>
      <c r="Y61" s="143"/>
      <c r="Z61" s="143"/>
      <c r="AA61" s="210">
        <f t="shared" si="13"/>
        <v>0</v>
      </c>
      <c r="AB61" s="144" t="str">
        <f t="shared" si="14"/>
        <v/>
      </c>
      <c r="AC61" s="140"/>
      <c r="AD61" s="143">
        <v>10675</v>
      </c>
      <c r="AE61" s="144">
        <f t="shared" si="15"/>
        <v>8.2294209435088204E-4</v>
      </c>
      <c r="AF61" s="145">
        <f t="shared" si="16"/>
        <v>-10675</v>
      </c>
      <c r="AG61" s="143">
        <v>6388.95</v>
      </c>
      <c r="AH61" s="144">
        <f t="shared" si="17"/>
        <v>7.618599765505797E-4</v>
      </c>
      <c r="AI61" s="145">
        <f t="shared" si="18"/>
        <v>-6388.95</v>
      </c>
      <c r="AJ61" s="440">
        <f t="shared" si="19"/>
        <v>0</v>
      </c>
      <c r="AK61" s="441">
        <f t="shared" si="20"/>
        <v>0.22095959595959597</v>
      </c>
      <c r="AL61" s="442">
        <f t="shared" si="21"/>
        <v>0.13260585305105851</v>
      </c>
      <c r="AM61" s="443">
        <f t="shared" si="22"/>
        <v>0</v>
      </c>
      <c r="AN61" s="444">
        <f t="shared" si="23"/>
        <v>0</v>
      </c>
      <c r="AO61" s="11"/>
    </row>
    <row r="62" spans="1:41" x14ac:dyDescent="0.35">
      <c r="A62" s="65" t="s">
        <v>28</v>
      </c>
      <c r="B62" s="66"/>
      <c r="C62" s="11"/>
      <c r="D62" s="11"/>
      <c r="E62" s="11"/>
      <c r="F62" s="11"/>
      <c r="G62" s="11"/>
      <c r="H62" s="88" t="s">
        <v>944</v>
      </c>
      <c r="I62" s="122" t="str">
        <f>IF(_epmOfflineCondition_,"N",_xll.EVPRO($B$1,$H62,"STYLE"))</f>
        <v>N</v>
      </c>
      <c r="J62" s="122" t="str">
        <f>IF(_epmOfflineCondition_,"N",_xll.EVPRO($B$1,$H62,"CALC"))</f>
        <v>N</v>
      </c>
      <c r="K62" s="179" t="str">
        <f t="shared" si="12"/>
        <v/>
      </c>
      <c r="L62" s="90" t="str">
        <f>IF(_epmOfflineCondition_,"711300",_xll.EVPRO($B$1,H62,"JDEID"))</f>
        <v>711300</v>
      </c>
      <c r="M62" s="90" t="str">
        <f>IF(_epmOfflineCondition_,"590399",IF(AND(I62="N",J62="N"),_xll.EVPRO($B$1,H62,"PSFTID"),""))</f>
        <v>590399</v>
      </c>
      <c r="N62" s="90" t="str">
        <f>IF(_epmOfflineCondition_,"Outside Sales Representation",IF(_xll.EVDES(H62,$B$1)="#NODATA","",_xll.EVDES(H62,$B$1)))</f>
        <v>Outside Sales Representation</v>
      </c>
      <c r="O62" s="143"/>
      <c r="P62" s="143"/>
      <c r="Q62" s="143"/>
      <c r="R62" s="143"/>
      <c r="S62" s="143"/>
      <c r="T62" s="143"/>
      <c r="U62" s="143"/>
      <c r="V62" s="143"/>
      <c r="W62" s="143"/>
      <c r="X62" s="143"/>
      <c r="Y62" s="143"/>
      <c r="Z62" s="143"/>
      <c r="AA62" s="210">
        <f t="shared" si="13"/>
        <v>0</v>
      </c>
      <c r="AB62" s="144" t="str">
        <f t="shared" si="14"/>
        <v/>
      </c>
      <c r="AC62" s="140"/>
      <c r="AD62" s="143"/>
      <c r="AE62" s="144" t="str">
        <f t="shared" si="15"/>
        <v/>
      </c>
      <c r="AF62" s="145">
        <f t="shared" si="16"/>
        <v>0</v>
      </c>
      <c r="AG62" s="143">
        <v>22.57</v>
      </c>
      <c r="AH62" s="144">
        <f t="shared" si="17"/>
        <v>2.691393682959889E-6</v>
      </c>
      <c r="AI62" s="145">
        <f t="shared" si="18"/>
        <v>-22.57</v>
      </c>
      <c r="AJ62" s="440">
        <f t="shared" si="19"/>
        <v>0</v>
      </c>
      <c r="AK62" s="441">
        <f t="shared" si="20"/>
        <v>0</v>
      </c>
      <c r="AL62" s="442">
        <f t="shared" si="21"/>
        <v>4.6845163968451639E-4</v>
      </c>
      <c r="AM62" s="443">
        <f t="shared" si="22"/>
        <v>0</v>
      </c>
      <c r="AN62" s="444">
        <f t="shared" si="23"/>
        <v>0</v>
      </c>
      <c r="AO62" s="11"/>
    </row>
    <row r="63" spans="1:41" x14ac:dyDescent="0.35">
      <c r="A63" s="65" t="s">
        <v>29</v>
      </c>
      <c r="B63" s="66"/>
      <c r="C63" s="11"/>
      <c r="D63" s="11"/>
      <c r="E63" s="11"/>
      <c r="F63" s="11"/>
      <c r="G63" s="11"/>
      <c r="H63" s="88" t="s">
        <v>945</v>
      </c>
      <c r="I63" s="122" t="str">
        <f>IF(_epmOfflineCondition_,"N",_xll.EVPRO($B$1,$H63,"STYLE"))</f>
        <v>N</v>
      </c>
      <c r="J63" s="122" t="str">
        <f>IF(_epmOfflineCondition_,"N",_xll.EVPRO($B$1,$H63,"CALC"))</f>
        <v>N</v>
      </c>
      <c r="K63" s="179" t="str">
        <f t="shared" si="12"/>
        <v/>
      </c>
      <c r="L63" s="90" t="str">
        <f>IF(_epmOfflineCondition_,"711400",_xll.EVPRO($B$1,H63,"JDEID"))</f>
        <v>711400</v>
      </c>
      <c r="M63" s="90" t="str">
        <f>IF(_epmOfflineCondition_,"690674",IF(AND(I63="N",J63="N"),_xll.EVPRO($B$1,H63,"PSFTID"),""))</f>
        <v>690674</v>
      </c>
      <c r="N63" s="90" t="str">
        <f>IF(_epmOfflineCondition_,"Trade Shows",IF(_xll.EVDES(H63,$B$1)="#NODATA","",_xll.EVDES(H63,$B$1)))</f>
        <v>Trade Shows</v>
      </c>
      <c r="O63" s="143">
        <v>312.18</v>
      </c>
      <c r="P63" s="143">
        <v>4612.55</v>
      </c>
      <c r="Q63" s="143"/>
      <c r="R63" s="143">
        <v>561.14</v>
      </c>
      <c r="S63" s="143"/>
      <c r="T63" s="143"/>
      <c r="U63" s="143"/>
      <c r="V63" s="143"/>
      <c r="W63" s="143"/>
      <c r="X63" s="143">
        <v>32.869999999999997</v>
      </c>
      <c r="Y63" s="143"/>
      <c r="Z63" s="143">
        <v>15.51</v>
      </c>
      <c r="AA63" s="210">
        <f t="shared" si="13"/>
        <v>5534.2500000000009</v>
      </c>
      <c r="AB63" s="144">
        <f t="shared" si="14"/>
        <v>1.0615544340666918E-3</v>
      </c>
      <c r="AC63" s="140"/>
      <c r="AD63" s="143">
        <v>7085</v>
      </c>
      <c r="AE63" s="144">
        <f t="shared" si="15"/>
        <v>5.4618686074716619E-4</v>
      </c>
      <c r="AF63" s="145">
        <f t="shared" si="16"/>
        <v>-1550.7499999999991</v>
      </c>
      <c r="AG63" s="143">
        <v>15741.39</v>
      </c>
      <c r="AH63" s="144">
        <f t="shared" si="17"/>
        <v>1.8771057867526791E-3</v>
      </c>
      <c r="AI63" s="145">
        <f t="shared" si="18"/>
        <v>-10207.14</v>
      </c>
      <c r="AJ63" s="440">
        <f t="shared" si="19"/>
        <v>0.11455228514654746</v>
      </c>
      <c r="AK63" s="441">
        <f t="shared" si="20"/>
        <v>0.14665093558536182</v>
      </c>
      <c r="AL63" s="442">
        <f t="shared" si="21"/>
        <v>0.3267204234122042</v>
      </c>
      <c r="AM63" s="443" t="str">
        <f t="shared" si="22"/>
        <v>0.05 pts.</v>
      </c>
      <c r="AN63" s="444" t="str">
        <f t="shared" si="23"/>
        <v>-0.08 pts.</v>
      </c>
      <c r="AO63" s="11"/>
    </row>
    <row r="64" spans="1:41" x14ac:dyDescent="0.35">
      <c r="A64" s="65" t="s">
        <v>30</v>
      </c>
      <c r="B64" s="66" t="s">
        <v>78</v>
      </c>
      <c r="C64" s="11"/>
      <c r="D64" s="11"/>
      <c r="E64" s="11"/>
      <c r="F64" s="11"/>
      <c r="G64" s="11"/>
      <c r="H64" s="88" t="s">
        <v>946</v>
      </c>
      <c r="I64" s="122" t="str">
        <f>IF(_epmOfflineCondition_,"N",_xll.EVPRO($B$1,$H64,"STYLE"))</f>
        <v>N</v>
      </c>
      <c r="J64" s="122" t="str">
        <f>IF(_epmOfflineCondition_,"Y",_xll.EVPRO($B$1,$H64,"CALC"))</f>
        <v>Y</v>
      </c>
      <c r="K64" s="179" t="str">
        <f t="shared" si="12"/>
        <v/>
      </c>
      <c r="L64" s="90" t="str">
        <f>IF(_epmOfflineCondition_,"712100",_xll.EVPRO($B$1,H64,"JDEID"))</f>
        <v>712100</v>
      </c>
      <c r="M64" s="90" t="str">
        <f>IF(_epmOfflineCondition_,"",IF(AND(I64="N",J64="N"),_xll.EVPRO($B$1,H64,"PSFTID"),""))</f>
        <v/>
      </c>
      <c r="N64" s="90" t="str">
        <f>IF(_epmOfflineCondition_,"Collateral Materials",IF(_xll.EVDES(H64,$B$1)="#NODATA","",_xll.EVDES(H64,$B$1)))</f>
        <v>Collateral Materials</v>
      </c>
      <c r="O64" s="143"/>
      <c r="P64" s="143"/>
      <c r="Q64" s="143"/>
      <c r="R64" s="143"/>
      <c r="S64" s="143"/>
      <c r="T64" s="143"/>
      <c r="U64" s="143"/>
      <c r="V64" s="143"/>
      <c r="W64" s="143"/>
      <c r="X64" s="143"/>
      <c r="Y64" s="143"/>
      <c r="Z64" s="143"/>
      <c r="AA64" s="210">
        <f t="shared" si="13"/>
        <v>0</v>
      </c>
      <c r="AB64" s="144" t="str">
        <f t="shared" si="14"/>
        <v/>
      </c>
      <c r="AC64" s="140"/>
      <c r="AD64" s="143">
        <v>4600</v>
      </c>
      <c r="AE64" s="144">
        <f t="shared" si="15"/>
        <v>3.5461673386548545E-4</v>
      </c>
      <c r="AF64" s="145">
        <f t="shared" si="16"/>
        <v>-4600</v>
      </c>
      <c r="AG64" s="143">
        <v>1113.46</v>
      </c>
      <c r="AH64" s="144">
        <f t="shared" si="17"/>
        <v>1.3277621666940711E-4</v>
      </c>
      <c r="AI64" s="145">
        <f t="shared" si="18"/>
        <v>-1113.46</v>
      </c>
      <c r="AJ64" s="440">
        <f t="shared" si="19"/>
        <v>0</v>
      </c>
      <c r="AK64" s="441">
        <f t="shared" si="20"/>
        <v>9.5214439476734553E-2</v>
      </c>
      <c r="AL64" s="442">
        <f t="shared" si="21"/>
        <v>2.3110419261104194E-2</v>
      </c>
      <c r="AM64" s="443">
        <f t="shared" si="22"/>
        <v>0</v>
      </c>
      <c r="AN64" s="444">
        <f t="shared" si="23"/>
        <v>0</v>
      </c>
      <c r="AO64" s="11"/>
    </row>
    <row r="65" spans="1:41" x14ac:dyDescent="0.35">
      <c r="A65" s="65" t="s">
        <v>31</v>
      </c>
      <c r="B65" s="66" t="s">
        <v>78</v>
      </c>
      <c r="C65" s="11"/>
      <c r="D65" s="11"/>
      <c r="E65" s="11"/>
      <c r="F65" s="11"/>
      <c r="G65" s="11"/>
      <c r="H65" s="88" t="s">
        <v>947</v>
      </c>
      <c r="I65" s="122" t="str">
        <f>IF(_epmOfflineCondition_,"N",_xll.EVPRO($B$1,$H65,"STYLE"))</f>
        <v>N</v>
      </c>
      <c r="J65" s="122" t="str">
        <f>IF(_epmOfflineCondition_,"N",_xll.EVPRO($B$1,$H65,"CALC"))</f>
        <v>N</v>
      </c>
      <c r="K65" s="179" t="str">
        <f t="shared" si="12"/>
        <v/>
      </c>
      <c r="L65" s="90" t="str">
        <f>IF(_epmOfflineCondition_,"712200",_xll.EVPRO($B$1,H65,"JDEID"))</f>
        <v>712200</v>
      </c>
      <c r="M65" s="90" t="str">
        <f>IF(_epmOfflineCondition_,"690533",IF(AND(I65="N",J65="N"),_xll.EVPRO($B$1,H65,"PSFTID"),""))</f>
        <v>690533</v>
      </c>
      <c r="N65" s="90" t="str">
        <f>IF(_epmOfflineCondition_,"Direct Mail",IF(_xll.EVDES(H65,$B$1)="#NODATA","",_xll.EVDES(H65,$B$1)))</f>
        <v>Direct Mail</v>
      </c>
      <c r="O65" s="143"/>
      <c r="P65" s="143"/>
      <c r="Q65" s="143"/>
      <c r="R65" s="143"/>
      <c r="S65" s="143"/>
      <c r="T65" s="143">
        <v>235.28</v>
      </c>
      <c r="U65" s="143"/>
      <c r="V65" s="143"/>
      <c r="W65" s="143"/>
      <c r="X65" s="143"/>
      <c r="Y65" s="143"/>
      <c r="Z65" s="143"/>
      <c r="AA65" s="210">
        <f t="shared" si="13"/>
        <v>235.28</v>
      </c>
      <c r="AB65" s="144">
        <f t="shared" si="14"/>
        <v>4.513032971897027E-5</v>
      </c>
      <c r="AC65" s="140"/>
      <c r="AD65" s="143"/>
      <c r="AE65" s="144" t="str">
        <f t="shared" si="15"/>
        <v/>
      </c>
      <c r="AF65" s="145">
        <f t="shared" si="16"/>
        <v>235.28</v>
      </c>
      <c r="AG65" s="143"/>
      <c r="AH65" s="144" t="str">
        <f t="shared" si="17"/>
        <v/>
      </c>
      <c r="AI65" s="145">
        <f t="shared" si="18"/>
        <v>235.28</v>
      </c>
      <c r="AJ65" s="440">
        <f t="shared" si="19"/>
        <v>4.8700115913230665E-3</v>
      </c>
      <c r="AK65" s="441">
        <f t="shared" si="20"/>
        <v>0</v>
      </c>
      <c r="AL65" s="442">
        <f t="shared" si="21"/>
        <v>0</v>
      </c>
      <c r="AM65" s="443">
        <f t="shared" si="22"/>
        <v>0</v>
      </c>
      <c r="AN65" s="444">
        <f t="shared" si="23"/>
        <v>0</v>
      </c>
      <c r="AO65" s="11"/>
    </row>
    <row r="66" spans="1:41" x14ac:dyDescent="0.35">
      <c r="A66" s="65" t="s">
        <v>32</v>
      </c>
      <c r="B66" s="66"/>
      <c r="C66" s="11"/>
      <c r="D66" s="11"/>
      <c r="E66" s="11"/>
      <c r="F66" s="11"/>
      <c r="G66" s="11"/>
      <c r="H66" s="88" t="s">
        <v>948</v>
      </c>
      <c r="I66" s="122" t="str">
        <f>IF(_epmOfflineCondition_,"N",_xll.EVPRO($B$1,$H66,"STYLE"))</f>
        <v>N</v>
      </c>
      <c r="J66" s="122" t="str">
        <f>IF(_epmOfflineCondition_,"N",_xll.EVPRO($B$1,$H66,"CALC"))</f>
        <v>N</v>
      </c>
      <c r="K66" s="179" t="str">
        <f t="shared" si="12"/>
        <v/>
      </c>
      <c r="L66" s="90" t="str">
        <f>IF(_epmOfflineCondition_,"712400",_xll.EVPRO($B$1,H66,"JDEID"))</f>
        <v>712400</v>
      </c>
      <c r="M66" s="90" t="str">
        <f>IF(_epmOfflineCondition_,"690655",IF(AND(I66="N",J66="N"),_xll.EVPRO($B$1,H66,"PSFTID"),""))</f>
        <v>690655</v>
      </c>
      <c r="N66" s="90" t="str">
        <f>IF(_epmOfflineCondition_,"Website",IF(_xll.EVDES(H66,$B$1)="#NODATA","",_xll.EVDES(H66,$B$1)))</f>
        <v>Website</v>
      </c>
      <c r="O66" s="143">
        <v>4412.33</v>
      </c>
      <c r="P66" s="143">
        <v>2358.33</v>
      </c>
      <c r="Q66" s="143">
        <v>2508.33</v>
      </c>
      <c r="R66" s="143">
        <v>1250</v>
      </c>
      <c r="S66" s="143">
        <v>1100</v>
      </c>
      <c r="T66" s="143">
        <v>1394.44</v>
      </c>
      <c r="U66" s="143">
        <v>705.56</v>
      </c>
      <c r="V66" s="143">
        <v>850</v>
      </c>
      <c r="W66" s="143">
        <v>1559</v>
      </c>
      <c r="X66" s="143">
        <v>5475.57</v>
      </c>
      <c r="Y66" s="143">
        <v>-3510</v>
      </c>
      <c r="Z66" s="143">
        <v>2195.06</v>
      </c>
      <c r="AA66" s="210">
        <f t="shared" si="13"/>
        <v>20298.62</v>
      </c>
      <c r="AB66" s="144">
        <f t="shared" si="14"/>
        <v>3.8935881224077024E-3</v>
      </c>
      <c r="AC66" s="140"/>
      <c r="AD66" s="143">
        <v>39945</v>
      </c>
      <c r="AE66" s="144">
        <f t="shared" si="15"/>
        <v>3.0793837900558296E-3</v>
      </c>
      <c r="AF66" s="145">
        <f t="shared" si="16"/>
        <v>-19646.38</v>
      </c>
      <c r="AG66" s="143">
        <v>35146.559999999998</v>
      </c>
      <c r="AH66" s="144">
        <f t="shared" si="17"/>
        <v>4.1911045441635235E-3</v>
      </c>
      <c r="AI66" s="145">
        <f t="shared" si="18"/>
        <v>-14847.939999999999</v>
      </c>
      <c r="AJ66" s="440">
        <f t="shared" si="19"/>
        <v>0.42015689683722468</v>
      </c>
      <c r="AK66" s="441">
        <f t="shared" si="20"/>
        <v>0.82681321410829611</v>
      </c>
      <c r="AL66" s="442">
        <f t="shared" si="21"/>
        <v>0.72948443337484425</v>
      </c>
      <c r="AM66" s="443" t="str">
        <f t="shared" si="22"/>
        <v>0.08 pts.</v>
      </c>
      <c r="AN66" s="444" t="str">
        <f t="shared" si="23"/>
        <v>-0.03 pts.</v>
      </c>
      <c r="AO66" s="11"/>
    </row>
    <row r="67" spans="1:41" x14ac:dyDescent="0.35">
      <c r="A67" s="65" t="s">
        <v>33</v>
      </c>
      <c r="B67" s="66"/>
      <c r="C67" s="11"/>
      <c r="D67" s="11"/>
      <c r="E67" s="11"/>
      <c r="F67" s="11"/>
      <c r="G67" s="11"/>
      <c r="H67" s="88" t="s">
        <v>949</v>
      </c>
      <c r="I67" s="122" t="str">
        <f>IF(_epmOfflineCondition_,"T5",_xll.EVPRO($B$1,$H67,"STYLE"))</f>
        <v>T5</v>
      </c>
      <c r="J67" s="122" t="str">
        <f>IF(_epmOfflineCondition_,"Y",_xll.EVPRO($B$1,$H67,"CALC"))</f>
        <v>Y</v>
      </c>
      <c r="K67" s="179" t="str">
        <f t="shared" si="12"/>
        <v>&gt;</v>
      </c>
      <c r="L67" s="90" t="str">
        <f>IF(_epmOfflineCondition_,"712600",_xll.EVPRO($B$1,H67,"JDEID"))</f>
        <v>712600</v>
      </c>
      <c r="M67" s="90" t="str">
        <f>IF(_epmOfflineCondition_,"",IF(AND(I67="N",J67="N"),_xll.EVPRO($B$1,H67,"PSFTID"),""))</f>
        <v/>
      </c>
      <c r="N67" s="90" t="str">
        <f>IF(_epmOfflineCondition_,"Media",IF(_xll.EVDES(H67,$B$1)="#NODATA","",_xll.EVDES(H67,$B$1)))</f>
        <v>Media</v>
      </c>
      <c r="O67" s="143">
        <v>11872.73</v>
      </c>
      <c r="P67" s="143">
        <v>5806.44</v>
      </c>
      <c r="Q67" s="143">
        <v>7872.41</v>
      </c>
      <c r="R67" s="143">
        <v>1.62</v>
      </c>
      <c r="S67" s="143"/>
      <c r="T67" s="143">
        <v>954.6</v>
      </c>
      <c r="U67" s="143">
        <v>5390.69</v>
      </c>
      <c r="V67" s="143">
        <v>3327.19</v>
      </c>
      <c r="W67" s="143">
        <v>4699.1899999999996</v>
      </c>
      <c r="X67" s="143">
        <v>4802.93</v>
      </c>
      <c r="Y67" s="143">
        <v>4109</v>
      </c>
      <c r="Z67" s="143">
        <v>3442.5</v>
      </c>
      <c r="AA67" s="210">
        <f t="shared" si="13"/>
        <v>52279.299999999996</v>
      </c>
      <c r="AB67" s="144">
        <f t="shared" si="14"/>
        <v>1.0027975376049651E-2</v>
      </c>
      <c r="AC67" s="140"/>
      <c r="AD67" s="143">
        <v>129240</v>
      </c>
      <c r="AE67" s="144">
        <f t="shared" si="15"/>
        <v>9.963188409733769E-3</v>
      </c>
      <c r="AF67" s="145">
        <f t="shared" si="16"/>
        <v>-76960.700000000012</v>
      </c>
      <c r="AG67" s="143">
        <v>125699.55</v>
      </c>
      <c r="AH67" s="144">
        <f t="shared" si="17"/>
        <v>1.4989232380190551E-2</v>
      </c>
      <c r="AI67" s="145">
        <f t="shared" si="18"/>
        <v>-73420.25</v>
      </c>
      <c r="AJ67" s="440">
        <f t="shared" si="19"/>
        <v>1.0821183142904454</v>
      </c>
      <c r="AK67" s="441">
        <f t="shared" si="20"/>
        <v>2.675111773472429</v>
      </c>
      <c r="AL67" s="442">
        <f t="shared" si="21"/>
        <v>2.6089570361145706</v>
      </c>
      <c r="AM67" s="443" t="str">
        <f t="shared" si="22"/>
        <v>0.01 pts.</v>
      </c>
      <c r="AN67" s="444" t="str">
        <f t="shared" si="23"/>
        <v>-0.5 pts.</v>
      </c>
      <c r="AO67" s="11"/>
    </row>
    <row r="68" spans="1:41" x14ac:dyDescent="0.35">
      <c r="A68" s="65" t="s">
        <v>34</v>
      </c>
      <c r="B68" s="66"/>
      <c r="C68" s="11"/>
      <c r="D68" s="11"/>
      <c r="E68" s="11"/>
      <c r="F68" s="11"/>
      <c r="G68" s="11"/>
      <c r="H68" s="88" t="s">
        <v>950</v>
      </c>
      <c r="I68" s="122" t="str">
        <f>IF(_epmOfflineCondition_,"N",_xll.EVPRO($B$1,$H68,"STYLE"))</f>
        <v>N</v>
      </c>
      <c r="J68" s="122" t="str">
        <f>IF(_epmOfflineCondition_,"N",_xll.EVPRO($B$1,$H68,"CALC"))</f>
        <v>N</v>
      </c>
      <c r="K68" s="179" t="str">
        <f t="shared" si="12"/>
        <v/>
      </c>
      <c r="L68" s="90" t="str">
        <f>IF(_epmOfflineCondition_,"712800",_xll.EVPRO($B$1,H68,"JDEID"))</f>
        <v>712800</v>
      </c>
      <c r="M68" s="90" t="str">
        <f>IF(_epmOfflineCondition_,"690953",IF(AND(I68="N",J68="N"),_xll.EVPRO($B$1,H68,"PSFTID"),""))</f>
        <v>690953</v>
      </c>
      <c r="N68" s="90" t="str">
        <f>IF(_epmOfflineCondition_,"Outside Services Market Research",IF(_xll.EVDES(H68,$B$1)="#NODATA","",_xll.EVDES(H68,$B$1)))</f>
        <v>Outside Services Market Research</v>
      </c>
      <c r="O68" s="143">
        <v>916.94</v>
      </c>
      <c r="P68" s="143">
        <v>2166.88</v>
      </c>
      <c r="Q68" s="143">
        <v>-565.9</v>
      </c>
      <c r="R68" s="143">
        <v>969.1</v>
      </c>
      <c r="S68" s="143">
        <v>924.1</v>
      </c>
      <c r="T68" s="143">
        <v>772.35</v>
      </c>
      <c r="U68" s="143">
        <v>620.6</v>
      </c>
      <c r="V68" s="143">
        <v>620.6</v>
      </c>
      <c r="W68" s="143">
        <v>620.6</v>
      </c>
      <c r="X68" s="143">
        <v>2640.6</v>
      </c>
      <c r="Y68" s="143">
        <v>1125.5999999999999</v>
      </c>
      <c r="Z68" s="143">
        <v>2608.5</v>
      </c>
      <c r="AA68" s="210">
        <f t="shared" si="13"/>
        <v>13419.970000000001</v>
      </c>
      <c r="AB68" s="144">
        <f t="shared" si="14"/>
        <v>2.5741570508274799E-3</v>
      </c>
      <c r="AC68" s="140"/>
      <c r="AD68" s="143">
        <v>12924</v>
      </c>
      <c r="AE68" s="144">
        <f t="shared" si="15"/>
        <v>9.9631884097337703E-4</v>
      </c>
      <c r="AF68" s="145">
        <f t="shared" si="16"/>
        <v>495.97000000000116</v>
      </c>
      <c r="AG68" s="143">
        <v>12820.88</v>
      </c>
      <c r="AH68" s="144">
        <f t="shared" si="17"/>
        <v>1.528845168010048E-3</v>
      </c>
      <c r="AI68" s="145">
        <f t="shared" si="18"/>
        <v>599.09000000000196</v>
      </c>
      <c r="AJ68" s="440">
        <f t="shared" si="19"/>
        <v>0.27777715681404208</v>
      </c>
      <c r="AK68" s="441">
        <f t="shared" si="20"/>
        <v>0.26751117734724295</v>
      </c>
      <c r="AL68" s="442">
        <f t="shared" si="21"/>
        <v>0.26610377750103775</v>
      </c>
      <c r="AM68" s="443" t="str">
        <f t="shared" si="22"/>
        <v>0.16 pts.</v>
      </c>
      <c r="AN68" s="444" t="str">
        <f t="shared" si="23"/>
        <v>0.1 pts.</v>
      </c>
      <c r="AO68" s="11"/>
    </row>
    <row r="69" spans="1:41" x14ac:dyDescent="0.35">
      <c r="A69" s="65" t="s">
        <v>35</v>
      </c>
      <c r="B69" s="66"/>
      <c r="C69" s="11"/>
      <c r="D69" s="11"/>
      <c r="E69" s="11"/>
      <c r="F69" s="11"/>
      <c r="G69" s="11"/>
      <c r="H69" s="88" t="s">
        <v>951</v>
      </c>
      <c r="I69" s="122" t="str">
        <f>IF(_epmOfflineCondition_,"N",_xll.EVPRO($B$1,$H69,"STYLE"))</f>
        <v>N</v>
      </c>
      <c r="J69" s="122" t="str">
        <f>IF(_epmOfflineCondition_,"N",_xll.EVPRO($B$1,$H69,"CALC"))</f>
        <v>N</v>
      </c>
      <c r="K69" s="179" t="str">
        <f t="shared" si="12"/>
        <v/>
      </c>
      <c r="L69" s="90" t="str">
        <f>IF(_epmOfflineCondition_,"712900",_xll.EVPRO($B$1,H69,"JDEID"))</f>
        <v>712900</v>
      </c>
      <c r="M69" s="90" t="str">
        <f>IF(_epmOfflineCondition_,"690540",IF(AND(I69="N",J69="N"),_xll.EVPRO($B$1,H69,"PSFTID"),""))</f>
        <v>690540</v>
      </c>
      <c r="N69" s="90" t="str">
        <f>IF(_epmOfflineCondition_,"Photography",IF(_xll.EVDES(H69,$B$1)="#NODATA","",_xll.EVDES(H69,$B$1)))</f>
        <v>Photography</v>
      </c>
      <c r="O69" s="143">
        <v>2691.74</v>
      </c>
      <c r="P69" s="143">
        <v>3050</v>
      </c>
      <c r="Q69" s="143">
        <v>66.150000000000006</v>
      </c>
      <c r="R69" s="143"/>
      <c r="S69" s="143"/>
      <c r="T69" s="143"/>
      <c r="U69" s="143"/>
      <c r="V69" s="143"/>
      <c r="W69" s="143"/>
      <c r="X69" s="143">
        <v>2500</v>
      </c>
      <c r="Y69" s="143"/>
      <c r="Z69" s="143">
        <v>-2350</v>
      </c>
      <c r="AA69" s="210">
        <f t="shared" si="13"/>
        <v>5957.8899999999994</v>
      </c>
      <c r="AB69" s="144">
        <f t="shared" si="14"/>
        <v>1.1428151144566292E-3</v>
      </c>
      <c r="AC69" s="140"/>
      <c r="AD69" s="143">
        <v>13250</v>
      </c>
      <c r="AE69" s="144">
        <f t="shared" si="15"/>
        <v>1.0214503747212353E-3</v>
      </c>
      <c r="AF69" s="145">
        <f t="shared" si="16"/>
        <v>-7292.1100000000006</v>
      </c>
      <c r="AG69" s="143">
        <v>5355.4</v>
      </c>
      <c r="AH69" s="144">
        <f t="shared" si="17"/>
        <v>6.3861274832624677E-4</v>
      </c>
      <c r="AI69" s="145">
        <f t="shared" si="18"/>
        <v>602.48999999999978</v>
      </c>
      <c r="AJ69" s="440">
        <f t="shared" si="19"/>
        <v>0.12332112104653087</v>
      </c>
      <c r="AK69" s="441">
        <f t="shared" si="20"/>
        <v>0.27425898327537673</v>
      </c>
      <c r="AL69" s="442">
        <f t="shared" si="21"/>
        <v>0.11115400581154004</v>
      </c>
      <c r="AM69" s="443" t="str">
        <f t="shared" si="22"/>
        <v>0.01 pts.</v>
      </c>
      <c r="AN69" s="444" t="str">
        <f t="shared" si="23"/>
        <v>0.05 pts.</v>
      </c>
      <c r="AO69" s="11"/>
    </row>
    <row r="70" spans="1:41" x14ac:dyDescent="0.35">
      <c r="A70" s="65" t="s">
        <v>36</v>
      </c>
      <c r="B70" s="66"/>
      <c r="C70" s="11"/>
      <c r="D70" s="11"/>
      <c r="E70" s="11"/>
      <c r="F70" s="11"/>
      <c r="G70" s="11"/>
      <c r="H70" s="88" t="s">
        <v>952</v>
      </c>
      <c r="I70" s="122" t="str">
        <f>IF(_epmOfflineCondition_,"T5",_xll.EVPRO($B$1,$H70,"STYLE"))</f>
        <v>T5</v>
      </c>
      <c r="J70" s="122" t="str">
        <f>IF(_epmOfflineCondition_,"Y",_xll.EVPRO($B$1,$H70,"CALC"))</f>
        <v>Y</v>
      </c>
      <c r="K70" s="179" t="str">
        <f t="shared" si="12"/>
        <v>&gt;</v>
      </c>
      <c r="L70" s="90" t="str">
        <f>IF(_epmOfflineCondition_,"713000",_xll.EVPRO($B$1,H70,"JDEID"))</f>
        <v>713000</v>
      </c>
      <c r="M70" s="90" t="str">
        <f>IF(_epmOfflineCondition_,"",IF(AND(I70="N",J70="N"),_xll.EVPRO($B$1,H70,"PSFTID"),""))</f>
        <v/>
      </c>
      <c r="N70" s="90" t="str">
        <f>IF(_epmOfflineCondition_,"Loyalty Programs",IF(_xll.EVDES(H70,$B$1)="#NODATA","",_xll.EVDES(H70,$B$1)))</f>
        <v>Loyalty Programs</v>
      </c>
      <c r="O70" s="143">
        <v>4431.8599999999997</v>
      </c>
      <c r="P70" s="143">
        <v>12355.03</v>
      </c>
      <c r="Q70" s="143">
        <v>9226.6200000000008</v>
      </c>
      <c r="R70" s="143">
        <v>1473.75</v>
      </c>
      <c r="S70" s="143"/>
      <c r="T70" s="143">
        <v>912.1</v>
      </c>
      <c r="U70" s="143">
        <v>651.25</v>
      </c>
      <c r="V70" s="143">
        <v>968.35</v>
      </c>
      <c r="W70" s="143">
        <v>1928.69</v>
      </c>
      <c r="X70" s="143">
        <v>2585.34</v>
      </c>
      <c r="Y70" s="143">
        <v>1933.4</v>
      </c>
      <c r="Z70" s="143">
        <v>4128.01</v>
      </c>
      <c r="AA70" s="210">
        <f t="shared" si="13"/>
        <v>40594.400000000001</v>
      </c>
      <c r="AB70" s="144">
        <f t="shared" si="14"/>
        <v>7.786631489050351E-3</v>
      </c>
      <c r="AC70" s="140"/>
      <c r="AD70" s="143">
        <v>57369.51</v>
      </c>
      <c r="AE70" s="144">
        <f t="shared" si="15"/>
        <v>4.4226496216659365E-3</v>
      </c>
      <c r="AF70" s="145">
        <f t="shared" si="16"/>
        <v>-16775.11</v>
      </c>
      <c r="AG70" s="143">
        <v>46049.03</v>
      </c>
      <c r="AH70" s="144">
        <f t="shared" si="17"/>
        <v>5.4911860189822961E-3</v>
      </c>
      <c r="AI70" s="145">
        <f t="shared" si="18"/>
        <v>-5454.6299999999974</v>
      </c>
      <c r="AJ70" s="440">
        <f t="shared" si="19"/>
        <v>0.8402550091074682</v>
      </c>
      <c r="AK70" s="441">
        <f t="shared" si="20"/>
        <v>1.1874795081967213</v>
      </c>
      <c r="AL70" s="442">
        <f t="shared" si="21"/>
        <v>0.95577065172270648</v>
      </c>
      <c r="AM70" s="443" t="str">
        <f t="shared" si="22"/>
        <v>0.34 pts.</v>
      </c>
      <c r="AN70" s="444" t="str">
        <f t="shared" si="23"/>
        <v>0.23 pts.</v>
      </c>
      <c r="AO70" s="11"/>
    </row>
    <row r="71" spans="1:41" x14ac:dyDescent="0.35">
      <c r="A71" s="65" t="s">
        <v>37</v>
      </c>
      <c r="B71" s="66"/>
      <c r="C71" s="11"/>
      <c r="D71" s="11"/>
      <c r="E71" s="11"/>
      <c r="F71" s="11"/>
      <c r="G71" s="11"/>
      <c r="H71" s="88" t="s">
        <v>953</v>
      </c>
      <c r="I71" s="122" t="str">
        <f>IF(_epmOfflineCondition_,"N",_xll.EVPRO($B$1,$H71,"STYLE"))</f>
        <v>N</v>
      </c>
      <c r="J71" s="122" t="str">
        <f>IF(_epmOfflineCondition_,"N",_xll.EVPRO($B$1,$H71,"CALC"))</f>
        <v>N</v>
      </c>
      <c r="K71" s="179" t="str">
        <f t="shared" si="12"/>
        <v/>
      </c>
      <c r="L71" s="90" t="str">
        <f>IF(_epmOfflineCondition_,"713100",_xll.EVPRO($B$1,H71,"JDEID"))</f>
        <v>713100</v>
      </c>
      <c r="M71" s="90" t="str">
        <f>IF(_epmOfflineCondition_,"690799",IF(AND(I71="N",J71="N"),_xll.EVPRO($B$1,H71,"PSFTID"),""))</f>
        <v>690799</v>
      </c>
      <c r="N71" s="90" t="str">
        <f>IF(_epmOfflineCondition_,"Agency Fees",IF(_xll.EVDES(H71,$B$1)="#NODATA","",_xll.EVDES(H71,$B$1)))</f>
        <v>Agency Fees</v>
      </c>
      <c r="O71" s="143">
        <v>10436.5</v>
      </c>
      <c r="P71" s="143">
        <v>12979.91</v>
      </c>
      <c r="Q71" s="143">
        <v>14646.54</v>
      </c>
      <c r="R71" s="143">
        <v>1225</v>
      </c>
      <c r="S71" s="143">
        <v>1225</v>
      </c>
      <c r="T71" s="143">
        <v>1225</v>
      </c>
      <c r="U71" s="143"/>
      <c r="V71" s="143">
        <v>1500</v>
      </c>
      <c r="W71" s="143">
        <v>1609.35</v>
      </c>
      <c r="X71" s="143">
        <v>1609.35</v>
      </c>
      <c r="Y71" s="143">
        <v>2068.75</v>
      </c>
      <c r="Z71" s="143">
        <v>3110.35</v>
      </c>
      <c r="AA71" s="210">
        <f t="shared" si="13"/>
        <v>51635.749999999993</v>
      </c>
      <c r="AB71" s="144">
        <f t="shared" si="14"/>
        <v>9.9045325687959814E-3</v>
      </c>
      <c r="AC71" s="140"/>
      <c r="AD71" s="143">
        <v>101700</v>
      </c>
      <c r="AE71" s="144">
        <f t="shared" si="15"/>
        <v>7.8401134421999721E-3</v>
      </c>
      <c r="AF71" s="145">
        <f t="shared" si="16"/>
        <v>-50064.250000000007</v>
      </c>
      <c r="AG71" s="143">
        <v>110034.7</v>
      </c>
      <c r="AH71" s="144">
        <f t="shared" si="17"/>
        <v>1.3121253721151374E-2</v>
      </c>
      <c r="AI71" s="145">
        <f t="shared" si="18"/>
        <v>-58398.950000000004</v>
      </c>
      <c r="AJ71" s="440">
        <f t="shared" si="19"/>
        <v>1.0687976072197383</v>
      </c>
      <c r="AK71" s="441">
        <f t="shared" si="20"/>
        <v>2.1050670640834577</v>
      </c>
      <c r="AL71" s="442">
        <f t="shared" si="21"/>
        <v>2.2838252386882525</v>
      </c>
      <c r="AM71" s="443" t="str">
        <f t="shared" si="22"/>
        <v>0.21 pts.</v>
      </c>
      <c r="AN71" s="444" t="str">
        <f t="shared" si="23"/>
        <v>-0.32 pts.</v>
      </c>
      <c r="AO71" s="11"/>
    </row>
    <row r="72" spans="1:41" x14ac:dyDescent="0.35">
      <c r="A72" s="65" t="s">
        <v>38</v>
      </c>
      <c r="B72" s="66"/>
      <c r="C72" s="11"/>
      <c r="D72" s="11"/>
      <c r="E72" s="11"/>
      <c r="F72" s="11"/>
      <c r="G72" s="11"/>
      <c r="H72" s="88" t="s">
        <v>79</v>
      </c>
      <c r="I72" s="136" t="str">
        <f>IF(_epmOfflineCondition_,"T3",_xll.EVPRO($B$1,$H72,"STYLE"))</f>
        <v>T3</v>
      </c>
      <c r="J72" s="136" t="str">
        <f>IF(_epmOfflineCondition_,"Y",_xll.EVPRO($B$1,$H72,"CALC"))</f>
        <v>Y</v>
      </c>
      <c r="K72" s="104"/>
      <c r="L72" s="59"/>
      <c r="M72" s="59"/>
      <c r="N72" s="106" t="str">
        <f>IF(_epmOfflineCondition_,"Total Operations Expense",IF(_xll.EVDES(H72,$B$1)="#NODATA","",_xll.EVDES(H72,$B$1)))</f>
        <v>Total Operations Expense</v>
      </c>
      <c r="O72" s="154">
        <v>77770.759999999995</v>
      </c>
      <c r="P72" s="154">
        <v>90690.52</v>
      </c>
      <c r="Q72" s="154">
        <v>54052.55</v>
      </c>
      <c r="R72" s="154">
        <v>3564.93</v>
      </c>
      <c r="S72" s="154">
        <v>5965.27</v>
      </c>
      <c r="T72" s="154">
        <v>10537.8</v>
      </c>
      <c r="U72" s="154">
        <v>12882.12</v>
      </c>
      <c r="V72" s="154">
        <v>13084.18</v>
      </c>
      <c r="W72" s="154">
        <v>20411.64</v>
      </c>
      <c r="X72" s="154">
        <v>30299.77</v>
      </c>
      <c r="Y72" s="154">
        <v>14777.24</v>
      </c>
      <c r="Z72" s="154">
        <v>29280.89</v>
      </c>
      <c r="AA72" s="154">
        <f t="shared" si="13"/>
        <v>363317.67000000004</v>
      </c>
      <c r="AB72" s="155">
        <f t="shared" si="14"/>
        <v>6.9689927914944036E-2</v>
      </c>
      <c r="AC72" s="140"/>
      <c r="AD72" s="154">
        <v>683736.75959999999</v>
      </c>
      <c r="AE72" s="155">
        <f t="shared" si="15"/>
        <v>5.270967315502665E-2</v>
      </c>
      <c r="AF72" s="156">
        <f t="shared" si="16"/>
        <v>-320419.08959999995</v>
      </c>
      <c r="AG72" s="154">
        <v>698438.73</v>
      </c>
      <c r="AH72" s="155">
        <f t="shared" si="17"/>
        <v>8.3286379523993245E-2</v>
      </c>
      <c r="AI72" s="156">
        <f t="shared" si="18"/>
        <v>-335121.05999999994</v>
      </c>
      <c r="AJ72" s="466">
        <f t="shared" si="19"/>
        <v>7.5202365871833097</v>
      </c>
      <c r="AK72" s="467">
        <f t="shared" si="20"/>
        <v>14.152524416294089</v>
      </c>
      <c r="AL72" s="468">
        <f t="shared" si="21"/>
        <v>14.496445205479452</v>
      </c>
      <c r="AM72" s="469" t="str">
        <f t="shared" si="22"/>
        <v>1.7 pts.</v>
      </c>
      <c r="AN72" s="555" t="str">
        <f t="shared" si="23"/>
        <v>-1.36 pts.</v>
      </c>
      <c r="AO72" s="11"/>
    </row>
    <row r="73" spans="1:41" x14ac:dyDescent="0.35">
      <c r="A73" s="65" t="s">
        <v>39</v>
      </c>
      <c r="B73" s="66"/>
      <c r="C73" s="11"/>
      <c r="D73" s="11"/>
      <c r="E73" s="11"/>
      <c r="F73" s="11"/>
      <c r="G73" s="11"/>
      <c r="H73" s="11"/>
      <c r="I73" s="59"/>
      <c r="J73" s="59"/>
      <c r="K73" s="11"/>
      <c r="L73" s="59"/>
      <c r="M73" s="59"/>
      <c r="N73" s="11"/>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1"/>
    </row>
    <row r="74" spans="1:41" x14ac:dyDescent="0.35">
      <c r="A74" s="65" t="s">
        <v>40</v>
      </c>
      <c r="B74" s="66"/>
      <c r="C74" s="11"/>
      <c r="D74" s="11"/>
      <c r="E74" s="11"/>
      <c r="F74" s="11"/>
      <c r="G74" s="11"/>
      <c r="H74" s="88" t="s">
        <v>80</v>
      </c>
      <c r="I74" s="136" t="str">
        <f>IF(_epmOfflineCondition_,"T3",_xll.EVPRO($B$1,$H74,"STYLE"))</f>
        <v>T3</v>
      </c>
      <c r="J74" s="136" t="str">
        <f>IF(_epmOfflineCondition_,"Y",_xll.EVPRO($B$1,$H74,"CALC"))</f>
        <v>Y</v>
      </c>
      <c r="K74" s="106"/>
      <c r="L74" s="59"/>
      <c r="M74" s="59"/>
      <c r="N74" s="106" t="str">
        <f>IF(_epmOfflineCondition_,"Total Expenses",IF(_xll.EVDES(H74,$B$1)="#NODATA","",_xll.EVDES(H74,$B$1)))</f>
        <v>Total Expenses</v>
      </c>
      <c r="O74" s="238">
        <v>125142.41</v>
      </c>
      <c r="P74" s="238">
        <v>115237.57</v>
      </c>
      <c r="Q74" s="238">
        <v>64992.31</v>
      </c>
      <c r="R74" s="238">
        <v>6947.3</v>
      </c>
      <c r="S74" s="238">
        <v>13546.36</v>
      </c>
      <c r="T74" s="238">
        <v>14090.49</v>
      </c>
      <c r="U74" s="238">
        <v>19406.59</v>
      </c>
      <c r="V74" s="238">
        <v>20379.53</v>
      </c>
      <c r="W74" s="238">
        <v>28753.4</v>
      </c>
      <c r="X74" s="238">
        <v>34936.31</v>
      </c>
      <c r="Y74" s="238">
        <v>29197.35</v>
      </c>
      <c r="Z74" s="238">
        <v>38642.71</v>
      </c>
      <c r="AA74" s="238">
        <f>IF($I74="B1","",SUM(O74:Z74))</f>
        <v>511272.33000000007</v>
      </c>
      <c r="AB74" s="239">
        <f>IF(AA74=0,"",IFERROR(AA74/AA$19,""))</f>
        <v>9.8069911718319344E-2</v>
      </c>
      <c r="AC74" s="140"/>
      <c r="AD74" s="238">
        <v>1120416.1066174801</v>
      </c>
      <c r="AE74" s="239">
        <f>IF(AD74=0,"",IFERROR(AD74/AD$19,""))</f>
        <v>8.6373543543255285E-2</v>
      </c>
      <c r="AF74" s="254">
        <f>IF(AND($AA74="",AD74=""),"",$AA74-AD74)</f>
        <v>-609143.77661747998</v>
      </c>
      <c r="AG74" s="255">
        <v>1148505.81</v>
      </c>
      <c r="AH74" s="256">
        <f>IF(AG74=0,"",IFERROR(AG74/AG$19,""))</f>
        <v>0.13695530712790124</v>
      </c>
      <c r="AI74" s="254">
        <f>IF(AND($AA74="",AG74=""),"",$AA74-AG74)</f>
        <v>-637233.48</v>
      </c>
      <c r="AJ74" s="472">
        <f>IFERROR(AA74/AA$20,0)</f>
        <v>10.58271920019871</v>
      </c>
      <c r="AK74" s="473">
        <f>IFERROR(AD74/AD$20,0)</f>
        <v>23.191259037454049</v>
      </c>
      <c r="AL74" s="474">
        <f>IFERROR(AG74/AG$20,0)</f>
        <v>23.837812577833127</v>
      </c>
      <c r="AM74" s="475" t="str">
        <f>+IFERROR(ROUND(($AB74-AE74)*100,2)&amp;" pts.",0)</f>
        <v>1.17 pts.</v>
      </c>
      <c r="AN74" s="556" t="str">
        <f>+IFERROR(ROUND(($AB74-AH74)*100,2)&amp;" pts.",0)</f>
        <v>-3.89 pts.</v>
      </c>
      <c r="AO74" s="11"/>
    </row>
    <row r="75" spans="1:41" ht="15" thickBot="1" x14ac:dyDescent="0.4">
      <c r="A75" s="65" t="s">
        <v>41</v>
      </c>
      <c r="B75" s="66"/>
      <c r="C75" s="11"/>
      <c r="D75" s="11"/>
      <c r="E75" s="11"/>
      <c r="F75" s="11"/>
      <c r="G75" s="11"/>
      <c r="H75" s="88" t="s">
        <v>81</v>
      </c>
      <c r="I75" s="136" t="str">
        <f>IF(_epmOfflineCondition_,"T3",_xll.EVPRO($B$1,$H75,"STYLE"))</f>
        <v>T3</v>
      </c>
      <c r="J75" s="136" t="str">
        <f>IF(_epmOfflineCondition_,"Y",_xll.EVPRO($B$1,$H75,"CALC"))</f>
        <v>Y</v>
      </c>
      <c r="K75" s="106"/>
      <c r="L75" s="59"/>
      <c r="M75" s="59"/>
      <c r="N75" s="106" t="str">
        <f>IF(_epmOfflineCondition_,"Department Profit (Loss)",IF(_xll.EVDES(H75,$B$1)="#NODATA","",_xll.EVDES(H75,$B$1)))</f>
        <v>Department Profit (Loss)</v>
      </c>
      <c r="O75" s="169">
        <v>-125142.41</v>
      </c>
      <c r="P75" s="169">
        <v>-115237.57</v>
      </c>
      <c r="Q75" s="169">
        <v>-64992.31</v>
      </c>
      <c r="R75" s="169">
        <v>-6947.3</v>
      </c>
      <c r="S75" s="169">
        <v>-13546.36</v>
      </c>
      <c r="T75" s="169">
        <v>-14090.49</v>
      </c>
      <c r="U75" s="169">
        <v>-19406.59</v>
      </c>
      <c r="V75" s="169">
        <v>-20379.53</v>
      </c>
      <c r="W75" s="169">
        <v>-28753.4</v>
      </c>
      <c r="X75" s="169">
        <v>-34936.31</v>
      </c>
      <c r="Y75" s="169">
        <v>-29197.35</v>
      </c>
      <c r="Z75" s="169">
        <v>-38642.71</v>
      </c>
      <c r="AA75" s="169">
        <f>IF($I75="B1","",SUM(O75:Z75))</f>
        <v>-511272.33000000007</v>
      </c>
      <c r="AB75" s="170">
        <f>IF(AA75=0,"",IFERROR(AA75/AA$19,""))</f>
        <v>-9.8069911718319344E-2</v>
      </c>
      <c r="AC75" s="140"/>
      <c r="AD75" s="169">
        <v>-1120416.1066174801</v>
      </c>
      <c r="AE75" s="170">
        <f>IF(AD75=0,"",IFERROR(AD75/AD$19,""))</f>
        <v>-8.6373543543255285E-2</v>
      </c>
      <c r="AF75" s="171">
        <f>IF(AND($AA75="",AD75=""),"",$AA75-AD75)</f>
        <v>609143.77661747998</v>
      </c>
      <c r="AG75" s="169">
        <v>-1148505.81</v>
      </c>
      <c r="AH75" s="170">
        <f>IF(AG75=0,"",IFERROR(AG75/AG$19,""))</f>
        <v>-0.13695530712790124</v>
      </c>
      <c r="AI75" s="171">
        <f>IF(AND($AA75="",AG75=""),"",$AA75-AG75)</f>
        <v>637233.48</v>
      </c>
      <c r="AJ75" s="477">
        <f>IFERROR(AA75/AA$20,0)</f>
        <v>-10.58271920019871</v>
      </c>
      <c r="AK75" s="478">
        <f>IFERROR(AD75/AD$20,0)</f>
        <v>-23.191259037454049</v>
      </c>
      <c r="AL75" s="479">
        <f>IFERROR(AG75/AG$20,0)</f>
        <v>-23.837812577833127</v>
      </c>
      <c r="AM75" s="480" t="str">
        <f>+IFERROR(ROUND(($AB75-AE75)*100,2)&amp;" pts.",0)</f>
        <v>-1.17 pts.</v>
      </c>
      <c r="AN75" s="557" t="str">
        <f>+IFERROR(ROUND(($AB75-AH75)*100,2)&amp;" pts.",0)</f>
        <v>3.89 pts.</v>
      </c>
      <c r="AO75" s="11"/>
    </row>
    <row r="76" spans="1:41" ht="15" thickTop="1" x14ac:dyDescent="0.35">
      <c r="A76" s="65" t="s">
        <v>42</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43</v>
      </c>
      <c r="B77" s="66"/>
      <c r="C77" s="11"/>
      <c r="D77" s="11"/>
      <c r="E77" s="11"/>
      <c r="F77" s="11"/>
      <c r="G77" s="11"/>
      <c r="H77" s="11"/>
      <c r="I77" s="59"/>
      <c r="J77" s="59"/>
      <c r="K77" s="11"/>
      <c r="L77" s="59"/>
      <c r="M77" s="59"/>
      <c r="N77" s="104" t="str">
        <f>N74&amp;" - Check"</f>
        <v>Total Expenses - Check</v>
      </c>
      <c r="O77" s="209">
        <f t="shared" ref="O77:AA77" si="24">SUMIF($H$33:$H$75,"600000",O$33:O$75)+SUMIF($H$33:$H$75,"700000",O$33:O$75)-SUMIF($H$33:$H$75,"TOTDEPTEXP",O$33:O$75)</f>
        <v>0</v>
      </c>
      <c r="P77" s="209">
        <f t="shared" si="24"/>
        <v>0</v>
      </c>
      <c r="Q77" s="209">
        <f t="shared" si="24"/>
        <v>0</v>
      </c>
      <c r="R77" s="209">
        <f t="shared" si="24"/>
        <v>0</v>
      </c>
      <c r="S77" s="209">
        <f t="shared" si="24"/>
        <v>0</v>
      </c>
      <c r="T77" s="209">
        <f t="shared" si="24"/>
        <v>0</v>
      </c>
      <c r="U77" s="209">
        <f t="shared" si="24"/>
        <v>0</v>
      </c>
      <c r="V77" s="209">
        <f t="shared" si="24"/>
        <v>0</v>
      </c>
      <c r="W77" s="209">
        <f t="shared" si="24"/>
        <v>0</v>
      </c>
      <c r="X77" s="209">
        <f t="shared" si="24"/>
        <v>0</v>
      </c>
      <c r="Y77" s="209">
        <f t="shared" si="24"/>
        <v>0</v>
      </c>
      <c r="Z77" s="209">
        <f t="shared" si="24"/>
        <v>0</v>
      </c>
      <c r="AA77" s="209">
        <f t="shared" si="24"/>
        <v>0</v>
      </c>
      <c r="AB77" s="100"/>
      <c r="AC77" s="11"/>
      <c r="AD77" s="209">
        <f>SUMIF($H$33:$H$75,"600000",AD$33:AD$75)+SUMIF($H$33:$H$75,"700000",AD$33:AD$75)-SUMIF($H$33:$H$75,"TOTDEPTEXP",AD$33:AD$75)</f>
        <v>1.862645149230957E-9</v>
      </c>
      <c r="AE77" s="100"/>
      <c r="AF77" s="91"/>
      <c r="AG77" s="209">
        <f>SUMIF($H$33:$H$75,"600000",AG$33:AG$75)+SUMIF($H$33:$H$75,"700000",AG$33:AG$75)-SUMIF($H$33:$H$75,"TOTDEPTEXP",AG$33:AG$75)</f>
        <v>0</v>
      </c>
      <c r="AH77" s="100"/>
      <c r="AI77" s="91"/>
      <c r="AJ77" s="11"/>
      <c r="AK77" s="11"/>
      <c r="AL77" s="11"/>
      <c r="AM77" s="11"/>
      <c r="AN77" s="11"/>
      <c r="AO77" s="11"/>
    </row>
    <row r="78" spans="1:41" x14ac:dyDescent="0.35">
      <c r="A78" s="65" t="s">
        <v>44</v>
      </c>
      <c r="B78" s="66"/>
      <c r="C78" s="11"/>
      <c r="D78" s="11"/>
      <c r="E78" s="11"/>
      <c r="F78" s="11"/>
      <c r="G78" s="11"/>
      <c r="H78" s="11"/>
      <c r="I78" s="59"/>
      <c r="J78" s="59"/>
      <c r="K78" s="11"/>
      <c r="L78" s="59"/>
      <c r="M78" s="59"/>
      <c r="N78" s="104" t="str">
        <f>N75&amp;" - Check"</f>
        <v>Department Profit (Loss) - Check</v>
      </c>
      <c r="O78" s="209">
        <f t="shared" ref="O78:AA78" si="25">SUMIF($H$33:$H$75,"TOTDEPTEXP",O$33:O$75)+SUMIF($H$33:$H$75,"TOTDEPTPL",O$33:O$75)</f>
        <v>0</v>
      </c>
      <c r="P78" s="209">
        <f t="shared" si="25"/>
        <v>0</v>
      </c>
      <c r="Q78" s="209">
        <f t="shared" si="25"/>
        <v>0</v>
      </c>
      <c r="R78" s="209">
        <f t="shared" si="25"/>
        <v>0</v>
      </c>
      <c r="S78" s="209">
        <f t="shared" si="25"/>
        <v>0</v>
      </c>
      <c r="T78" s="209">
        <f t="shared" si="25"/>
        <v>0</v>
      </c>
      <c r="U78" s="209">
        <f t="shared" si="25"/>
        <v>0</v>
      </c>
      <c r="V78" s="209">
        <f t="shared" si="25"/>
        <v>0</v>
      </c>
      <c r="W78" s="209">
        <f t="shared" si="25"/>
        <v>0</v>
      </c>
      <c r="X78" s="209">
        <f t="shared" si="25"/>
        <v>0</v>
      </c>
      <c r="Y78" s="209">
        <f t="shared" si="25"/>
        <v>0</v>
      </c>
      <c r="Z78" s="209">
        <f t="shared" si="25"/>
        <v>0</v>
      </c>
      <c r="AA78" s="209">
        <f t="shared" si="25"/>
        <v>0</v>
      </c>
      <c r="AB78" s="100"/>
      <c r="AC78" s="11"/>
      <c r="AD78" s="209">
        <f>SUMIF($H$33:$H$75,"TOTDEPTEXP",AD$33:AD$75)+SUMIF($H$33:$H$75,"TOTDEPTPL",AD$33:AD$75)</f>
        <v>0</v>
      </c>
      <c r="AE78" s="100"/>
      <c r="AF78" s="91"/>
      <c r="AG78" s="209">
        <f>SUMIF($H$33:$H$75,"TOTDEPTEXP",AG$33:AG$75)+SUMIF($H$33:$H$75,"TOTDEPTPL",AG$33:AG$75)</f>
        <v>0</v>
      </c>
      <c r="AH78" s="100"/>
      <c r="AI78" s="91"/>
      <c r="AJ78" s="11"/>
      <c r="AK78" s="11"/>
      <c r="AL78" s="11"/>
      <c r="AM78" s="11"/>
      <c r="AN78" s="11"/>
      <c r="AO78" s="11"/>
    </row>
    <row r="79" spans="1:41" x14ac:dyDescent="0.35">
      <c r="A79" s="65" t="s">
        <v>45</v>
      </c>
      <c r="B79" s="66"/>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c r="B105" s="11"/>
      <c r="C105" s="11"/>
      <c r="D105" s="11"/>
      <c r="E105" s="11"/>
      <c r="F105" s="11"/>
      <c r="G105" s="11"/>
      <c r="H105" s="59"/>
      <c r="I105" s="59"/>
      <c r="J105" s="11"/>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59"/>
      <c r="I106" s="59"/>
      <c r="J106" s="11"/>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59"/>
      <c r="I107" s="59"/>
      <c r="J107" s="11"/>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sheetData>
  <sheetProtection algorithmName="SHA-512" hashValue="HM5p8zEYxmHGdd0jf7+1PecoZoA4eI1dlDDXZ1b6KFBrq18H11iRe9PuqalhbHjKgY6nXSuyluJKIiNPnY8Tkw==" saltValue="GPd9VKpoVKlztSKhEF/wZA==" spinCount="100000" sheet="1" scenarios="1"/>
  <mergeCells count="2">
    <mergeCell ref="AD31:AE31"/>
    <mergeCell ref="AG31:AH31"/>
  </mergeCells>
  <dataValidations disablePrompts="1" count="2">
    <dataValidation type="list" allowBlank="1" sqref="B29" xr:uid="{00000000-0002-0000-2900-000000000000}">
      <formula1>"SELF,ALL,BAS,DEP,BASMEMBERS,MEMBERS,NOEXPAND,GDEP"</formula1>
    </dataValidation>
    <dataValidation type="list" allowBlank="1" sqref="B28" xr:uid="{00000000-0002-0000-29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6">
    <pageSetUpPr fitToPage="1"/>
  </sheetPr>
  <dimension ref="A1:AO10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513</v>
      </c>
      <c r="C6" s="11" t="str">
        <f>IF(_epmOfflineCondition_,"Property Operation &amp; Maintenance",_xll.EVDES(B6,$B$1))</f>
        <v>Property Operation &amp; Maintenance</v>
      </c>
      <c r="D6" s="11"/>
      <c r="E6" s="58" t="str">
        <f>IF(_epmOfflineCondition_,"D_PM",_xll.EVPRO($B$1,$B$6,$F$6))</f>
        <v>D_PM</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IF(_epmOfflineCondition_,"'POM'!$B$2:$B$10",_xll.EVRNG($B$2:$B$10))</f>
        <v>'POM'!$B$2:$B$10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IF(_epmOfflineCondition_,"'POM'!$O$16:$AN$18",_xll.EVRNG($O$16:$AN$18))</f>
        <v>'POM'!$O$16:$AN$18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IF(_epmOfflineCondition_,"'POM'!$H$35:$H$36,'POM'!$H$38:$H$46,'POM'!$H$49:$H$71",_xll.EVRNG(H35:H36,H38:H46,H49:H71))</f>
        <v>'POM'!$H$35:$H$36,'POM'!$H$38:$H$46,'POM'!$H$49:$H$71</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IF(_epmOfflineCondition_,"'POM'!$A$36:$F$42",_xll.EVRNG(A36:F42))</f>
        <v>'POM'!$A$36:$F$42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IF(_epmOfflineCondition_,"'POM'!$A$59:$B$80",_xll.EVRNG($A$59:$B$80))</f>
        <v>'POM'!$A$59:$B$80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IF(_epmOfflineCondition_,"Property Operation &amp; Maintenance Department",IF(_xll.EVDES(B6,$B$1)="#NODATA","",_xll.EVDES(B6,$B$1)&amp;" Department"))</f>
        <v>Property Operation &amp; Maintenance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735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859</v>
      </c>
      <c r="I35" s="122" t="str">
        <f>IF(_epmOfflineCondition_,"T3",_xll.EVPRO($B$1,$H35,"STYLE"))</f>
        <v>T3</v>
      </c>
      <c r="J35" s="122" t="str">
        <f>IF(_epmOfflineCondition_,"Y",_xll.EVPRO($B$1,$H35,"CALC"))</f>
        <v>Y</v>
      </c>
      <c r="K35" s="179" t="str">
        <f t="shared" ref="K35:K46"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10">
        <v>5407.6</v>
      </c>
      <c r="P35" s="210">
        <v>6333.34</v>
      </c>
      <c r="Q35" s="210">
        <v>4336.03</v>
      </c>
      <c r="R35" s="210">
        <v>4365.22</v>
      </c>
      <c r="S35" s="210">
        <v>4832.92</v>
      </c>
      <c r="T35" s="210">
        <v>5066.66</v>
      </c>
      <c r="U35" s="210">
        <v>4832.92</v>
      </c>
      <c r="V35" s="210">
        <v>6333.34</v>
      </c>
      <c r="W35" s="210">
        <v>4579.7299999999996</v>
      </c>
      <c r="X35" s="210">
        <v>6041.15</v>
      </c>
      <c r="Y35" s="210">
        <v>6041.15</v>
      </c>
      <c r="Z35" s="210">
        <v>6041.15</v>
      </c>
      <c r="AA35" s="210">
        <f t="shared" ref="AA35:AA46" si="1">IF($I35="B1","",SUM(O35:Z35))</f>
        <v>64211.21</v>
      </c>
      <c r="AB35" s="211">
        <f t="shared" ref="AB35:AB46" si="2">IF(AA35=0,"",IFERROR(AA35/AA$19,""))</f>
        <v>1.2316699587529924E-2</v>
      </c>
      <c r="AC35" s="140"/>
      <c r="AD35" s="143">
        <v>70911.976607031902</v>
      </c>
      <c r="AE35" s="144">
        <f t="shared" ref="AE35:AE46" si="3">IF(AD35=0,"",IFERROR(AD35/AD$19,""))</f>
        <v>5.4666464209416005E-3</v>
      </c>
      <c r="AF35" s="145">
        <f t="shared" ref="AF35:AF46" si="4">IF(AND($AA35="",AD35=""),"",$AA35-AD35)</f>
        <v>-6700.7666070319028</v>
      </c>
      <c r="AG35" s="143">
        <v>62762.53</v>
      </c>
      <c r="AH35" s="144">
        <f t="shared" ref="AH35:AH46" si="5">IF(AG35=0,"",IFERROR(AG35/AG$19,""))</f>
        <v>7.4842125285148661E-3</v>
      </c>
      <c r="AI35" s="145">
        <f t="shared" ref="AI35:AI46" si="6">IF(AND($AA35="",AG35=""),"",$AA35-AG35)</f>
        <v>1448.6800000000003</v>
      </c>
      <c r="AJ35" s="440">
        <f t="shared" ref="AJ35:AJ46" si="7">IFERROR(AA35/AA$20,0)</f>
        <v>1.3290944278854115</v>
      </c>
      <c r="AK35" s="441">
        <f t="shared" ref="AK35:AK46" si="8">IFERROR(AD35/AD$20,0)</f>
        <v>1.467792196701273</v>
      </c>
      <c r="AL35" s="442">
        <f t="shared" ref="AL35:AL46" si="9">IFERROR(AG35/AG$20,0)</f>
        <v>1.302667704441677</v>
      </c>
      <c r="AM35" s="443" t="str">
        <f t="shared" ref="AM35:AM46" si="10">+IFERROR(ROUND(($AB35-AE35)*100,2)&amp;" pts.",0)</f>
        <v>0.69 pts.</v>
      </c>
      <c r="AN35" s="444" t="str">
        <f t="shared" ref="AN35:AN46" si="11">+IFERROR(ROUND(($AB35-AH35)*100,2)&amp;" pts.",0)</f>
        <v>0.48 pts.</v>
      </c>
      <c r="AO35" s="11"/>
    </row>
    <row r="36" spans="1:41" hidden="1" x14ac:dyDescent="0.35">
      <c r="A36" s="11"/>
      <c r="B36" s="11"/>
      <c r="C36" s="11"/>
      <c r="D36" s="11"/>
      <c r="E36" s="11"/>
      <c r="F36" s="11"/>
      <c r="G36" s="11"/>
      <c r="H36" s="88"/>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10"/>
      <c r="P36" s="210"/>
      <c r="Q36" s="210"/>
      <c r="R36" s="210"/>
      <c r="S36" s="210"/>
      <c r="T36" s="210"/>
      <c r="U36" s="210"/>
      <c r="V36" s="210"/>
      <c r="W36" s="210"/>
      <c r="X36" s="210"/>
      <c r="Y36" s="210"/>
      <c r="Z36" s="210"/>
      <c r="AA36" s="210">
        <f t="shared" si="1"/>
        <v>0</v>
      </c>
      <c r="AB36" s="211" t="str">
        <f t="shared" si="2"/>
        <v/>
      </c>
      <c r="AC36" s="140"/>
      <c r="AD36" s="143"/>
      <c r="AE36" s="144" t="str">
        <f t="shared" si="3"/>
        <v/>
      </c>
      <c r="AF36" s="145">
        <f t="shared" si="4"/>
        <v>0</v>
      </c>
      <c r="AG36" s="143"/>
      <c r="AH36" s="144" t="str">
        <f t="shared" si="5"/>
        <v/>
      </c>
      <c r="AI36" s="145">
        <f t="shared" si="6"/>
        <v>0</v>
      </c>
      <c r="AJ36" s="440">
        <f t="shared" si="7"/>
        <v>0</v>
      </c>
      <c r="AK36" s="441">
        <f t="shared" si="8"/>
        <v>0</v>
      </c>
      <c r="AL36" s="442">
        <f t="shared" si="9"/>
        <v>0</v>
      </c>
      <c r="AM36" s="443">
        <f t="shared" si="10"/>
        <v>0</v>
      </c>
      <c r="AN36" s="444">
        <f t="shared" si="11"/>
        <v>0</v>
      </c>
      <c r="AO36" s="11"/>
    </row>
    <row r="37" spans="1:41" x14ac:dyDescent="0.3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 t="shared" si="0"/>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t="str">
        <f t="shared" si="2"/>
        <v/>
      </c>
      <c r="AC37" s="11"/>
      <c r="AD37" s="91"/>
      <c r="AE37" s="100" t="str">
        <f t="shared" si="3"/>
        <v/>
      </c>
      <c r="AF37" s="92" t="str">
        <f t="shared" si="4"/>
        <v/>
      </c>
      <c r="AG37" s="91"/>
      <c r="AH37" s="100" t="str">
        <f t="shared" si="5"/>
        <v/>
      </c>
      <c r="AI37" s="92" t="str">
        <f t="shared" si="6"/>
        <v/>
      </c>
      <c r="AJ37" s="397">
        <f t="shared" si="7"/>
        <v>0</v>
      </c>
      <c r="AK37" s="398">
        <f t="shared" si="8"/>
        <v>0</v>
      </c>
      <c r="AL37" s="399">
        <f t="shared" si="9"/>
        <v>0</v>
      </c>
      <c r="AM37" s="400">
        <f t="shared" si="10"/>
        <v>0</v>
      </c>
      <c r="AN37" s="401">
        <f t="shared" si="11"/>
        <v>0</v>
      </c>
      <c r="AO37" s="11"/>
    </row>
    <row r="38" spans="1:41" x14ac:dyDescent="0.35">
      <c r="A38" s="11" t="s">
        <v>100</v>
      </c>
      <c r="B38" s="11"/>
      <c r="C38" s="53" t="s">
        <v>101</v>
      </c>
      <c r="D38" s="11" t="s">
        <v>106</v>
      </c>
      <c r="E38" s="11"/>
      <c r="F38" s="11" t="s">
        <v>98</v>
      </c>
      <c r="G38" s="11"/>
      <c r="H38" s="88" t="s">
        <v>909</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IF(_epmOfflineCondition_,"Non-Mgmt. (PO &amp; M)",IF(_xll.EVDES(H38,$B$1)="#NODATA","",_xll.EVDES(H38,$B$1)))</f>
        <v>Non-Mgmt. (PO &amp; M)</v>
      </c>
      <c r="O38" s="216">
        <v>11397.49</v>
      </c>
      <c r="P38" s="216">
        <v>11326.3</v>
      </c>
      <c r="Q38" s="216">
        <v>8067.24</v>
      </c>
      <c r="R38" s="216">
        <v>4940.66</v>
      </c>
      <c r="S38" s="216">
        <v>5186.57</v>
      </c>
      <c r="T38" s="216">
        <v>7127.48</v>
      </c>
      <c r="U38" s="216">
        <v>4907.1899999999996</v>
      </c>
      <c r="V38" s="216">
        <v>4467.8999999999996</v>
      </c>
      <c r="W38" s="216">
        <v>6812.71</v>
      </c>
      <c r="X38" s="216">
        <v>6686</v>
      </c>
      <c r="Y38" s="216">
        <v>6300.28</v>
      </c>
      <c r="Z38" s="216">
        <v>6138.69</v>
      </c>
      <c r="AA38" s="216">
        <f t="shared" si="1"/>
        <v>83358.510000000009</v>
      </c>
      <c r="AB38" s="218">
        <f t="shared" si="2"/>
        <v>1.5989446791831351E-2</v>
      </c>
      <c r="AC38" s="140"/>
      <c r="AD38" s="217">
        <v>144609.17428571501</v>
      </c>
      <c r="AE38" s="219">
        <f t="shared" si="3"/>
        <v>1.1148007189605435E-2</v>
      </c>
      <c r="AF38" s="220">
        <f t="shared" si="4"/>
        <v>-61250.664285715</v>
      </c>
      <c r="AG38" s="217">
        <v>150244.24</v>
      </c>
      <c r="AH38" s="219">
        <f t="shared" si="5"/>
        <v>1.7916100949805471E-2</v>
      </c>
      <c r="AI38" s="220">
        <f t="shared" si="6"/>
        <v>-66885.729999999981</v>
      </c>
      <c r="AJ38" s="449">
        <f t="shared" si="7"/>
        <v>1.7254203924490812</v>
      </c>
      <c r="AK38" s="450">
        <f t="shared" si="8"/>
        <v>2.9932351027842983</v>
      </c>
      <c r="AL38" s="451">
        <f t="shared" si="9"/>
        <v>3.1183943545039434</v>
      </c>
      <c r="AM38" s="452" t="str">
        <f t="shared" si="10"/>
        <v>0.48 pts.</v>
      </c>
      <c r="AN38" s="453" t="str">
        <f t="shared" si="11"/>
        <v>-0.19 pts.</v>
      </c>
      <c r="AO38" s="11"/>
    </row>
    <row r="39" spans="1:41" x14ac:dyDescent="0.35">
      <c r="A39" s="11" t="s">
        <v>109</v>
      </c>
      <c r="B39" s="11"/>
      <c r="C39" s="106" t="s">
        <v>101</v>
      </c>
      <c r="D39" s="11" t="s">
        <v>106</v>
      </c>
      <c r="E39" s="11"/>
      <c r="F39" s="11" t="s">
        <v>98</v>
      </c>
      <c r="G39" s="11"/>
      <c r="H39" s="88" t="s">
        <v>852</v>
      </c>
      <c r="I39" s="188" t="str">
        <f>IF(_epmOfflineCondition_,"T2",_xll.EVPRO($B$1,$H39,"STYLE"))</f>
        <v>T2</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IF(_epmOfflineCondition_,"Total Salaries and Wages",IF(_xll.EVDES(H39,$B$1)="#NODATA","",_xll.EVDES(H39,$B$1)))</f>
        <v>Total Salaries and Wages</v>
      </c>
      <c r="O39" s="225">
        <v>16805.09</v>
      </c>
      <c r="P39" s="225">
        <v>17659.64</v>
      </c>
      <c r="Q39" s="225">
        <v>12403.27</v>
      </c>
      <c r="R39" s="225">
        <v>9305.8799999999992</v>
      </c>
      <c r="S39" s="225">
        <v>10019.49</v>
      </c>
      <c r="T39" s="225">
        <v>12194.14</v>
      </c>
      <c r="U39" s="225">
        <v>9740.11</v>
      </c>
      <c r="V39" s="225">
        <v>10801.24</v>
      </c>
      <c r="W39" s="225">
        <v>11392.44</v>
      </c>
      <c r="X39" s="225">
        <v>12727.15</v>
      </c>
      <c r="Y39" s="225">
        <v>12341.43</v>
      </c>
      <c r="Z39" s="225">
        <v>12179.84</v>
      </c>
      <c r="AA39" s="225">
        <f t="shared" si="1"/>
        <v>147569.72</v>
      </c>
      <c r="AB39" s="226">
        <f t="shared" si="2"/>
        <v>2.8306146379361276E-2</v>
      </c>
      <c r="AC39" s="227"/>
      <c r="AD39" s="225">
        <v>215521.15089274701</v>
      </c>
      <c r="AE39" s="226">
        <f t="shared" si="3"/>
        <v>1.6614653610547044E-2</v>
      </c>
      <c r="AF39" s="228">
        <f t="shared" si="4"/>
        <v>-67951.430892747012</v>
      </c>
      <c r="AG39" s="225">
        <v>213006.77</v>
      </c>
      <c r="AH39" s="226">
        <f t="shared" si="5"/>
        <v>2.5400313478320335E-2</v>
      </c>
      <c r="AI39" s="228">
        <f t="shared" si="6"/>
        <v>-65437.049999999988</v>
      </c>
      <c r="AJ39" s="229">
        <f t="shared" si="7"/>
        <v>3.0545148203344925</v>
      </c>
      <c r="AK39" s="230">
        <f t="shared" si="8"/>
        <v>4.4610272994855729</v>
      </c>
      <c r="AL39" s="232">
        <f t="shared" si="9"/>
        <v>4.42106205894562</v>
      </c>
      <c r="AM39" s="427" t="str">
        <f t="shared" si="10"/>
        <v>1.17 pts.</v>
      </c>
      <c r="AN39" s="456" t="str">
        <f t="shared" si="11"/>
        <v>0.29 pts.</v>
      </c>
      <c r="AO39" s="11"/>
    </row>
    <row r="40" spans="1:41" x14ac:dyDescent="0.35">
      <c r="A40" s="11" t="s">
        <v>109</v>
      </c>
      <c r="B40" s="11"/>
      <c r="C40" s="196" t="s">
        <v>101</v>
      </c>
      <c r="D40" s="11" t="s">
        <v>107</v>
      </c>
      <c r="E40" s="11"/>
      <c r="F40" s="11" t="s">
        <v>99</v>
      </c>
      <c r="G40" s="11"/>
      <c r="H40" s="88" t="s">
        <v>853</v>
      </c>
      <c r="I40" s="122" t="str">
        <f>IF(_epmOfflineCondition_,"T3",_xll.EVPRO($B$1,$H40,"STYLE"))</f>
        <v>T3</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IF(_epmOfflineCondition_,"Bonuses &amp; Incentives",IF(_xll.EVDES(H40,$B$1)="#NODATA","",_xll.EVDES(H40,$B$1)))</f>
        <v>Bonuses &amp; Incentives</v>
      </c>
      <c r="O40" s="216">
        <v>789.08</v>
      </c>
      <c r="P40" s="216">
        <v>-1461.57</v>
      </c>
      <c r="Q40" s="216">
        <v>789.08</v>
      </c>
      <c r="R40" s="216"/>
      <c r="S40" s="216"/>
      <c r="T40" s="216"/>
      <c r="U40" s="216"/>
      <c r="V40" s="216"/>
      <c r="W40" s="216"/>
      <c r="X40" s="216">
        <v>-1893.79</v>
      </c>
      <c r="Y40" s="216"/>
      <c r="Z40" s="216">
        <v>1026.55</v>
      </c>
      <c r="AA40" s="216">
        <f t="shared" si="1"/>
        <v>-750.64999999999986</v>
      </c>
      <c r="AB40" s="218">
        <f t="shared" si="2"/>
        <v>-1.4398623768932772E-4</v>
      </c>
      <c r="AC40" s="140"/>
      <c r="AD40" s="216">
        <v>9532.8753310259999</v>
      </c>
      <c r="AE40" s="218">
        <f t="shared" si="3"/>
        <v>7.3489502483376054E-4</v>
      </c>
      <c r="AF40" s="233">
        <f t="shared" si="4"/>
        <v>-10283.525331026</v>
      </c>
      <c r="AG40" s="216">
        <v>7809.43</v>
      </c>
      <c r="AH40" s="218">
        <f t="shared" si="5"/>
        <v>9.3124725607077749E-4</v>
      </c>
      <c r="AI40" s="233">
        <f t="shared" si="6"/>
        <v>-8560.08</v>
      </c>
      <c r="AJ40" s="537">
        <f t="shared" si="7"/>
        <v>-1.5537547607219735E-2</v>
      </c>
      <c r="AK40" s="538">
        <f t="shared" si="8"/>
        <v>0.1973189959228763</v>
      </c>
      <c r="AL40" s="539">
        <f t="shared" si="9"/>
        <v>0.16208862598588628</v>
      </c>
      <c r="AM40" s="540" t="str">
        <f t="shared" si="10"/>
        <v>-0.09 pts.</v>
      </c>
      <c r="AN40" s="541" t="str">
        <f t="shared" si="11"/>
        <v>-0.11 pts.</v>
      </c>
      <c r="AO40" s="11"/>
    </row>
    <row r="41" spans="1:41" x14ac:dyDescent="0.35">
      <c r="A41" s="11" t="s">
        <v>110</v>
      </c>
      <c r="B41" s="11"/>
      <c r="C41" s="106" t="s">
        <v>101</v>
      </c>
      <c r="D41" s="11" t="s">
        <v>106</v>
      </c>
      <c r="E41" s="11"/>
      <c r="F41" s="11" t="s">
        <v>98</v>
      </c>
      <c r="G41" s="11"/>
      <c r="H41" s="88" t="s">
        <v>854</v>
      </c>
      <c r="I41" s="188" t="str">
        <f>IF(_epmOfflineCondition_,"T2",_xll.EVPRO($B$1,$H41,"STYLE"))</f>
        <v>T2</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IF(_epmOfflineCondition_,"Total Labor Expense",IF(_xll.EVDES(H41,$B$1)="#NODATA","",_xll.EVDES(H41,$B$1)))</f>
        <v>Total Labor Expense</v>
      </c>
      <c r="O41" s="225">
        <v>17594.169999999998</v>
      </c>
      <c r="P41" s="225">
        <v>16198.07</v>
      </c>
      <c r="Q41" s="225">
        <v>13192.35</v>
      </c>
      <c r="R41" s="225">
        <v>9305.8799999999992</v>
      </c>
      <c r="S41" s="225">
        <v>10019.49</v>
      </c>
      <c r="T41" s="225">
        <v>12194.14</v>
      </c>
      <c r="U41" s="225">
        <v>9740.11</v>
      </c>
      <c r="V41" s="225">
        <v>10801.24</v>
      </c>
      <c r="W41" s="225">
        <v>11392.44</v>
      </c>
      <c r="X41" s="225">
        <v>10833.36</v>
      </c>
      <c r="Y41" s="225">
        <v>12341.43</v>
      </c>
      <c r="Z41" s="225">
        <v>13206.39</v>
      </c>
      <c r="AA41" s="225">
        <f t="shared" si="1"/>
        <v>146819.07</v>
      </c>
      <c r="AB41" s="226">
        <f t="shared" si="2"/>
        <v>2.8162160141671951E-2</v>
      </c>
      <c r="AC41" s="227"/>
      <c r="AD41" s="225">
        <v>225054.02622377299</v>
      </c>
      <c r="AE41" s="226">
        <f t="shared" si="3"/>
        <v>1.7349548635380803E-2</v>
      </c>
      <c r="AF41" s="228">
        <f t="shared" si="4"/>
        <v>-78234.956223772984</v>
      </c>
      <c r="AG41" s="225">
        <v>220816.2</v>
      </c>
      <c r="AH41" s="226">
        <f t="shared" si="5"/>
        <v>2.6331560734391118E-2</v>
      </c>
      <c r="AI41" s="228">
        <f t="shared" si="6"/>
        <v>-73997.13</v>
      </c>
      <c r="AJ41" s="229">
        <f t="shared" si="7"/>
        <v>3.0389772727272728</v>
      </c>
      <c r="AK41" s="230">
        <f t="shared" si="8"/>
        <v>4.6583462954084487</v>
      </c>
      <c r="AL41" s="232">
        <f t="shared" si="9"/>
        <v>4.5831506849315069</v>
      </c>
      <c r="AM41" s="427" t="str">
        <f t="shared" si="10"/>
        <v>1.08 pts.</v>
      </c>
      <c r="AN41" s="456" t="str">
        <f t="shared" si="11"/>
        <v>0.18 pts.</v>
      </c>
      <c r="AO41" s="11"/>
    </row>
    <row r="42" spans="1:41" x14ac:dyDescent="0.35">
      <c r="A42" s="11" t="s">
        <v>110</v>
      </c>
      <c r="B42" s="11"/>
      <c r="C42" s="109" t="s">
        <v>101</v>
      </c>
      <c r="D42" s="11" t="s">
        <v>107</v>
      </c>
      <c r="E42" s="11"/>
      <c r="F42" s="11" t="s">
        <v>99</v>
      </c>
      <c r="G42" s="11"/>
      <c r="H42" s="88" t="s">
        <v>855</v>
      </c>
      <c r="I42" s="122" t="str">
        <f>IF(_epmOfflineCondition_,"T3",_xll.EVPRO($B$1,$H42,"STYLE"))</f>
        <v>T3</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IF(_epmOfflineCondition_,"Payroll Taxes",IF(_xll.EVDES(H42,$B$1)="#NODATA","",_xll.EVDES(H42,$B$1)))</f>
        <v>Payroll Taxes</v>
      </c>
      <c r="O42" s="216">
        <v>1633.87</v>
      </c>
      <c r="P42" s="216">
        <v>1333.4</v>
      </c>
      <c r="Q42" s="216">
        <v>1179.6099999999999</v>
      </c>
      <c r="R42" s="216">
        <v>723.34</v>
      </c>
      <c r="S42" s="216">
        <v>762.96</v>
      </c>
      <c r="T42" s="216">
        <v>890.62</v>
      </c>
      <c r="U42" s="216">
        <v>810.28</v>
      </c>
      <c r="V42" s="216">
        <v>927.79</v>
      </c>
      <c r="W42" s="216">
        <v>984.28</v>
      </c>
      <c r="X42" s="216">
        <v>839.57</v>
      </c>
      <c r="Y42" s="216">
        <v>945.07</v>
      </c>
      <c r="Z42" s="216">
        <v>1159.19</v>
      </c>
      <c r="AA42" s="216">
        <f t="shared" si="1"/>
        <v>12189.98</v>
      </c>
      <c r="AB42" s="218">
        <f t="shared" si="2"/>
        <v>2.3382260143983897E-3</v>
      </c>
      <c r="AC42" s="140"/>
      <c r="AD42" s="216">
        <v>20475.792838903199</v>
      </c>
      <c r="AE42" s="218">
        <f t="shared" si="3"/>
        <v>1.5784910390952496E-3</v>
      </c>
      <c r="AF42" s="233">
        <f t="shared" si="4"/>
        <v>-8285.812838903199</v>
      </c>
      <c r="AG42" s="216">
        <v>18030.27</v>
      </c>
      <c r="AH42" s="218">
        <f t="shared" si="5"/>
        <v>2.1500467337200353E-3</v>
      </c>
      <c r="AI42" s="233">
        <f t="shared" si="6"/>
        <v>-5840.2900000000009</v>
      </c>
      <c r="AJ42" s="537">
        <f t="shared" si="7"/>
        <v>0.25231785063752277</v>
      </c>
      <c r="AK42" s="538">
        <f t="shared" si="8"/>
        <v>0.42382416043432686</v>
      </c>
      <c r="AL42" s="539">
        <f t="shared" si="9"/>
        <v>0.37422727272727274</v>
      </c>
      <c r="AM42" s="540" t="str">
        <f t="shared" si="10"/>
        <v>0.08 pts.</v>
      </c>
      <c r="AN42" s="541" t="str">
        <f t="shared" si="11"/>
        <v>0.02 pts.</v>
      </c>
      <c r="AO42" s="11"/>
    </row>
    <row r="43" spans="1:41" x14ac:dyDescent="0.35">
      <c r="A43" s="11"/>
      <c r="B43" s="11"/>
      <c r="C43" s="208"/>
      <c r="D43" s="11"/>
      <c r="E43" s="11"/>
      <c r="F43" s="11"/>
      <c r="G43" s="11"/>
      <c r="H43" s="88" t="s">
        <v>856</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IF(_epmOfflineCondition_,"Supplemental Pay",IF(_xll.EVDES(H43,$B$1)="#NODATA","",_xll.EVDES(H43,$B$1)))</f>
        <v>Supplemental Pay</v>
      </c>
      <c r="O43" s="216">
        <v>2217.81</v>
      </c>
      <c r="P43" s="216">
        <v>803.35</v>
      </c>
      <c r="Q43" s="216">
        <v>1073.44</v>
      </c>
      <c r="R43" s="216">
        <v>1650.47</v>
      </c>
      <c r="S43" s="216">
        <v>1294.82</v>
      </c>
      <c r="T43" s="216">
        <v>877.31</v>
      </c>
      <c r="U43" s="216">
        <v>2271.13</v>
      </c>
      <c r="V43" s="216">
        <v>2811.12</v>
      </c>
      <c r="W43" s="216">
        <v>3033.1</v>
      </c>
      <c r="X43" s="216">
        <v>292.31</v>
      </c>
      <c r="Y43" s="216">
        <v>923.58</v>
      </c>
      <c r="Z43" s="216">
        <v>1087.45</v>
      </c>
      <c r="AA43" s="216">
        <f t="shared" si="1"/>
        <v>18335.89</v>
      </c>
      <c r="AB43" s="218">
        <f t="shared" si="2"/>
        <v>3.5171062622865084E-3</v>
      </c>
      <c r="AC43" s="140"/>
      <c r="AD43" s="217">
        <v>17501.585731925501</v>
      </c>
      <c r="AE43" s="219">
        <f t="shared" si="3"/>
        <v>1.3492076455917832E-3</v>
      </c>
      <c r="AF43" s="220">
        <f t="shared" si="4"/>
        <v>834.3042680744984</v>
      </c>
      <c r="AG43" s="217">
        <v>15705.28</v>
      </c>
      <c r="AH43" s="219">
        <f t="shared" si="5"/>
        <v>1.8727997953529591E-3</v>
      </c>
      <c r="AI43" s="220">
        <f t="shared" si="6"/>
        <v>2630.6099999999988</v>
      </c>
      <c r="AJ43" s="449">
        <f t="shared" si="7"/>
        <v>0.3795307584037092</v>
      </c>
      <c r="AK43" s="450">
        <f t="shared" si="8"/>
        <v>0.36226166856941344</v>
      </c>
      <c r="AL43" s="451">
        <f t="shared" si="9"/>
        <v>0.32597094229970941</v>
      </c>
      <c r="AM43" s="452" t="str">
        <f t="shared" si="10"/>
        <v>0.22 pts.</v>
      </c>
      <c r="AN43" s="453" t="str">
        <f t="shared" si="11"/>
        <v>0.16 pts.</v>
      </c>
      <c r="AO43" s="11"/>
    </row>
    <row r="44" spans="1:41" x14ac:dyDescent="0.35">
      <c r="A44" s="11"/>
      <c r="B44" s="11"/>
      <c r="C44" s="11"/>
      <c r="D44" s="11"/>
      <c r="E44" s="11"/>
      <c r="F44" s="11"/>
      <c r="G44" s="11"/>
      <c r="H44" s="88" t="s">
        <v>857</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IF(_epmOfflineCondition_,"Employee Benefits",IF(_xll.EVDES(H44,$B$1)="#NODATA","",_xll.EVDES(H44,$B$1)))</f>
        <v>Employee Benefits</v>
      </c>
      <c r="O44" s="216">
        <v>1231.05</v>
      </c>
      <c r="P44" s="216">
        <v>525.07000000000005</v>
      </c>
      <c r="Q44" s="216">
        <v>1802.69</v>
      </c>
      <c r="R44" s="216">
        <v>1137.27</v>
      </c>
      <c r="S44" s="216">
        <v>1275.07</v>
      </c>
      <c r="T44" s="216">
        <v>1641.3</v>
      </c>
      <c r="U44" s="216">
        <v>1064.02</v>
      </c>
      <c r="V44" s="216">
        <v>1229.32</v>
      </c>
      <c r="W44" s="216">
        <v>668.87</v>
      </c>
      <c r="X44" s="216">
        <v>1414.75</v>
      </c>
      <c r="Y44" s="216">
        <v>1312.15</v>
      </c>
      <c r="Z44" s="216">
        <v>1166.04</v>
      </c>
      <c r="AA44" s="216">
        <f t="shared" si="1"/>
        <v>14467.599999999999</v>
      </c>
      <c r="AB44" s="218">
        <f t="shared" si="2"/>
        <v>2.775108629046983E-3</v>
      </c>
      <c r="AC44" s="140"/>
      <c r="AD44" s="217">
        <v>25016.696168809201</v>
      </c>
      <c r="AE44" s="219">
        <f t="shared" si="3"/>
        <v>1.9285519755409396E-3</v>
      </c>
      <c r="AF44" s="220">
        <f t="shared" si="4"/>
        <v>-10549.096168809203</v>
      </c>
      <c r="AG44" s="217">
        <v>15716.75</v>
      </c>
      <c r="AH44" s="219">
        <f t="shared" si="5"/>
        <v>1.8741675527983977E-3</v>
      </c>
      <c r="AI44" s="220">
        <f t="shared" si="6"/>
        <v>-1249.1500000000015</v>
      </c>
      <c r="AJ44" s="449">
        <f t="shared" si="7"/>
        <v>0.29946183142904453</v>
      </c>
      <c r="AK44" s="450">
        <f t="shared" si="8"/>
        <v>0.51781537027672631</v>
      </c>
      <c r="AL44" s="451">
        <f t="shared" si="9"/>
        <v>0.32620900788709006</v>
      </c>
      <c r="AM44" s="452" t="str">
        <f t="shared" si="10"/>
        <v>0.08 pts.</v>
      </c>
      <c r="AN44" s="453" t="str">
        <f t="shared" si="11"/>
        <v>0.09 pts.</v>
      </c>
      <c r="AO44" s="11"/>
    </row>
    <row r="45" spans="1:41" x14ac:dyDescent="0.35">
      <c r="A45" s="61" t="str">
        <f>IF(_epmOfflineCondition_,"Evdre:Ok",_xll.EVDRE($B$1,A48:B55))</f>
        <v>Evdre:Ok</v>
      </c>
      <c r="B45" s="11" t="s">
        <v>736</v>
      </c>
      <c r="C45" s="11"/>
      <c r="D45" s="11"/>
      <c r="E45" s="11"/>
      <c r="F45" s="11"/>
      <c r="G45" s="11"/>
      <c r="H45" s="88" t="s">
        <v>858</v>
      </c>
      <c r="I45" s="188" t="str">
        <f>IF(_epmOfflineCondition_,"T2",_xll.EVPRO($B$1,$H45,"STYLE"))</f>
        <v>T2</v>
      </c>
      <c r="J45" s="188" t="str">
        <f>IF(_epmOfflineCondition_,"Y",_xll.EVPRO($B$1,$H45,"CALC"))</f>
        <v>Y</v>
      </c>
      <c r="K45" s="189" t="str">
        <f t="shared" si="0"/>
        <v/>
      </c>
      <c r="L45" s="190" t="str">
        <f>IF(_epmOfflineCondition_,"",_xll.EVPRO($B$1,H45,"JDEID"))</f>
        <v/>
      </c>
      <c r="M45" s="190" t="str">
        <f>IF(_epmOfflineCondition_,"",IF(AND(I45="N",J45="N"),_xll.EVPRO($B$1,H45,"PSFTID"),""))</f>
        <v/>
      </c>
      <c r="N45" s="190" t="str">
        <f>IF(_epmOfflineCondition_,"Total Payroll Related",IF(_xll.EVDES(H45,$B$1)="#NODATA","",_xll.EVDES(H45,$B$1)))</f>
        <v>Total Payroll Related</v>
      </c>
      <c r="O45" s="238">
        <v>5082.7299999999996</v>
      </c>
      <c r="P45" s="238">
        <v>2661.82</v>
      </c>
      <c r="Q45" s="238">
        <v>4055.74</v>
      </c>
      <c r="R45" s="238">
        <v>3511.08</v>
      </c>
      <c r="S45" s="238">
        <v>3332.85</v>
      </c>
      <c r="T45" s="238">
        <v>3409.23</v>
      </c>
      <c r="U45" s="238">
        <v>4145.43</v>
      </c>
      <c r="V45" s="238">
        <v>4968.2299999999996</v>
      </c>
      <c r="W45" s="238">
        <v>4686.25</v>
      </c>
      <c r="X45" s="238">
        <v>2546.63</v>
      </c>
      <c r="Y45" s="238">
        <v>3180.8</v>
      </c>
      <c r="Z45" s="238">
        <v>3412.68</v>
      </c>
      <c r="AA45" s="238">
        <f t="shared" si="1"/>
        <v>44993.47</v>
      </c>
      <c r="AB45" s="239">
        <f t="shared" si="2"/>
        <v>8.6304409057318815E-3</v>
      </c>
      <c r="AC45" s="240"/>
      <c r="AD45" s="238">
        <v>62994.074739637901</v>
      </c>
      <c r="AE45" s="239">
        <f t="shared" si="3"/>
        <v>4.8562506602279724E-3</v>
      </c>
      <c r="AF45" s="241">
        <f t="shared" si="4"/>
        <v>-18000.6047396379</v>
      </c>
      <c r="AG45" s="238">
        <v>49452.3</v>
      </c>
      <c r="AH45" s="239">
        <f t="shared" si="5"/>
        <v>5.8970140818713924E-3</v>
      </c>
      <c r="AI45" s="241">
        <f t="shared" si="6"/>
        <v>-4458.8300000000017</v>
      </c>
      <c r="AJ45" s="242">
        <f t="shared" si="7"/>
        <v>0.93131044047027656</v>
      </c>
      <c r="AK45" s="243">
        <f t="shared" si="8"/>
        <v>1.3039011992804665</v>
      </c>
      <c r="AL45" s="245">
        <f t="shared" si="9"/>
        <v>1.0264072229140724</v>
      </c>
      <c r="AM45" s="431" t="str">
        <f t="shared" si="10"/>
        <v>0.38 pts.</v>
      </c>
      <c r="AN45" s="465" t="str">
        <f t="shared" si="11"/>
        <v>0.27 pts.</v>
      </c>
      <c r="AO45" s="11"/>
    </row>
    <row r="46" spans="1:41" x14ac:dyDescent="0.35">
      <c r="A46" s="11"/>
      <c r="B46" s="11"/>
      <c r="C46" s="11"/>
      <c r="D46" s="11"/>
      <c r="E46" s="11"/>
      <c r="F46" s="11"/>
      <c r="G46" s="11"/>
      <c r="H46" s="88" t="s">
        <v>76</v>
      </c>
      <c r="I46" s="188" t="str">
        <f>IF(_epmOfflineCondition_,"T1",_xll.EVPRO($B$1,$H46,"STYLE"))</f>
        <v>T1</v>
      </c>
      <c r="J46" s="188" t="str">
        <f>IF(_epmOfflineCondition_,"Y",_xll.EVPRO($B$1,$H46,"CALC"))</f>
        <v>Y</v>
      </c>
      <c r="K46" s="189" t="str">
        <f t="shared" si="0"/>
        <v/>
      </c>
      <c r="L46" s="190" t="str">
        <f>IF(_epmOfflineCondition_,"600000",_xll.EVPRO($B$1,H46,"JDEID"))</f>
        <v>600000</v>
      </c>
      <c r="M46" s="190" t="str">
        <f>IF(_epmOfflineCondition_,"",IF(AND(I46="N",J46="N"),_xll.EVPRO($B$1,H46,"PSFTID"),""))</f>
        <v/>
      </c>
      <c r="N46" s="190" t="str">
        <f>IF(_epmOfflineCondition_,"Total Labor &amp; Related Exp",IF(_xll.EVDES(H46,$B$1)="#NODATA","",_xll.EVDES(H46,$B$1)))</f>
        <v>Total Labor &amp; Related Exp</v>
      </c>
      <c r="O46" s="238">
        <v>22676.9</v>
      </c>
      <c r="P46" s="238">
        <v>18859.89</v>
      </c>
      <c r="Q46" s="238">
        <v>17248.09</v>
      </c>
      <c r="R46" s="238">
        <v>12816.96</v>
      </c>
      <c r="S46" s="238">
        <v>13352.34</v>
      </c>
      <c r="T46" s="238">
        <v>15603.37</v>
      </c>
      <c r="U46" s="238">
        <v>13885.54</v>
      </c>
      <c r="V46" s="238">
        <v>15769.47</v>
      </c>
      <c r="W46" s="238">
        <v>16078.69</v>
      </c>
      <c r="X46" s="238">
        <v>13379.99</v>
      </c>
      <c r="Y46" s="238">
        <v>15522.23</v>
      </c>
      <c r="Z46" s="238">
        <v>16619.07</v>
      </c>
      <c r="AA46" s="238">
        <f t="shared" si="1"/>
        <v>191812.54</v>
      </c>
      <c r="AB46" s="239">
        <f t="shared" si="2"/>
        <v>3.6792601047403832E-2</v>
      </c>
      <c r="AC46" s="240"/>
      <c r="AD46" s="238">
        <v>288048.10096341098</v>
      </c>
      <c r="AE46" s="239">
        <f t="shared" si="3"/>
        <v>2.2205799295608782E-2</v>
      </c>
      <c r="AF46" s="241">
        <f t="shared" si="4"/>
        <v>-96235.560963410971</v>
      </c>
      <c r="AG46" s="238">
        <v>270268.5</v>
      </c>
      <c r="AH46" s="239">
        <f t="shared" si="5"/>
        <v>3.2228574816262505E-2</v>
      </c>
      <c r="AI46" s="241">
        <f t="shared" si="6"/>
        <v>-78455.959999999992</v>
      </c>
      <c r="AJ46" s="242">
        <f t="shared" si="7"/>
        <v>3.9702877131975494</v>
      </c>
      <c r="AK46" s="243">
        <f t="shared" si="8"/>
        <v>5.962247494688917</v>
      </c>
      <c r="AL46" s="245">
        <f t="shared" si="9"/>
        <v>5.6095579078455788</v>
      </c>
      <c r="AM46" s="431" t="str">
        <f t="shared" si="10"/>
        <v>1.46 pts.</v>
      </c>
      <c r="AN46" s="465" t="str">
        <f t="shared" si="11"/>
        <v>0.46 pts.</v>
      </c>
      <c r="AO46" s="11"/>
    </row>
    <row r="47" spans="1:41" x14ac:dyDescent="0.35">
      <c r="A47" s="62" t="s">
        <v>0</v>
      </c>
      <c r="B47" s="63" t="s">
        <v>1</v>
      </c>
      <c r="C47" s="11"/>
      <c r="D47" s="11"/>
      <c r="E47" s="11"/>
      <c r="F47" s="11"/>
      <c r="G47" s="11"/>
      <c r="H47" s="106"/>
      <c r="I47" s="106"/>
      <c r="J47" s="106"/>
      <c r="K47" s="106"/>
      <c r="L47" s="106"/>
      <c r="M47" s="106"/>
      <c r="N47" s="106"/>
      <c r="O47" s="129"/>
      <c r="P47" s="130"/>
      <c r="Q47" s="130"/>
      <c r="R47" s="130"/>
      <c r="S47" s="130"/>
      <c r="T47" s="130"/>
      <c r="U47" s="130"/>
      <c r="V47" s="130"/>
      <c r="W47" s="130"/>
      <c r="X47" s="130"/>
      <c r="Y47" s="130"/>
      <c r="Z47" s="130"/>
      <c r="AA47" s="130"/>
      <c r="AB47" s="131"/>
      <c r="AC47" s="11"/>
      <c r="AD47" s="129"/>
      <c r="AE47" s="130"/>
      <c r="AF47" s="131"/>
      <c r="AG47" s="129"/>
      <c r="AH47" s="130"/>
      <c r="AI47" s="131"/>
      <c r="AJ47" s="11"/>
      <c r="AK47" s="11"/>
      <c r="AL47" s="11"/>
      <c r="AM47" s="11"/>
      <c r="AN47" s="11"/>
      <c r="AO47" s="11"/>
    </row>
    <row r="48" spans="1:41" x14ac:dyDescent="0.35">
      <c r="A48" s="65" t="s">
        <v>2</v>
      </c>
      <c r="B48" s="66" t="str">
        <f>IF(_epmOfflineCondition_,"'POM'!$B$2:$B$10",_xll.EVRNG($B$2:$B$10))</f>
        <v>'POM'!$B$2:$B$10</v>
      </c>
      <c r="C48" s="11"/>
      <c r="D48" s="11"/>
      <c r="E48" s="11"/>
      <c r="F48" s="11"/>
      <c r="G48" s="11"/>
      <c r="H48" s="11" t="s">
        <v>82</v>
      </c>
      <c r="I48" s="59" t="str">
        <f>IF(_epmOfflineCondition_,"B1",_xll.EVPRO($B$1,$H48,"STYLE"))</f>
        <v>B1</v>
      </c>
      <c r="J48" s="59" t="str">
        <f>IF(_epmOfflineCondition_,"Y",_xll.EVPRO($B$1,$H48,"CALC"))</f>
        <v>Y</v>
      </c>
      <c r="K48" s="11"/>
      <c r="L48" s="11"/>
      <c r="M48" s="11"/>
      <c r="N48" s="105" t="str">
        <f>IF(_epmOfflineCondition_,"Other Expenses",IF(_xll.EVDES(H48,$B$1)="#NODATA","",_xll.EVDES(H48,$B$1)))</f>
        <v>Other Expenses</v>
      </c>
      <c r="O48" s="119"/>
      <c r="P48" s="120"/>
      <c r="Q48" s="120"/>
      <c r="R48" s="120"/>
      <c r="S48" s="120"/>
      <c r="T48" s="120"/>
      <c r="U48" s="120"/>
      <c r="V48" s="120"/>
      <c r="W48" s="120"/>
      <c r="X48" s="120"/>
      <c r="Y48" s="120"/>
      <c r="Z48" s="120"/>
      <c r="AA48" s="120"/>
      <c r="AB48" s="121"/>
      <c r="AC48" s="11"/>
      <c r="AD48" s="119"/>
      <c r="AE48" s="120"/>
      <c r="AF48" s="121"/>
      <c r="AG48" s="119"/>
      <c r="AH48" s="120"/>
      <c r="AI48" s="121"/>
      <c r="AJ48" s="11"/>
      <c r="AK48" s="11"/>
      <c r="AL48" s="11"/>
      <c r="AM48" s="11"/>
      <c r="AN48" s="11"/>
      <c r="AO48" s="11"/>
    </row>
    <row r="49" spans="1:41" x14ac:dyDescent="0.35">
      <c r="A49" s="65" t="s">
        <v>3</v>
      </c>
      <c r="B49" s="66" t="str">
        <f>IF(_epmOfflineCondition_,"'POM'!$O$16:$AN$18",_xll.EVRNG($O$16:$AN$18))</f>
        <v>'POM'!$O$16:$AN$18</v>
      </c>
      <c r="C49" s="11"/>
      <c r="D49" s="11"/>
      <c r="E49" s="11"/>
      <c r="F49" s="11"/>
      <c r="G49" s="11"/>
      <c r="H49" s="88" t="s">
        <v>830</v>
      </c>
      <c r="I49" s="122" t="str">
        <f>IF(_epmOfflineCondition_,"T4",_xll.EVPRO($B$1,$H49,"STYLE"))</f>
        <v>T4</v>
      </c>
      <c r="J49" s="122" t="str">
        <f>IF(_epmOfflineCondition_,"Y",_xll.EVPRO($B$1,$H49,"CALC"))</f>
        <v>Y</v>
      </c>
      <c r="K49" s="179" t="str">
        <f t="shared" ref="K49:K71" si="12">IF(AND(I49&gt;="T3"),"&gt;","")</f>
        <v>&gt;</v>
      </c>
      <c r="L49" s="90" t="str">
        <f>IF(_epmOfflineCondition_,"701500",_xll.EVPRO($B$1,H49,"JDEID"))</f>
        <v>701500</v>
      </c>
      <c r="M49" s="90" t="str">
        <f>IF(_epmOfflineCondition_,"",IF(AND(I49="N",J49="N"),_xll.EVPRO($B$1,H49,"PSFTID"),""))</f>
        <v/>
      </c>
      <c r="N49" s="90" t="str">
        <f>IF(_epmOfflineCondition_,"Operating Supplies",IF(_xll.EVDES(H49,$B$1)="#NODATA","",_xll.EVDES(H49,$B$1)))</f>
        <v>Operating Supplies</v>
      </c>
      <c r="O49" s="143">
        <v>729.33</v>
      </c>
      <c r="P49" s="143">
        <v>312.51</v>
      </c>
      <c r="Q49" s="143">
        <v>510.43</v>
      </c>
      <c r="R49" s="143">
        <v>513.21</v>
      </c>
      <c r="S49" s="143">
        <v>614.01</v>
      </c>
      <c r="T49" s="143">
        <v>1296.3399999999999</v>
      </c>
      <c r="U49" s="143">
        <v>580.26</v>
      </c>
      <c r="V49" s="143">
        <v>179.84</v>
      </c>
      <c r="W49" s="143">
        <v>444.68</v>
      </c>
      <c r="X49" s="143">
        <v>586.64</v>
      </c>
      <c r="Y49" s="143">
        <v>710.78</v>
      </c>
      <c r="Z49" s="143">
        <v>381.9</v>
      </c>
      <c r="AA49" s="210">
        <f t="shared" ref="AA49:AA72" si="13">IF($I49="B1","",SUM(O49:Z49))</f>
        <v>6859.9300000000012</v>
      </c>
      <c r="AB49" s="144">
        <f t="shared" ref="AB49:AB72" si="14">IF(AA49=0,"",IFERROR(AA49/AA$19,""))</f>
        <v>1.315840287100713E-3</v>
      </c>
      <c r="AC49" s="140"/>
      <c r="AD49" s="143">
        <v>2400</v>
      </c>
      <c r="AE49" s="144">
        <f t="shared" ref="AE49:AE72" si="15">IF(AD49=0,"",IFERROR(AD49/AD$19,""))</f>
        <v>1.8501742636460112E-4</v>
      </c>
      <c r="AF49" s="145">
        <f t="shared" ref="AF49:AF72" si="16">IF(AND($AA49="",AD49=""),"",$AA49-AD49)</f>
        <v>4459.9300000000012</v>
      </c>
      <c r="AG49" s="143">
        <v>3461.85</v>
      </c>
      <c r="AH49" s="144">
        <f t="shared" ref="AH49:AH72" si="17">IF(AG49=0,"",IFERROR(AG49/AG$19,""))</f>
        <v>4.1281352332098767E-4</v>
      </c>
      <c r="AI49" s="145">
        <f t="shared" ref="AI49:AI72" si="18">IF(AND($AA49="",AG49=""),"",$AA49-AG49)</f>
        <v>3398.0800000000013</v>
      </c>
      <c r="AJ49" s="440">
        <f t="shared" ref="AJ49:AJ72" si="19">IFERROR(AA49/AA$20,0)</f>
        <v>0.14199225865209475</v>
      </c>
      <c r="AK49" s="441">
        <f t="shared" ref="AK49:AK72" si="20">IFERROR(AD49/AD$20,0)</f>
        <v>4.967709885742673E-2</v>
      </c>
      <c r="AL49" s="442">
        <f t="shared" ref="AL49:AL72" si="21">IFERROR(AG49/AG$20,0)</f>
        <v>7.1852428393524279E-2</v>
      </c>
      <c r="AM49" s="443" t="str">
        <f t="shared" ref="AM49:AM72" si="22">+IFERROR(ROUND(($AB49-AE49)*100,2)&amp;" pts.",0)</f>
        <v>0.11 pts.</v>
      </c>
      <c r="AN49" s="444" t="str">
        <f t="shared" ref="AN49:AN72" si="23">+IFERROR(ROUND(($AB49-AH49)*100,2)&amp;" pts.",0)</f>
        <v>0.09 pts.</v>
      </c>
      <c r="AO49" s="11"/>
    </row>
    <row r="50" spans="1:41" x14ac:dyDescent="0.35">
      <c r="A50" s="65" t="s">
        <v>4</v>
      </c>
      <c r="B50" s="66" t="str">
        <f>IF(_epmOfflineCondition_,"'POM'!$H$72:$H$75",_xll.EVRNG(H72:H75))</f>
        <v>'POM'!$H$72:$H$75</v>
      </c>
      <c r="C50" s="11"/>
      <c r="D50" s="11"/>
      <c r="E50" s="11"/>
      <c r="F50" s="11"/>
      <c r="G50" s="11"/>
      <c r="H50" s="88" t="s">
        <v>832</v>
      </c>
      <c r="I50" s="122" t="str">
        <f>IF(_epmOfflineCondition_,"T4",_xll.EVPRO($B$1,$H50,"STYLE"))</f>
        <v>T4</v>
      </c>
      <c r="J50" s="122" t="str">
        <f>IF(_epmOfflineCondition_,"Y",_xll.EVPRO($B$1,$H50,"CALC"))</f>
        <v>Y</v>
      </c>
      <c r="K50" s="179" t="str">
        <f t="shared" si="12"/>
        <v>&gt;</v>
      </c>
      <c r="L50" s="90" t="str">
        <f>IF(_epmOfflineCondition_,"",_xll.EVPRO($B$1,H50,"JDEID"))</f>
        <v/>
      </c>
      <c r="M50" s="90" t="str">
        <f>IF(_epmOfflineCondition_,"",IF(AND(I50="N",J50="N"),_xll.EVPRO($B$1,H50,"PSFTID"),""))</f>
        <v/>
      </c>
      <c r="N50" s="90" t="str">
        <f>IF(_epmOfflineCondition_,"Contract Services",IF(_xll.EVDES(H50,$B$1)="#NODATA","",_xll.EVDES(H50,$B$1)))</f>
        <v>Contract Services</v>
      </c>
      <c r="O50" s="143">
        <v>1829.04</v>
      </c>
      <c r="P50" s="143">
        <v>1294.0899999999999</v>
      </c>
      <c r="Q50" s="143">
        <v>1079.07</v>
      </c>
      <c r="R50" s="143">
        <v>-421.3</v>
      </c>
      <c r="S50" s="143">
        <v>210.5</v>
      </c>
      <c r="T50" s="143">
        <v>522.04</v>
      </c>
      <c r="U50" s="143">
        <v>1167.04</v>
      </c>
      <c r="V50" s="143">
        <v>422.04</v>
      </c>
      <c r="W50" s="143">
        <v>1022.84</v>
      </c>
      <c r="X50" s="143">
        <v>422.04</v>
      </c>
      <c r="Y50" s="143">
        <v>824.21</v>
      </c>
      <c r="Z50" s="143">
        <v>848.97</v>
      </c>
      <c r="AA50" s="210">
        <f t="shared" si="13"/>
        <v>9220.58</v>
      </c>
      <c r="AB50" s="144">
        <f t="shared" si="14"/>
        <v>1.7686493352607228E-3</v>
      </c>
      <c r="AC50" s="140"/>
      <c r="AD50" s="143">
        <v>21036</v>
      </c>
      <c r="AE50" s="144">
        <f t="shared" si="15"/>
        <v>1.6216777420857288E-3</v>
      </c>
      <c r="AF50" s="145">
        <f t="shared" si="16"/>
        <v>-11815.42</v>
      </c>
      <c r="AG50" s="143">
        <v>22385.29</v>
      </c>
      <c r="AH50" s="144">
        <f t="shared" si="17"/>
        <v>2.6693676604884883E-3</v>
      </c>
      <c r="AI50" s="145">
        <f t="shared" si="18"/>
        <v>-13164.710000000001</v>
      </c>
      <c r="AJ50" s="440">
        <f t="shared" si="19"/>
        <v>0.19085486007617156</v>
      </c>
      <c r="AK50" s="441">
        <f t="shared" si="20"/>
        <v>0.43541977148534527</v>
      </c>
      <c r="AL50" s="442">
        <f t="shared" si="21"/>
        <v>0.46461789124117892</v>
      </c>
      <c r="AM50" s="443" t="str">
        <f t="shared" si="22"/>
        <v>0.01 pts.</v>
      </c>
      <c r="AN50" s="444" t="str">
        <f t="shared" si="23"/>
        <v>-0.09 pts.</v>
      </c>
      <c r="AO50" s="11"/>
    </row>
    <row r="51" spans="1:41" x14ac:dyDescent="0.35">
      <c r="A51" s="65" t="s">
        <v>5</v>
      </c>
      <c r="B51" s="66"/>
      <c r="C51" s="11"/>
      <c r="D51" s="11"/>
      <c r="E51" s="11"/>
      <c r="F51" s="11"/>
      <c r="G51" s="11"/>
      <c r="H51" s="88" t="s">
        <v>833</v>
      </c>
      <c r="I51" s="122" t="str">
        <f>IF(_epmOfflineCondition_,"T4",_xll.EVPRO($B$1,$H51,"STYLE"))</f>
        <v>T4</v>
      </c>
      <c r="J51" s="122" t="str">
        <f>IF(_epmOfflineCondition_,"Y",_xll.EVPRO($B$1,$H51,"CALC"))</f>
        <v>Y</v>
      </c>
      <c r="K51" s="179" t="str">
        <f t="shared" si="12"/>
        <v>&gt;</v>
      </c>
      <c r="L51" s="90" t="str">
        <f>IF(_epmOfflineCondition_,"",_xll.EVPRO($B$1,H51,"JDEID"))</f>
        <v/>
      </c>
      <c r="M51" s="90" t="str">
        <f>IF(_epmOfflineCondition_,"",IF(AND(I51="N",J51="N"),_xll.EVPRO($B$1,H51,"PSFTID"),""))</f>
        <v/>
      </c>
      <c r="N51" s="90" t="str">
        <f>IF(_epmOfflineCondition_,"Travel - Other",IF(_xll.EVDES(H51,$B$1)="#NODATA","",_xll.EVDES(H51,$B$1)))</f>
        <v>Travel - Other</v>
      </c>
      <c r="O51" s="143">
        <v>41.18</v>
      </c>
      <c r="P51" s="143">
        <v>21.46</v>
      </c>
      <c r="Q51" s="143"/>
      <c r="R51" s="143">
        <v>17.399999999999999</v>
      </c>
      <c r="S51" s="143"/>
      <c r="T51" s="143">
        <v>16.239999999999998</v>
      </c>
      <c r="U51" s="143"/>
      <c r="V51" s="143">
        <v>22.04</v>
      </c>
      <c r="W51" s="143">
        <v>19.14</v>
      </c>
      <c r="X51" s="143">
        <v>23.78</v>
      </c>
      <c r="Y51" s="143">
        <v>33.64</v>
      </c>
      <c r="Z51" s="143"/>
      <c r="AA51" s="210">
        <f t="shared" si="13"/>
        <v>194.88</v>
      </c>
      <c r="AB51" s="144">
        <f t="shared" si="14"/>
        <v>3.7380987145668672E-5</v>
      </c>
      <c r="AC51" s="140"/>
      <c r="AD51" s="143">
        <v>1200</v>
      </c>
      <c r="AE51" s="144">
        <f t="shared" si="15"/>
        <v>9.2508713182300558E-5</v>
      </c>
      <c r="AF51" s="145">
        <f t="shared" si="16"/>
        <v>-1005.12</v>
      </c>
      <c r="AG51" s="143">
        <v>4862.5200000000004</v>
      </c>
      <c r="AH51" s="144">
        <f t="shared" si="17"/>
        <v>5.798385295199877E-4</v>
      </c>
      <c r="AI51" s="145">
        <f t="shared" si="18"/>
        <v>-4667.6400000000003</v>
      </c>
      <c r="AJ51" s="440">
        <f t="shared" si="19"/>
        <v>4.0337804272230502E-3</v>
      </c>
      <c r="AK51" s="441">
        <f t="shared" si="20"/>
        <v>2.4838549428713365E-2</v>
      </c>
      <c r="AL51" s="442">
        <f t="shared" si="21"/>
        <v>0.10092403486924036</v>
      </c>
      <c r="AM51" s="443" t="str">
        <f t="shared" si="22"/>
        <v>-0.01 pts.</v>
      </c>
      <c r="AN51" s="444" t="str">
        <f t="shared" si="23"/>
        <v>-0.05 pts.</v>
      </c>
      <c r="AO51" s="11"/>
    </row>
    <row r="52" spans="1:41" x14ac:dyDescent="0.35">
      <c r="A52" s="65" t="s">
        <v>6</v>
      </c>
      <c r="B52" s="66"/>
      <c r="C52" s="11"/>
      <c r="D52" s="11"/>
      <c r="E52" s="11"/>
      <c r="F52" s="11"/>
      <c r="G52" s="11"/>
      <c r="H52" s="88" t="s">
        <v>834</v>
      </c>
      <c r="I52" s="122" t="str">
        <f>IF(_epmOfflineCondition_,"T4",_xll.EVPRO($B$1,$H52,"STYLE"))</f>
        <v>T4</v>
      </c>
      <c r="J52" s="122" t="str">
        <f>IF(_epmOfflineCondition_,"Y",_xll.EVPRO($B$1,$H52,"CALC"))</f>
        <v>Y</v>
      </c>
      <c r="K52" s="179" t="str">
        <f t="shared" si="12"/>
        <v>&gt;</v>
      </c>
      <c r="L52" s="90" t="str">
        <f>IF(_epmOfflineCondition_,"702900",_xll.EVPRO($B$1,H52,"JDEID"))</f>
        <v>702900</v>
      </c>
      <c r="M52" s="90" t="str">
        <f>IF(_epmOfflineCondition_,"",IF(AND(I52="N",J52="N"),_xll.EVPRO($B$1,H52,"PSFTID"),""))</f>
        <v/>
      </c>
      <c r="N52" s="90" t="str">
        <f>IF(_epmOfflineCondition_,"Travel - Meals &amp; Entertainment",IF(_xll.EVDES(H52,$B$1)="#NODATA","",_xll.EVDES(H52,$B$1)))</f>
        <v>Travel - Meals &amp; Entertainment</v>
      </c>
      <c r="O52" s="143">
        <v>-274.98</v>
      </c>
      <c r="P52" s="143"/>
      <c r="Q52" s="143">
        <v>20.73</v>
      </c>
      <c r="R52" s="143"/>
      <c r="S52" s="143"/>
      <c r="T52" s="143"/>
      <c r="U52" s="143"/>
      <c r="V52" s="143"/>
      <c r="W52" s="143"/>
      <c r="X52" s="143"/>
      <c r="Y52" s="143"/>
      <c r="Z52" s="143"/>
      <c r="AA52" s="210">
        <f t="shared" si="13"/>
        <v>-254.25000000000003</v>
      </c>
      <c r="AB52" s="144">
        <f t="shared" si="14"/>
        <v>-4.8769068051037875E-5</v>
      </c>
      <c r="AC52" s="140"/>
      <c r="AD52" s="143">
        <v>225</v>
      </c>
      <c r="AE52" s="144">
        <f t="shared" si="15"/>
        <v>1.7345383721681353E-5</v>
      </c>
      <c r="AF52" s="145">
        <f t="shared" si="16"/>
        <v>-479.25</v>
      </c>
      <c r="AG52" s="143">
        <v>2528.84</v>
      </c>
      <c r="AH52" s="144">
        <f t="shared" si="17"/>
        <v>3.0155533899939242E-4</v>
      </c>
      <c r="AI52" s="145">
        <f t="shared" si="18"/>
        <v>-2783.09</v>
      </c>
      <c r="AJ52" s="440">
        <f t="shared" si="19"/>
        <v>-5.2626676602086442E-3</v>
      </c>
      <c r="AK52" s="441">
        <f t="shared" si="20"/>
        <v>4.6572280178837555E-3</v>
      </c>
      <c r="AL52" s="442">
        <f t="shared" si="21"/>
        <v>5.2487339144873392E-2</v>
      </c>
      <c r="AM52" s="443" t="str">
        <f t="shared" si="22"/>
        <v>-0.01 pts.</v>
      </c>
      <c r="AN52" s="444" t="str">
        <f t="shared" si="23"/>
        <v>-0.04 pts.</v>
      </c>
      <c r="AO52" s="11"/>
    </row>
    <row r="53" spans="1:41" x14ac:dyDescent="0.35">
      <c r="A53" s="65" t="s">
        <v>7</v>
      </c>
      <c r="B53" s="66"/>
      <c r="C53" s="11"/>
      <c r="D53" s="11"/>
      <c r="E53" s="11"/>
      <c r="F53" s="11"/>
      <c r="G53" s="11"/>
      <c r="H53" s="88" t="s">
        <v>836</v>
      </c>
      <c r="I53" s="122" t="str">
        <f>IF(_epmOfflineCondition_,"N",_xll.EVPRO($B$1,$H53,"STYLE"))</f>
        <v>N</v>
      </c>
      <c r="J53" s="122" t="str">
        <f>IF(_epmOfflineCondition_,"N",_xll.EVPRO($B$1,$H53,"CALC"))</f>
        <v>N</v>
      </c>
      <c r="K53" s="179" t="str">
        <f t="shared" si="12"/>
        <v/>
      </c>
      <c r="L53" s="90" t="str">
        <f>IF(_epmOfflineCondition_,"703100",_xll.EVPRO($B$1,H53,"JDEID"))</f>
        <v>703100</v>
      </c>
      <c r="M53" s="90" t="str">
        <f>IF(_epmOfflineCondition_,"690035",IF(AND(I53="N",J53="N"),_xll.EVPRO($B$1,H53,"PSFTID"),""))</f>
        <v>690035</v>
      </c>
      <c r="N53" s="90" t="str">
        <f>IF(_epmOfflineCondition_,"Training",IF(_xll.EVDES(H53,$B$1)="#NODATA","",_xll.EVDES(H53,$B$1)))</f>
        <v>Training</v>
      </c>
      <c r="O53" s="143"/>
      <c r="P53" s="143"/>
      <c r="Q53" s="143"/>
      <c r="R53" s="143"/>
      <c r="S53" s="143"/>
      <c r="T53" s="143"/>
      <c r="U53" s="143"/>
      <c r="V53" s="143"/>
      <c r="W53" s="143"/>
      <c r="X53" s="143"/>
      <c r="Y53" s="143"/>
      <c r="Z53" s="143"/>
      <c r="AA53" s="210">
        <f t="shared" si="13"/>
        <v>0</v>
      </c>
      <c r="AB53" s="144" t="str">
        <f t="shared" si="14"/>
        <v/>
      </c>
      <c r="AC53" s="140"/>
      <c r="AD53" s="143"/>
      <c r="AE53" s="144" t="str">
        <f t="shared" si="15"/>
        <v/>
      </c>
      <c r="AF53" s="145">
        <f t="shared" si="16"/>
        <v>0</v>
      </c>
      <c r="AG53" s="143">
        <v>100</v>
      </c>
      <c r="AH53" s="144">
        <f t="shared" si="17"/>
        <v>1.1924650788479792E-5</v>
      </c>
      <c r="AI53" s="145">
        <f t="shared" si="18"/>
        <v>-100</v>
      </c>
      <c r="AJ53" s="440">
        <f t="shared" si="19"/>
        <v>0</v>
      </c>
      <c r="AK53" s="441">
        <f t="shared" si="20"/>
        <v>0</v>
      </c>
      <c r="AL53" s="442">
        <f t="shared" si="21"/>
        <v>2.0755500207555004E-3</v>
      </c>
      <c r="AM53" s="443">
        <f t="shared" si="22"/>
        <v>0</v>
      </c>
      <c r="AN53" s="444">
        <f t="shared" si="23"/>
        <v>0</v>
      </c>
      <c r="AO53" s="11"/>
    </row>
    <row r="54" spans="1:41" x14ac:dyDescent="0.35">
      <c r="A54" s="65" t="s">
        <v>47</v>
      </c>
      <c r="B54" s="66" t="str">
        <f>IF(_epmOfflineCondition_,"'POM'!$A$59:$B$80",_xll.EVRNG($A$59:$B$80))</f>
        <v>'POM'!$A$59:$B$80</v>
      </c>
      <c r="C54" s="11"/>
      <c r="D54" s="11"/>
      <c r="E54" s="11"/>
      <c r="F54" s="11"/>
      <c r="G54" s="11"/>
      <c r="H54" s="88" t="s">
        <v>837</v>
      </c>
      <c r="I54" s="122" t="str">
        <f>IF(_epmOfflineCondition_,"N",_xll.EVPRO($B$1,$H54,"STYLE"))</f>
        <v>N</v>
      </c>
      <c r="J54" s="122" t="str">
        <f>IF(_epmOfflineCondition_,"N",_xll.EVPRO($B$1,$H54,"CALC"))</f>
        <v>N</v>
      </c>
      <c r="K54" s="179" t="str">
        <f t="shared" si="12"/>
        <v/>
      </c>
      <c r="L54" s="90" t="str">
        <f>IF(_epmOfflineCondition_,"703200",_xll.EVPRO($B$1,H54,"JDEID"))</f>
        <v>703200</v>
      </c>
      <c r="M54" s="90" t="str">
        <f>IF(_epmOfflineCondition_,"590035",IF(AND(I54="N",J54="N"),_xll.EVPRO($B$1,H54,"PSFTID"),""))</f>
        <v>590035</v>
      </c>
      <c r="N54" s="90" t="str">
        <f>IF(_epmOfflineCondition_,"Uniform Costs",IF(_xll.EVDES(H54,$B$1)="#NODATA","",_xll.EVDES(H54,$B$1)))</f>
        <v>Uniform Costs</v>
      </c>
      <c r="O54" s="143"/>
      <c r="P54" s="143"/>
      <c r="Q54" s="143"/>
      <c r="R54" s="143"/>
      <c r="S54" s="143"/>
      <c r="T54" s="143"/>
      <c r="U54" s="143"/>
      <c r="V54" s="143"/>
      <c r="W54" s="143"/>
      <c r="X54" s="143"/>
      <c r="Y54" s="143"/>
      <c r="Z54" s="143"/>
      <c r="AA54" s="210">
        <f t="shared" si="13"/>
        <v>0</v>
      </c>
      <c r="AB54" s="144" t="str">
        <f t="shared" si="14"/>
        <v/>
      </c>
      <c r="AC54" s="140"/>
      <c r="AD54" s="143">
        <v>1419</v>
      </c>
      <c r="AE54" s="144">
        <f t="shared" si="15"/>
        <v>1.093915533380704E-4</v>
      </c>
      <c r="AF54" s="145">
        <f t="shared" si="16"/>
        <v>-1419</v>
      </c>
      <c r="AG54" s="143">
        <v>983.52</v>
      </c>
      <c r="AH54" s="144">
        <f t="shared" si="17"/>
        <v>1.1728132543485645E-4</v>
      </c>
      <c r="AI54" s="145">
        <f t="shared" si="18"/>
        <v>-983.52</v>
      </c>
      <c r="AJ54" s="440">
        <f t="shared" si="19"/>
        <v>0</v>
      </c>
      <c r="AK54" s="441">
        <f t="shared" si="20"/>
        <v>2.9371584699453553E-2</v>
      </c>
      <c r="AL54" s="442">
        <f t="shared" si="21"/>
        <v>2.0413449564134496E-2</v>
      </c>
      <c r="AM54" s="443">
        <f t="shared" si="22"/>
        <v>0</v>
      </c>
      <c r="AN54" s="444">
        <f t="shared" si="23"/>
        <v>0</v>
      </c>
      <c r="AO54" s="11"/>
    </row>
    <row r="55" spans="1:41" x14ac:dyDescent="0.35">
      <c r="A55" s="65" t="s">
        <v>8</v>
      </c>
      <c r="B55" s="66"/>
      <c r="C55" s="11"/>
      <c r="D55" s="11"/>
      <c r="E55" s="11"/>
      <c r="F55" s="11"/>
      <c r="G55" s="11"/>
      <c r="H55" s="88" t="s">
        <v>838</v>
      </c>
      <c r="I55" s="122" t="str">
        <f>IF(_epmOfflineCondition_,"N",_xll.EVPRO($B$1,$H55,"STYLE"))</f>
        <v>N</v>
      </c>
      <c r="J55" s="122" t="str">
        <f>IF(_epmOfflineCondition_,"N",_xll.EVPRO($B$1,$H55,"CALC"))</f>
        <v>N</v>
      </c>
      <c r="K55" s="179" t="str">
        <f t="shared" si="12"/>
        <v/>
      </c>
      <c r="L55" s="90" t="str">
        <f>IF(_epmOfflineCondition_,"703300",_xll.EVPRO($B$1,H55,"JDEID"))</f>
        <v>703300</v>
      </c>
      <c r="M55" s="90" t="str">
        <f>IF(_epmOfflineCondition_,"590115",IF(AND(I55="N",J55="N"),_xll.EVPRO($B$1,H55,"PSFTID"),""))</f>
        <v>590115</v>
      </c>
      <c r="N55" s="90" t="str">
        <f>IF(_epmOfflineCondition_,"Uniforms Laundry",IF(_xll.EVDES(H55,$B$1)="#NODATA","",_xll.EVDES(H55,$B$1)))</f>
        <v>Uniforms Laundry</v>
      </c>
      <c r="O55" s="143">
        <v>442.75</v>
      </c>
      <c r="P55" s="143">
        <v>326.7</v>
      </c>
      <c r="Q55" s="143">
        <v>306.89999999999998</v>
      </c>
      <c r="R55" s="143"/>
      <c r="S55" s="143"/>
      <c r="T55" s="143">
        <v>168.3</v>
      </c>
      <c r="U55" s="143">
        <v>293.7</v>
      </c>
      <c r="V55" s="143">
        <v>181.5</v>
      </c>
      <c r="W55" s="143">
        <v>307</v>
      </c>
      <c r="X55" s="143">
        <v>256.3</v>
      </c>
      <c r="Y55" s="143">
        <v>221.1</v>
      </c>
      <c r="Z55" s="143">
        <v>240.9</v>
      </c>
      <c r="AA55" s="210">
        <f t="shared" si="13"/>
        <v>2745.15</v>
      </c>
      <c r="AB55" s="144">
        <f t="shared" si="14"/>
        <v>5.2656207339353632E-4</v>
      </c>
      <c r="AC55" s="140"/>
      <c r="AD55" s="143">
        <v>2580</v>
      </c>
      <c r="AE55" s="144">
        <f t="shared" si="15"/>
        <v>1.9889373334194618E-4</v>
      </c>
      <c r="AF55" s="145">
        <f t="shared" si="16"/>
        <v>165.15000000000009</v>
      </c>
      <c r="AG55" s="143">
        <v>3969.54</v>
      </c>
      <c r="AH55" s="144">
        <f t="shared" si="17"/>
        <v>4.7335378290902074E-4</v>
      </c>
      <c r="AI55" s="145">
        <f t="shared" si="18"/>
        <v>-1224.3899999999999</v>
      </c>
      <c r="AJ55" s="440">
        <f t="shared" si="19"/>
        <v>5.682128663686041E-2</v>
      </c>
      <c r="AK55" s="441">
        <f t="shared" si="20"/>
        <v>5.3402881271733732E-2</v>
      </c>
      <c r="AL55" s="442">
        <f t="shared" si="21"/>
        <v>8.2389788293897884E-2</v>
      </c>
      <c r="AM55" s="443" t="str">
        <f t="shared" si="22"/>
        <v>0.03 pts.</v>
      </c>
      <c r="AN55" s="444" t="str">
        <f t="shared" si="23"/>
        <v>0.01 pts.</v>
      </c>
      <c r="AO55" s="11"/>
    </row>
    <row r="56" spans="1:41" x14ac:dyDescent="0.35">
      <c r="A56" s="11"/>
      <c r="B56" s="11"/>
      <c r="C56" s="11"/>
      <c r="D56" s="11"/>
      <c r="E56" s="11"/>
      <c r="F56" s="11"/>
      <c r="G56" s="11"/>
      <c r="H56" s="88" t="s">
        <v>845</v>
      </c>
      <c r="I56" s="122" t="str">
        <f>IF(_epmOfflineCondition_,"N",_xll.EVPRO($B$1,$H56,"STYLE"))</f>
        <v>N</v>
      </c>
      <c r="J56" s="122" t="str">
        <f>IF(_epmOfflineCondition_,"N",_xll.EVPRO($B$1,$H56,"CALC"))</f>
        <v>N</v>
      </c>
      <c r="K56" s="179" t="str">
        <f t="shared" si="12"/>
        <v/>
      </c>
      <c r="L56" s="90" t="str">
        <f>IF(_epmOfflineCondition_,"705500",_xll.EVPRO($B$1,H56,"JDEID"))</f>
        <v>705500</v>
      </c>
      <c r="M56" s="90" t="str">
        <f>IF(_epmOfflineCondition_,"690105",IF(AND(I56="N",J56="N"),_xll.EVPRO($B$1,H56,"PSFTID"),""))</f>
        <v>690105</v>
      </c>
      <c r="N56" s="90" t="str">
        <f>IF(_epmOfflineCondition_,"Licenses &amp; Permits",IF(_xll.EVDES(H56,$B$1)="#NODATA","",_xll.EVDES(H56,$B$1)))</f>
        <v>Licenses &amp; Permits</v>
      </c>
      <c r="O56" s="143"/>
      <c r="P56" s="143"/>
      <c r="Q56" s="143"/>
      <c r="R56" s="143"/>
      <c r="S56" s="143">
        <v>128.04</v>
      </c>
      <c r="T56" s="143"/>
      <c r="U56" s="143">
        <v>2690</v>
      </c>
      <c r="V56" s="143"/>
      <c r="W56" s="143">
        <v>660</v>
      </c>
      <c r="X56" s="143">
        <v>1740</v>
      </c>
      <c r="Y56" s="143"/>
      <c r="Z56" s="143">
        <v>250</v>
      </c>
      <c r="AA56" s="210">
        <f t="shared" si="13"/>
        <v>5468.04</v>
      </c>
      <c r="AB56" s="144">
        <f t="shared" si="14"/>
        <v>1.0488543357553475E-3</v>
      </c>
      <c r="AC56" s="140"/>
      <c r="AD56" s="143">
        <v>5180</v>
      </c>
      <c r="AE56" s="144">
        <f t="shared" si="15"/>
        <v>3.9932927857026405E-4</v>
      </c>
      <c r="AF56" s="145">
        <f t="shared" si="16"/>
        <v>288.03999999999996</v>
      </c>
      <c r="AG56" s="143">
        <v>1059.29</v>
      </c>
      <c r="AH56" s="144">
        <f t="shared" si="17"/>
        <v>1.2631663333728758E-4</v>
      </c>
      <c r="AI56" s="145">
        <f t="shared" si="18"/>
        <v>4408.75</v>
      </c>
      <c r="AJ56" s="440">
        <f t="shared" si="19"/>
        <v>0.11318181818181818</v>
      </c>
      <c r="AK56" s="441">
        <f t="shared" si="20"/>
        <v>0.10721973836727935</v>
      </c>
      <c r="AL56" s="442">
        <f t="shared" si="21"/>
        <v>2.1986093814860937E-2</v>
      </c>
      <c r="AM56" s="443" t="str">
        <f t="shared" si="22"/>
        <v>0.06 pts.</v>
      </c>
      <c r="AN56" s="444" t="str">
        <f t="shared" si="23"/>
        <v>0.09 pts.</v>
      </c>
      <c r="AO56" s="11"/>
    </row>
    <row r="57" spans="1:41" x14ac:dyDescent="0.35">
      <c r="A57" s="11"/>
      <c r="B57" s="11"/>
      <c r="C57" s="11"/>
      <c r="D57" s="11"/>
      <c r="E57" s="11"/>
      <c r="F57" s="11"/>
      <c r="G57" s="11"/>
      <c r="H57" s="88" t="s">
        <v>848</v>
      </c>
      <c r="I57" s="122" t="str">
        <f>IF(_epmOfflineCondition_,"T4",_xll.EVPRO($B$1,$H57,"STYLE"))</f>
        <v>T4</v>
      </c>
      <c r="J57" s="122" t="str">
        <f>IF(_epmOfflineCondition_,"Y",_xll.EVPRO($B$1,$H57,"CALC"))</f>
        <v>Y</v>
      </c>
      <c r="K57" s="179" t="str">
        <f t="shared" si="12"/>
        <v>&gt;</v>
      </c>
      <c r="L57" s="90" t="str">
        <f>IF(_epmOfflineCondition_,"706100",_xll.EVPRO($B$1,H57,"JDEID"))</f>
        <v>706100</v>
      </c>
      <c r="M57" s="90" t="str">
        <f>IF(_epmOfflineCondition_,"",IF(AND(I57="N",J57="N"),_xll.EVPRO($B$1,H57,"PSFTID"),""))</f>
        <v/>
      </c>
      <c r="N57" s="90" t="str">
        <f>IF(_epmOfflineCondition_,"Miscellaneous",IF(_xll.EVDES(H57,$B$1)="#NODATA","",_xll.EVDES(H57,$B$1)))</f>
        <v>Miscellaneous</v>
      </c>
      <c r="O57" s="143"/>
      <c r="P57" s="143"/>
      <c r="Q57" s="143"/>
      <c r="R57" s="143"/>
      <c r="S57" s="143"/>
      <c r="T57" s="143"/>
      <c r="U57" s="143"/>
      <c r="V57" s="143"/>
      <c r="W57" s="143"/>
      <c r="X57" s="143"/>
      <c r="Y57" s="143"/>
      <c r="Z57" s="143"/>
      <c r="AA57" s="210">
        <f t="shared" si="13"/>
        <v>0</v>
      </c>
      <c r="AB57" s="144" t="str">
        <f t="shared" si="14"/>
        <v/>
      </c>
      <c r="AC57" s="140"/>
      <c r="AD57" s="143"/>
      <c r="AE57" s="144" t="str">
        <f t="shared" si="15"/>
        <v/>
      </c>
      <c r="AF57" s="145">
        <f t="shared" si="16"/>
        <v>0</v>
      </c>
      <c r="AG57" s="143">
        <v>4305.07</v>
      </c>
      <c r="AH57" s="144">
        <f t="shared" si="17"/>
        <v>5.1336456369960694E-4</v>
      </c>
      <c r="AI57" s="145">
        <f t="shared" si="18"/>
        <v>-4305.07</v>
      </c>
      <c r="AJ57" s="440">
        <f t="shared" si="19"/>
        <v>0</v>
      </c>
      <c r="AK57" s="441">
        <f t="shared" si="20"/>
        <v>0</v>
      </c>
      <c r="AL57" s="442">
        <f t="shared" si="21"/>
        <v>8.9353881278538813E-2</v>
      </c>
      <c r="AM57" s="443">
        <f t="shared" si="22"/>
        <v>0</v>
      </c>
      <c r="AN57" s="444">
        <f t="shared" si="23"/>
        <v>0</v>
      </c>
      <c r="AO57" s="11"/>
    </row>
    <row r="58" spans="1:41" x14ac:dyDescent="0.35">
      <c r="A58" s="62" t="s">
        <v>23</v>
      </c>
      <c r="B58" s="63" t="s">
        <v>24</v>
      </c>
      <c r="C58" s="11"/>
      <c r="D58" s="11"/>
      <c r="E58" s="11"/>
      <c r="F58" s="11"/>
      <c r="G58" s="11"/>
      <c r="H58" s="88" t="s">
        <v>895</v>
      </c>
      <c r="I58" s="122" t="str">
        <f>IF(_epmOfflineCondition_,"N",_xll.EVPRO($B$1,$H58,"STYLE"))</f>
        <v>N</v>
      </c>
      <c r="J58" s="122" t="str">
        <f>IF(_epmOfflineCondition_,"N",_xll.EVPRO($B$1,$H58,"CALC"))</f>
        <v>N</v>
      </c>
      <c r="K58" s="179" t="str">
        <f t="shared" si="12"/>
        <v/>
      </c>
      <c r="L58" s="90" t="str">
        <f>IF(_epmOfflineCondition_,"715100",_xll.EVPRO($B$1,H58,"JDEID"))</f>
        <v>715100</v>
      </c>
      <c r="M58" s="90" t="str">
        <f>IF(_epmOfflineCondition_,"691055",IF(AND(I58="N",J58="N"),_xll.EVPRO($B$1,H58,"PSFTID"),""))</f>
        <v>691055</v>
      </c>
      <c r="N58" s="90" t="str">
        <f>IF(_epmOfflineCondition_,"Life/Safety",IF(_xll.EVDES(H58,$B$1)="#NODATA","",_xll.EVDES(H58,$B$1)))</f>
        <v>Life/Safety</v>
      </c>
      <c r="O58" s="143">
        <v>711.57</v>
      </c>
      <c r="P58" s="143">
        <v>322.51</v>
      </c>
      <c r="Q58" s="143">
        <v>162.1</v>
      </c>
      <c r="R58" s="143">
        <v>830.12</v>
      </c>
      <c r="S58" s="143">
        <v>-680.32</v>
      </c>
      <c r="T58" s="143">
        <v>74.900000000000006</v>
      </c>
      <c r="U58" s="143">
        <v>201.27</v>
      </c>
      <c r="V58" s="143">
        <v>424.33</v>
      </c>
      <c r="W58" s="143">
        <v>400</v>
      </c>
      <c r="X58" s="143">
        <v>893.04</v>
      </c>
      <c r="Y58" s="143">
        <v>2259.91</v>
      </c>
      <c r="Z58" s="143"/>
      <c r="AA58" s="210">
        <f t="shared" si="13"/>
        <v>5599.4299999999994</v>
      </c>
      <c r="AB58" s="144">
        <f t="shared" si="14"/>
        <v>1.0740569625054984E-3</v>
      </c>
      <c r="AC58" s="140"/>
      <c r="AD58" s="143">
        <v>5620</v>
      </c>
      <c r="AE58" s="144">
        <f t="shared" si="15"/>
        <v>4.3324914007044095E-4</v>
      </c>
      <c r="AF58" s="145">
        <f t="shared" si="16"/>
        <v>-20.570000000000618</v>
      </c>
      <c r="AG58" s="143">
        <v>12226.74</v>
      </c>
      <c r="AH58" s="144">
        <f t="shared" si="17"/>
        <v>1.4579960478153741E-3</v>
      </c>
      <c r="AI58" s="145">
        <f t="shared" si="18"/>
        <v>-6627.31</v>
      </c>
      <c r="AJ58" s="440">
        <f t="shared" si="19"/>
        <v>0.11590143235635038</v>
      </c>
      <c r="AK58" s="441">
        <f t="shared" si="20"/>
        <v>0.11632720649114092</v>
      </c>
      <c r="AL58" s="442">
        <f t="shared" si="21"/>
        <v>0.25377210460772104</v>
      </c>
      <c r="AM58" s="443" t="str">
        <f t="shared" si="22"/>
        <v>0.06 pts.</v>
      </c>
      <c r="AN58" s="444" t="str">
        <f t="shared" si="23"/>
        <v>-0.04 pts.</v>
      </c>
      <c r="AO58" s="11"/>
    </row>
    <row r="59" spans="1:41" x14ac:dyDescent="0.35">
      <c r="A59" s="65" t="s">
        <v>25</v>
      </c>
      <c r="B59" s="66"/>
      <c r="C59" s="11"/>
      <c r="D59" s="11"/>
      <c r="E59" s="11"/>
      <c r="F59" s="11"/>
      <c r="G59" s="11"/>
      <c r="H59" s="88" t="s">
        <v>896</v>
      </c>
      <c r="I59" s="122" t="str">
        <f>IF(_epmOfflineCondition_,"N",_xll.EVPRO($B$1,$H59,"STYLE"))</f>
        <v>N</v>
      </c>
      <c r="J59" s="122" t="str">
        <f>IF(_epmOfflineCondition_,"N",_xll.EVPRO($B$1,$H59,"CALC"))</f>
        <v>N</v>
      </c>
      <c r="K59" s="179" t="str">
        <f t="shared" si="12"/>
        <v/>
      </c>
      <c r="L59" s="90" t="str">
        <f>IF(_epmOfflineCondition_,"715200",_xll.EVPRO($B$1,H59,"JDEID"))</f>
        <v>715200</v>
      </c>
      <c r="M59" s="90" t="str">
        <f>IF(_epmOfflineCondition_,"691095",IF(AND(I59="N",J59="N"),_xll.EVPRO($B$1,H59,"PSFTID"),""))</f>
        <v>691095</v>
      </c>
      <c r="N59" s="90" t="str">
        <f>IF(_epmOfflineCondition_,"Electrical &amp; Mechanical Equipment",IF(_xll.EVDES(H59,$B$1)="#NODATA","",_xll.EVDES(H59,$B$1)))</f>
        <v>Electrical &amp; Mechanical Equipment</v>
      </c>
      <c r="O59" s="143">
        <v>1323.73</v>
      </c>
      <c r="P59" s="143"/>
      <c r="Q59" s="143">
        <v>1395</v>
      </c>
      <c r="R59" s="143"/>
      <c r="S59" s="143"/>
      <c r="T59" s="143"/>
      <c r="U59" s="143"/>
      <c r="V59" s="143">
        <v>130</v>
      </c>
      <c r="W59" s="143">
        <v>530</v>
      </c>
      <c r="X59" s="143">
        <v>1830.97</v>
      </c>
      <c r="Y59" s="143">
        <v>282.22000000000003</v>
      </c>
      <c r="Z59" s="143"/>
      <c r="AA59" s="210">
        <f t="shared" si="13"/>
        <v>5491.92</v>
      </c>
      <c r="AB59" s="144">
        <f t="shared" si="14"/>
        <v>1.0534348877516456E-3</v>
      </c>
      <c r="AC59" s="140"/>
      <c r="AD59" s="143">
        <v>3400</v>
      </c>
      <c r="AE59" s="144">
        <f t="shared" si="15"/>
        <v>2.6210802068318492E-4</v>
      </c>
      <c r="AF59" s="145">
        <f t="shared" si="16"/>
        <v>2091.92</v>
      </c>
      <c r="AG59" s="143">
        <v>5580.55</v>
      </c>
      <c r="AH59" s="144">
        <f t="shared" si="17"/>
        <v>6.6546109957650904E-4</v>
      </c>
      <c r="AI59" s="145">
        <f t="shared" si="18"/>
        <v>-88.630000000000109</v>
      </c>
      <c r="AJ59" s="440">
        <f t="shared" si="19"/>
        <v>0.11367610531544958</v>
      </c>
      <c r="AK59" s="441">
        <f t="shared" si="20"/>
        <v>7.0375890048021195E-2</v>
      </c>
      <c r="AL59" s="442">
        <f t="shared" si="21"/>
        <v>0.11582710668327106</v>
      </c>
      <c r="AM59" s="443" t="str">
        <f t="shared" si="22"/>
        <v>0.08 pts.</v>
      </c>
      <c r="AN59" s="444" t="str">
        <f t="shared" si="23"/>
        <v>0.04 pts.</v>
      </c>
      <c r="AO59" s="11"/>
    </row>
    <row r="60" spans="1:41" x14ac:dyDescent="0.35">
      <c r="A60" s="65" t="s">
        <v>26</v>
      </c>
      <c r="B60" s="66"/>
      <c r="C60" s="11"/>
      <c r="D60" s="11"/>
      <c r="E60" s="11"/>
      <c r="F60" s="11"/>
      <c r="G60" s="11"/>
      <c r="H60" s="88" t="s">
        <v>897</v>
      </c>
      <c r="I60" s="122" t="str">
        <f>IF(_epmOfflineCondition_,"N",_xll.EVPRO($B$1,$H60,"STYLE"))</f>
        <v>N</v>
      </c>
      <c r="J60" s="122" t="str">
        <f>IF(_epmOfflineCondition_,"N",_xll.EVPRO($B$1,$H60,"CALC"))</f>
        <v>N</v>
      </c>
      <c r="K60" s="179" t="str">
        <f t="shared" si="12"/>
        <v/>
      </c>
      <c r="L60" s="90" t="str">
        <f>IF(_epmOfflineCondition_,"715300",_xll.EVPRO($B$1,H60,"JDEID"))</f>
        <v>715300</v>
      </c>
      <c r="M60" s="90" t="str">
        <f>IF(_epmOfflineCondition_,"690922",IF(AND(I60="N",J60="N"),_xll.EVPRO($B$1,H60,"PSFTID"),""))</f>
        <v>690922</v>
      </c>
      <c r="N60" s="90" t="str">
        <f>IF(_epmOfflineCondition_,"HVAC Equipment",IF(_xll.EVDES(H60,$B$1)="#NODATA","",_xll.EVDES(H60,$B$1)))</f>
        <v>HVAC Equipment</v>
      </c>
      <c r="O60" s="143">
        <v>1174.27</v>
      </c>
      <c r="P60" s="143">
        <v>2120.3200000000002</v>
      </c>
      <c r="Q60" s="143">
        <v>950.94</v>
      </c>
      <c r="R60" s="143"/>
      <c r="S60" s="143"/>
      <c r="T60" s="143">
        <v>2193.13</v>
      </c>
      <c r="U60" s="143">
        <v>235</v>
      </c>
      <c r="V60" s="143">
        <v>952.5</v>
      </c>
      <c r="W60" s="143">
        <v>861.35</v>
      </c>
      <c r="X60" s="143">
        <v>3885</v>
      </c>
      <c r="Y60" s="143">
        <v>-128.91999999999999</v>
      </c>
      <c r="Z60" s="143">
        <v>2353.77</v>
      </c>
      <c r="AA60" s="210">
        <f t="shared" si="13"/>
        <v>14597.36</v>
      </c>
      <c r="AB60" s="144">
        <f t="shared" si="14"/>
        <v>2.799998596678459E-3</v>
      </c>
      <c r="AC60" s="140"/>
      <c r="AD60" s="143">
        <v>19800</v>
      </c>
      <c r="AE60" s="144">
        <f t="shared" si="15"/>
        <v>1.5263937675079591E-3</v>
      </c>
      <c r="AF60" s="145">
        <f t="shared" si="16"/>
        <v>-5202.6399999999994</v>
      </c>
      <c r="AG60" s="143">
        <v>38881.11</v>
      </c>
      <c r="AH60" s="144">
        <f t="shared" si="17"/>
        <v>4.6364365901846952E-3</v>
      </c>
      <c r="AI60" s="145">
        <f t="shared" si="18"/>
        <v>-24283.75</v>
      </c>
      <c r="AJ60" s="440">
        <f t="shared" si="19"/>
        <v>0.30214770657393608</v>
      </c>
      <c r="AK60" s="441">
        <f t="shared" si="20"/>
        <v>0.4098360655737705</v>
      </c>
      <c r="AL60" s="442">
        <f t="shared" si="21"/>
        <v>0.80699688667496883</v>
      </c>
      <c r="AM60" s="443" t="str">
        <f t="shared" si="22"/>
        <v>0.13 pts.</v>
      </c>
      <c r="AN60" s="444" t="str">
        <f t="shared" si="23"/>
        <v>-0.18 pts.</v>
      </c>
      <c r="AO60" s="11"/>
    </row>
    <row r="61" spans="1:41" x14ac:dyDescent="0.35">
      <c r="A61" s="65" t="s">
        <v>27</v>
      </c>
      <c r="B61" s="66"/>
      <c r="C61" s="11"/>
      <c r="D61" s="11"/>
      <c r="E61" s="11"/>
      <c r="F61" s="11"/>
      <c r="G61" s="11"/>
      <c r="H61" s="88" t="s">
        <v>898</v>
      </c>
      <c r="I61" s="122" t="str">
        <f>IF(_epmOfflineCondition_,"T4",_xll.EVPRO($B$1,$H61,"STYLE"))</f>
        <v>T4</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IF(_epmOfflineCondition_,"Furniture &amp; Equipment",IF(_xll.EVDES(H61,$B$1)="#NODATA","",_xll.EVDES(H61,$B$1)))</f>
        <v>Furniture &amp; Equipment</v>
      </c>
      <c r="O61" s="143">
        <v>477</v>
      </c>
      <c r="P61" s="143"/>
      <c r="Q61" s="143"/>
      <c r="R61" s="143"/>
      <c r="S61" s="143"/>
      <c r="T61" s="143"/>
      <c r="U61" s="143"/>
      <c r="V61" s="143"/>
      <c r="W61" s="143">
        <v>147.68</v>
      </c>
      <c r="X61" s="143">
        <v>582.05999999999995</v>
      </c>
      <c r="Y61" s="143">
        <v>1917.75</v>
      </c>
      <c r="Z61" s="143">
        <v>-5.8</v>
      </c>
      <c r="AA61" s="210">
        <f t="shared" si="13"/>
        <v>3118.6899999999996</v>
      </c>
      <c r="AB61" s="144">
        <f t="shared" si="14"/>
        <v>5.9821280173093911E-4</v>
      </c>
      <c r="AC61" s="140"/>
      <c r="AD61" s="143">
        <v>3691</v>
      </c>
      <c r="AE61" s="144">
        <f t="shared" si="15"/>
        <v>2.845413836298928E-4</v>
      </c>
      <c r="AF61" s="145">
        <f t="shared" si="16"/>
        <v>-572.3100000000004</v>
      </c>
      <c r="AG61" s="143">
        <v>3517.97</v>
      </c>
      <c r="AH61" s="144">
        <f t="shared" si="17"/>
        <v>4.1950563734348254E-4</v>
      </c>
      <c r="AI61" s="145">
        <f t="shared" si="18"/>
        <v>-399.2800000000002</v>
      </c>
      <c r="AJ61" s="440">
        <f t="shared" si="19"/>
        <v>6.4553113098195058E-2</v>
      </c>
      <c r="AK61" s="441">
        <f t="shared" si="20"/>
        <v>7.6399238284484181E-2</v>
      </c>
      <c r="AL61" s="442">
        <f t="shared" si="21"/>
        <v>7.301722706517226E-2</v>
      </c>
      <c r="AM61" s="443" t="str">
        <f t="shared" si="22"/>
        <v>0.03 pts.</v>
      </c>
      <c r="AN61" s="444" t="str">
        <f t="shared" si="23"/>
        <v>0.02 pts.</v>
      </c>
      <c r="AO61" s="11"/>
    </row>
    <row r="62" spans="1:41" x14ac:dyDescent="0.35">
      <c r="A62" s="65" t="s">
        <v>28</v>
      </c>
      <c r="B62" s="66"/>
      <c r="C62" s="11"/>
      <c r="D62" s="11"/>
      <c r="E62" s="11"/>
      <c r="F62" s="11"/>
      <c r="G62" s="11"/>
      <c r="H62" s="88" t="s">
        <v>899</v>
      </c>
      <c r="I62" s="122" t="str">
        <f>IF(_epmOfflineCondition_,"N",_xll.EVPRO($B$1,$H62,"STYLE"))</f>
        <v>N</v>
      </c>
      <c r="J62" s="122" t="str">
        <f>IF(_epmOfflineCondition_,"N",_xll.EVPRO($B$1,$H62,"CALC"))</f>
        <v>N</v>
      </c>
      <c r="K62" s="179" t="str">
        <f t="shared" si="12"/>
        <v/>
      </c>
      <c r="L62" s="90" t="str">
        <f>IF(_epmOfflineCondition_,"715600",_xll.EVPRO($B$1,H62,"JDEID"))</f>
        <v>715600</v>
      </c>
      <c r="M62" s="90" t="str">
        <f>IF(_epmOfflineCondition_,"690905",IF(AND(I62="N",J62="N"),_xll.EVPRO($B$1,H62,"PSFTID"),""))</f>
        <v>690905</v>
      </c>
      <c r="N62" s="90" t="str">
        <f>IF(_epmOfflineCondition_,"Building",IF(_xll.EVDES(H62,$B$1)="#NODATA","",_xll.EVDES(H62,$B$1)))</f>
        <v>Building</v>
      </c>
      <c r="O62" s="143">
        <v>616.13</v>
      </c>
      <c r="P62" s="143">
        <v>807.82</v>
      </c>
      <c r="Q62" s="143">
        <v>6.8</v>
      </c>
      <c r="R62" s="143"/>
      <c r="S62" s="143"/>
      <c r="T62" s="143">
        <v>1353.73</v>
      </c>
      <c r="U62" s="143">
        <v>2518.15</v>
      </c>
      <c r="V62" s="143">
        <v>1673.24</v>
      </c>
      <c r="W62" s="143">
        <v>2480.42</v>
      </c>
      <c r="X62" s="143">
        <v>1779.24</v>
      </c>
      <c r="Y62" s="143">
        <v>1495.87</v>
      </c>
      <c r="Z62" s="143">
        <v>3268.86</v>
      </c>
      <c r="AA62" s="210">
        <f t="shared" si="13"/>
        <v>16000.260000000002</v>
      </c>
      <c r="AB62" s="144">
        <f t="shared" si="14"/>
        <v>3.0690964356904593E-3</v>
      </c>
      <c r="AC62" s="140"/>
      <c r="AD62" s="143">
        <v>13824</v>
      </c>
      <c r="AE62" s="144">
        <f t="shared" si="15"/>
        <v>1.0657003758601023E-3</v>
      </c>
      <c r="AF62" s="145">
        <f t="shared" si="16"/>
        <v>2176.260000000002</v>
      </c>
      <c r="AG62" s="143">
        <v>16246.46</v>
      </c>
      <c r="AH62" s="144">
        <f t="shared" si="17"/>
        <v>1.9373336204900539E-3</v>
      </c>
      <c r="AI62" s="145">
        <f t="shared" si="18"/>
        <v>-246.19999999999709</v>
      </c>
      <c r="AJ62" s="440">
        <f t="shared" si="19"/>
        <v>0.33118604073522112</v>
      </c>
      <c r="AK62" s="441">
        <f t="shared" si="20"/>
        <v>0.28614008941877794</v>
      </c>
      <c r="AL62" s="442">
        <f t="shared" si="21"/>
        <v>0.33720340390203402</v>
      </c>
      <c r="AM62" s="443" t="str">
        <f t="shared" si="22"/>
        <v>0.2 pts.</v>
      </c>
      <c r="AN62" s="444" t="str">
        <f t="shared" si="23"/>
        <v>0.11 pts.</v>
      </c>
      <c r="AO62" s="11"/>
    </row>
    <row r="63" spans="1:41" x14ac:dyDescent="0.35">
      <c r="A63" s="65" t="s">
        <v>29</v>
      </c>
      <c r="B63" s="66"/>
      <c r="C63" s="11"/>
      <c r="D63" s="11"/>
      <c r="E63" s="11"/>
      <c r="F63" s="11"/>
      <c r="G63" s="11"/>
      <c r="H63" s="88" t="s">
        <v>900</v>
      </c>
      <c r="I63" s="122" t="str">
        <f>IF(_epmOfflineCondition_,"N",_xll.EVPRO($B$1,$H63,"STYLE"))</f>
        <v>N</v>
      </c>
      <c r="J63" s="122" t="str">
        <f>IF(_epmOfflineCondition_,"N",_xll.EVPRO($B$1,$H63,"CALC"))</f>
        <v>N</v>
      </c>
      <c r="K63" s="179" t="str">
        <f t="shared" si="12"/>
        <v/>
      </c>
      <c r="L63" s="90" t="str">
        <f>IF(_epmOfflineCondition_,"715700",_xll.EVPRO($B$1,H63,"JDEID"))</f>
        <v>715700</v>
      </c>
      <c r="M63" s="90" t="str">
        <f>IF(_epmOfflineCondition_,"690921",IF(AND(I63="N",J63="N"),_xll.EVPRO($B$1,H63,"PSFTID"),""))</f>
        <v>690921</v>
      </c>
      <c r="N63" s="90" t="str">
        <f>IF(_epmOfflineCondition_,"Plumbing",IF(_xll.EVDES(H63,$B$1)="#NODATA","",_xll.EVDES(H63,$B$1)))</f>
        <v>Plumbing</v>
      </c>
      <c r="O63" s="143"/>
      <c r="P63" s="143">
        <v>559.1</v>
      </c>
      <c r="Q63" s="143"/>
      <c r="R63" s="143"/>
      <c r="S63" s="143"/>
      <c r="T63" s="143">
        <v>24.95</v>
      </c>
      <c r="U63" s="143">
        <v>1273.3</v>
      </c>
      <c r="V63" s="143"/>
      <c r="W63" s="143">
        <v>277.58</v>
      </c>
      <c r="X63" s="143">
        <v>139.68</v>
      </c>
      <c r="Y63" s="143">
        <v>678.35</v>
      </c>
      <c r="Z63" s="143">
        <v>600</v>
      </c>
      <c r="AA63" s="210">
        <f t="shared" si="13"/>
        <v>3552.9599999999996</v>
      </c>
      <c r="AB63" s="144">
        <f t="shared" si="14"/>
        <v>6.8151247993162439E-4</v>
      </c>
      <c r="AC63" s="140"/>
      <c r="AD63" s="143">
        <v>9464.8400000004003</v>
      </c>
      <c r="AE63" s="144">
        <f t="shared" si="15"/>
        <v>7.2965014073033546E-4</v>
      </c>
      <c r="AF63" s="145">
        <f t="shared" si="16"/>
        <v>-5911.8800000004012</v>
      </c>
      <c r="AG63" s="143">
        <v>8510.4599999999991</v>
      </c>
      <c r="AH63" s="144">
        <f t="shared" si="17"/>
        <v>1.0148426354932572E-3</v>
      </c>
      <c r="AI63" s="145">
        <f t="shared" si="18"/>
        <v>-4957.5</v>
      </c>
      <c r="AJ63" s="440">
        <f t="shared" si="19"/>
        <v>7.3541977148534513E-2</v>
      </c>
      <c r="AK63" s="441">
        <f t="shared" si="20"/>
        <v>0.19591074681239445</v>
      </c>
      <c r="AL63" s="442">
        <f t="shared" si="21"/>
        <v>0.17663885429638854</v>
      </c>
      <c r="AM63" s="443" t="str">
        <f t="shared" si="22"/>
        <v>0 pts.</v>
      </c>
      <c r="AN63" s="444" t="str">
        <f t="shared" si="23"/>
        <v>-0.03 pts.</v>
      </c>
      <c r="AO63" s="11"/>
    </row>
    <row r="64" spans="1:41" x14ac:dyDescent="0.35">
      <c r="A64" s="65" t="s">
        <v>30</v>
      </c>
      <c r="B64" s="66" t="s">
        <v>78</v>
      </c>
      <c r="C64" s="11"/>
      <c r="D64" s="11"/>
      <c r="E64" s="11"/>
      <c r="F64" s="11"/>
      <c r="G64" s="11"/>
      <c r="H64" s="88" t="s">
        <v>901</v>
      </c>
      <c r="I64" s="122" t="str">
        <f>IF(_epmOfflineCondition_,"N",_xll.EVPRO($B$1,$H64,"STYLE"))</f>
        <v>N</v>
      </c>
      <c r="J64" s="122" t="str">
        <f>IF(_epmOfflineCondition_,"N",_xll.EVPRO($B$1,$H64,"CALC"))</f>
        <v>N</v>
      </c>
      <c r="K64" s="179" t="str">
        <f t="shared" si="12"/>
        <v/>
      </c>
      <c r="L64" s="90" t="str">
        <f>IF(_epmOfflineCondition_,"715800",_xll.EVPRO($B$1,H64,"JDEID"))</f>
        <v>715800</v>
      </c>
      <c r="M64" s="90" t="str">
        <f>IF(_epmOfflineCondition_,"691060",IF(AND(I64="N",J64="N"),_xll.EVPRO($B$1,H64,"PSFTID"),""))</f>
        <v>691060</v>
      </c>
      <c r="N64" s="90" t="str">
        <f>IF(_epmOfflineCondition_,"Floor Covering",IF(_xll.EVDES(H64,$B$1)="#NODATA","",_xll.EVDES(H64,$B$1)))</f>
        <v>Floor Covering</v>
      </c>
      <c r="O64" s="143"/>
      <c r="P64" s="143"/>
      <c r="Q64" s="143"/>
      <c r="R64" s="143"/>
      <c r="S64" s="143"/>
      <c r="T64" s="143"/>
      <c r="U64" s="143"/>
      <c r="V64" s="143"/>
      <c r="W64" s="143"/>
      <c r="X64" s="143"/>
      <c r="Y64" s="143"/>
      <c r="Z64" s="143"/>
      <c r="AA64" s="210">
        <f t="shared" si="13"/>
        <v>0</v>
      </c>
      <c r="AB64" s="144" t="str">
        <f t="shared" si="14"/>
        <v/>
      </c>
      <c r="AC64" s="140"/>
      <c r="AD64" s="143">
        <v>210</v>
      </c>
      <c r="AE64" s="144">
        <f t="shared" si="15"/>
        <v>1.6189024806902596E-5</v>
      </c>
      <c r="AF64" s="145">
        <f t="shared" si="16"/>
        <v>-210</v>
      </c>
      <c r="AG64" s="143">
        <v>60.45</v>
      </c>
      <c r="AH64" s="144">
        <f t="shared" si="17"/>
        <v>7.2084514016360352E-6</v>
      </c>
      <c r="AI64" s="145">
        <f t="shared" si="18"/>
        <v>-60.45</v>
      </c>
      <c r="AJ64" s="440">
        <f t="shared" si="19"/>
        <v>0</v>
      </c>
      <c r="AK64" s="441">
        <f t="shared" si="20"/>
        <v>4.3467461500248383E-3</v>
      </c>
      <c r="AL64" s="442">
        <f t="shared" si="21"/>
        <v>1.2546699875466999E-3</v>
      </c>
      <c r="AM64" s="443">
        <f t="shared" si="22"/>
        <v>0</v>
      </c>
      <c r="AN64" s="444">
        <f t="shared" si="23"/>
        <v>0</v>
      </c>
      <c r="AO64" s="11"/>
    </row>
    <row r="65" spans="1:41" x14ac:dyDescent="0.35">
      <c r="A65" s="65" t="s">
        <v>31</v>
      </c>
      <c r="B65" s="66" t="s">
        <v>78</v>
      </c>
      <c r="C65" s="11"/>
      <c r="D65" s="11"/>
      <c r="E65" s="11"/>
      <c r="F65" s="11"/>
      <c r="G65" s="11"/>
      <c r="H65" s="88" t="s">
        <v>902</v>
      </c>
      <c r="I65" s="122" t="str">
        <f>IF(_epmOfflineCondition_,"N",_xll.EVPRO($B$1,$H65,"STYLE"))</f>
        <v>N</v>
      </c>
      <c r="J65" s="122" t="str">
        <f>IF(_epmOfflineCondition_,"N",_xll.EVPRO($B$1,$H65,"CALC"))</f>
        <v>N</v>
      </c>
      <c r="K65" s="179" t="str">
        <f t="shared" si="12"/>
        <v/>
      </c>
      <c r="L65" s="90" t="str">
        <f>IF(_epmOfflineCondition_,"715900",_xll.EVPRO($B$1,H65,"JDEID"))</f>
        <v>715900</v>
      </c>
      <c r="M65" s="90" t="str">
        <f>IF(_epmOfflineCondition_,"690925",IF(AND(I65="N",J65="N"),_xll.EVPRO($B$1,H65,"PSFTID"),""))</f>
        <v>690925</v>
      </c>
      <c r="N65" s="90" t="str">
        <f>IF(_epmOfflineCondition_,"Painting &amp; Wallcovering",IF(_xll.EVDES(H65,$B$1)="#NODATA","",_xll.EVDES(H65,$B$1)))</f>
        <v>Painting &amp; Wallcovering</v>
      </c>
      <c r="O65" s="143">
        <v>939.11</v>
      </c>
      <c r="P65" s="143">
        <v>544.04</v>
      </c>
      <c r="Q65" s="143">
        <v>1082.1500000000001</v>
      </c>
      <c r="R65" s="143"/>
      <c r="S65" s="143">
        <v>109.98</v>
      </c>
      <c r="T65" s="143">
        <v>655.01</v>
      </c>
      <c r="U65" s="143"/>
      <c r="V65" s="143"/>
      <c r="W65" s="143">
        <v>200</v>
      </c>
      <c r="X65" s="143">
        <v>1894.06</v>
      </c>
      <c r="Y65" s="143">
        <v>327.71</v>
      </c>
      <c r="Z65" s="143">
        <v>1583.13</v>
      </c>
      <c r="AA65" s="210">
        <f t="shared" si="13"/>
        <v>7335.1900000000005</v>
      </c>
      <c r="AB65" s="144">
        <f t="shared" si="14"/>
        <v>1.4070024789667355E-3</v>
      </c>
      <c r="AC65" s="140"/>
      <c r="AD65" s="143">
        <v>11787</v>
      </c>
      <c r="AE65" s="144">
        <f t="shared" si="15"/>
        <v>9.0866683523314722E-4</v>
      </c>
      <c r="AF65" s="145">
        <f t="shared" si="16"/>
        <v>-4451.8099999999995</v>
      </c>
      <c r="AG65" s="143">
        <v>11109.1</v>
      </c>
      <c r="AH65" s="144">
        <f t="shared" si="17"/>
        <v>1.3247213807430086E-3</v>
      </c>
      <c r="AI65" s="145">
        <f t="shared" si="18"/>
        <v>-3773.91</v>
      </c>
      <c r="AJ65" s="440">
        <f t="shared" si="19"/>
        <v>0.15182956615333665</v>
      </c>
      <c r="AK65" s="441">
        <f t="shared" si="20"/>
        <v>0.243976651763537</v>
      </c>
      <c r="AL65" s="442">
        <f t="shared" si="21"/>
        <v>0.23057492735574928</v>
      </c>
      <c r="AM65" s="443" t="str">
        <f t="shared" si="22"/>
        <v>0.05 pts.</v>
      </c>
      <c r="AN65" s="444" t="str">
        <f t="shared" si="23"/>
        <v>0.01 pts.</v>
      </c>
      <c r="AO65" s="11"/>
    </row>
    <row r="66" spans="1:41" x14ac:dyDescent="0.35">
      <c r="A66" s="65" t="s">
        <v>32</v>
      </c>
      <c r="B66" s="66"/>
      <c r="C66" s="11"/>
      <c r="D66" s="11"/>
      <c r="E66" s="11"/>
      <c r="F66" s="11"/>
      <c r="G66" s="11"/>
      <c r="H66" s="88" t="s">
        <v>903</v>
      </c>
      <c r="I66" s="122" t="str">
        <f>IF(_epmOfflineCondition_,"N",_xll.EVPRO($B$1,$H66,"STYLE"))</f>
        <v>N</v>
      </c>
      <c r="J66" s="122" t="str">
        <f>IF(_epmOfflineCondition_,"N",_xll.EVPRO($B$1,$H66,"CALC"))</f>
        <v>N</v>
      </c>
      <c r="K66" s="179" t="str">
        <f t="shared" si="12"/>
        <v/>
      </c>
      <c r="L66" s="90" t="str">
        <f>IF(_epmOfflineCondition_,"716000",_xll.EVPRO($B$1,H66,"JDEID"))</f>
        <v>716000</v>
      </c>
      <c r="M66" s="90" t="str">
        <f>IF(_epmOfflineCondition_,"690910",IF(AND(I66="N",J66="N"),_xll.EVPRO($B$1,H66,"PSFTID"),""))</f>
        <v>690910</v>
      </c>
      <c r="N66" s="90" t="str">
        <f>IF(_epmOfflineCondition_,"Elevators &amp; Escalators",IF(_xll.EVDES(H66,$B$1)="#NODATA","",_xll.EVDES(H66,$B$1)))</f>
        <v>Elevators &amp; Escalators</v>
      </c>
      <c r="O66" s="143">
        <v>3348</v>
      </c>
      <c r="P66" s="143">
        <v>1547.02</v>
      </c>
      <c r="Q66" s="143">
        <v>246.02</v>
      </c>
      <c r="R66" s="143">
        <v>928.21</v>
      </c>
      <c r="S66" s="143">
        <v>-156.5</v>
      </c>
      <c r="T66" s="143">
        <v>1178.3900000000001</v>
      </c>
      <c r="U66" s="143">
        <v>1178.3900000000001</v>
      </c>
      <c r="V66" s="143">
        <v>999.59</v>
      </c>
      <c r="W66" s="143">
        <v>999.59</v>
      </c>
      <c r="X66" s="143">
        <v>999.59</v>
      </c>
      <c r="Y66" s="143">
        <v>999.59</v>
      </c>
      <c r="Z66" s="143">
        <v>1357.19</v>
      </c>
      <c r="AA66" s="210">
        <f t="shared" si="13"/>
        <v>13625.080000000002</v>
      </c>
      <c r="AB66" s="144">
        <f t="shared" si="14"/>
        <v>2.6135003096198041E-3</v>
      </c>
      <c r="AC66" s="140"/>
      <c r="AD66" s="143">
        <v>18000</v>
      </c>
      <c r="AE66" s="144">
        <f t="shared" si="15"/>
        <v>1.3876306977345083E-3</v>
      </c>
      <c r="AF66" s="145">
        <f t="shared" si="16"/>
        <v>-4374.9199999999983</v>
      </c>
      <c r="AG66" s="143">
        <v>17943</v>
      </c>
      <c r="AH66" s="144">
        <f t="shared" si="17"/>
        <v>2.1396400909769291E-3</v>
      </c>
      <c r="AI66" s="145">
        <f t="shared" si="18"/>
        <v>-4317.9199999999983</v>
      </c>
      <c r="AJ66" s="440">
        <f t="shared" si="19"/>
        <v>0.28202268587514495</v>
      </c>
      <c r="AK66" s="441">
        <f t="shared" si="20"/>
        <v>0.37257824143070045</v>
      </c>
      <c r="AL66" s="442">
        <f t="shared" si="21"/>
        <v>0.37241594022415941</v>
      </c>
      <c r="AM66" s="443" t="str">
        <f t="shared" si="22"/>
        <v>0.12 pts.</v>
      </c>
      <c r="AN66" s="444" t="str">
        <f t="shared" si="23"/>
        <v>0.05 pts.</v>
      </c>
      <c r="AO66" s="11"/>
    </row>
    <row r="67" spans="1:41" x14ac:dyDescent="0.35">
      <c r="A67" s="65" t="s">
        <v>33</v>
      </c>
      <c r="B67" s="66"/>
      <c r="C67" s="11"/>
      <c r="D67" s="11"/>
      <c r="E67" s="11"/>
      <c r="F67" s="11"/>
      <c r="G67" s="11"/>
      <c r="H67" s="88" t="s">
        <v>904</v>
      </c>
      <c r="I67" s="122" t="str">
        <f>IF(_epmOfflineCondition_,"N",_xll.EVPRO($B$1,$H67,"STYLE"))</f>
        <v>N</v>
      </c>
      <c r="J67" s="122" t="str">
        <f>IF(_epmOfflineCondition_,"N",_xll.EVPRO($B$1,$H67,"CALC"))</f>
        <v>N</v>
      </c>
      <c r="K67" s="179" t="str">
        <f t="shared" si="12"/>
        <v/>
      </c>
      <c r="L67" s="90" t="str">
        <f>IF(_epmOfflineCondition_,"716100",_xll.EVPRO($B$1,H67,"JDEID"))</f>
        <v>716100</v>
      </c>
      <c r="M67" s="90" t="str">
        <f>IF(_epmOfflineCondition_,"690930",IF(AND(I67="N",J67="N"),_xll.EVPRO($B$1,H67,"PSFTID"),""))</f>
        <v>690930</v>
      </c>
      <c r="N67" s="90" t="str">
        <f>IF(_epmOfflineCondition_,"Swimming Pool",IF(_xll.EVDES(H67,$B$1)="#NODATA","",_xll.EVDES(H67,$B$1)))</f>
        <v>Swimming Pool</v>
      </c>
      <c r="O67" s="143">
        <v>940</v>
      </c>
      <c r="P67" s="143">
        <v>1405</v>
      </c>
      <c r="Q67" s="143">
        <v>940</v>
      </c>
      <c r="R67" s="143">
        <v>350</v>
      </c>
      <c r="S67" s="143">
        <v>350</v>
      </c>
      <c r="T67" s="143">
        <v>940</v>
      </c>
      <c r="U67" s="143">
        <v>1446.23</v>
      </c>
      <c r="V67" s="143">
        <v>940</v>
      </c>
      <c r="W67" s="143">
        <v>1200</v>
      </c>
      <c r="X67" s="143">
        <v>1340</v>
      </c>
      <c r="Y67" s="143">
        <v>1600</v>
      </c>
      <c r="Z67" s="143">
        <v>2004.31</v>
      </c>
      <c r="AA67" s="210">
        <f t="shared" si="13"/>
        <v>13455.539999999999</v>
      </c>
      <c r="AB67" s="144">
        <f t="shared" si="14"/>
        <v>2.5809799249693691E-3</v>
      </c>
      <c r="AC67" s="140"/>
      <c r="AD67" s="143">
        <v>23625</v>
      </c>
      <c r="AE67" s="144">
        <f t="shared" si="15"/>
        <v>1.821265290776542E-3</v>
      </c>
      <c r="AF67" s="145">
        <f t="shared" si="16"/>
        <v>-10169.460000000001</v>
      </c>
      <c r="AG67" s="143">
        <v>28659.54</v>
      </c>
      <c r="AH67" s="144">
        <f t="shared" si="17"/>
        <v>3.4175500625846815E-3</v>
      </c>
      <c r="AI67" s="145">
        <f t="shared" si="18"/>
        <v>-15204.000000000002</v>
      </c>
      <c r="AJ67" s="440">
        <f t="shared" si="19"/>
        <v>0.27851341281669151</v>
      </c>
      <c r="AK67" s="441">
        <f t="shared" si="20"/>
        <v>0.48900894187779431</v>
      </c>
      <c r="AL67" s="442">
        <f t="shared" si="21"/>
        <v>0.59484308841843092</v>
      </c>
      <c r="AM67" s="443" t="str">
        <f t="shared" si="22"/>
        <v>0.08 pts.</v>
      </c>
      <c r="AN67" s="444" t="str">
        <f t="shared" si="23"/>
        <v>-0.08 pts.</v>
      </c>
      <c r="AO67" s="11"/>
    </row>
    <row r="68" spans="1:41" x14ac:dyDescent="0.35">
      <c r="A68" s="65" t="s">
        <v>34</v>
      </c>
      <c r="B68" s="66"/>
      <c r="C68" s="11"/>
      <c r="D68" s="11"/>
      <c r="E68" s="11"/>
      <c r="F68" s="11"/>
      <c r="G68" s="11"/>
      <c r="H68" s="88" t="s">
        <v>905</v>
      </c>
      <c r="I68" s="122" t="str">
        <f>IF(_epmOfflineCondition_,"N",_xll.EVPRO($B$1,$H68,"STYLE"))</f>
        <v>N</v>
      </c>
      <c r="J68" s="122" t="str">
        <f>IF(_epmOfflineCondition_,"N",_xll.EVPRO($B$1,$H68,"CALC"))</f>
        <v>N</v>
      </c>
      <c r="K68" s="179" t="str">
        <f t="shared" si="12"/>
        <v/>
      </c>
      <c r="L68" s="90" t="str">
        <f>IF(_epmOfflineCondition_,"716200",_xll.EVPRO($B$1,H68,"JDEID"))</f>
        <v>716200</v>
      </c>
      <c r="M68" s="90" t="str">
        <f>IF(_epmOfflineCondition_,"690915",IF(AND(I68="N",J68="N"),_xll.EVPRO($B$1,H68,"PSFTID"),""))</f>
        <v>690915</v>
      </c>
      <c r="N68" s="90" t="str">
        <f>IF(_epmOfflineCondition_,"Grounds Maint &amp; Landscaping",IF(_xll.EVDES(H68,$B$1)="#NODATA","",_xll.EVDES(H68,$B$1)))</f>
        <v>Grounds Maint &amp; Landscaping</v>
      </c>
      <c r="O68" s="143">
        <v>2500</v>
      </c>
      <c r="P68" s="143">
        <v>2500</v>
      </c>
      <c r="Q68" s="143">
        <v>1250</v>
      </c>
      <c r="R68" s="143">
        <v>1250</v>
      </c>
      <c r="S68" s="143">
        <v>1250</v>
      </c>
      <c r="T68" s="143">
        <v>1250</v>
      </c>
      <c r="U68" s="143">
        <v>1250</v>
      </c>
      <c r="V68" s="143">
        <v>1450</v>
      </c>
      <c r="W68" s="143">
        <v>1820</v>
      </c>
      <c r="X68" s="143">
        <v>1255.02</v>
      </c>
      <c r="Y68" s="143">
        <v>1025</v>
      </c>
      <c r="Z68" s="143">
        <v>1250</v>
      </c>
      <c r="AA68" s="210">
        <f t="shared" si="13"/>
        <v>18050.02</v>
      </c>
      <c r="AB68" s="144">
        <f t="shared" si="14"/>
        <v>3.4622719909639904E-3</v>
      </c>
      <c r="AC68" s="140"/>
      <c r="AD68" s="143">
        <v>32066</v>
      </c>
      <c r="AE68" s="144">
        <f t="shared" si="15"/>
        <v>2.4719869974197078E-3</v>
      </c>
      <c r="AF68" s="145">
        <f t="shared" si="16"/>
        <v>-14015.98</v>
      </c>
      <c r="AG68" s="143">
        <v>33161</v>
      </c>
      <c r="AH68" s="144">
        <f t="shared" si="17"/>
        <v>3.9543334479677844E-3</v>
      </c>
      <c r="AI68" s="145">
        <f t="shared" si="18"/>
        <v>-15110.98</v>
      </c>
      <c r="AJ68" s="440">
        <f t="shared" si="19"/>
        <v>0.37361359496605401</v>
      </c>
      <c r="AK68" s="441">
        <f t="shared" si="20"/>
        <v>0.66372743831760228</v>
      </c>
      <c r="AL68" s="442">
        <f t="shared" si="21"/>
        <v>0.68827314238273141</v>
      </c>
      <c r="AM68" s="443" t="str">
        <f t="shared" si="22"/>
        <v>0.1 pts.</v>
      </c>
      <c r="AN68" s="444" t="str">
        <f t="shared" si="23"/>
        <v>-0.05 pts.</v>
      </c>
      <c r="AO68" s="11"/>
    </row>
    <row r="69" spans="1:41" x14ac:dyDescent="0.35">
      <c r="A69" s="65" t="s">
        <v>35</v>
      </c>
      <c r="B69" s="66"/>
      <c r="C69" s="11"/>
      <c r="D69" s="11"/>
      <c r="E69" s="11"/>
      <c r="F69" s="11"/>
      <c r="G69" s="11"/>
      <c r="H69" s="88" t="s">
        <v>906</v>
      </c>
      <c r="I69" s="122" t="str">
        <f>IF(_epmOfflineCondition_,"N",_xll.EVPRO($B$1,$H69,"STYLE"))</f>
        <v>N</v>
      </c>
      <c r="J69" s="122" t="str">
        <f>IF(_epmOfflineCondition_,"N",_xll.EVPRO($B$1,$H69,"CALC"))</f>
        <v>N</v>
      </c>
      <c r="K69" s="179" t="str">
        <f t="shared" si="12"/>
        <v/>
      </c>
      <c r="L69" s="90" t="str">
        <f>IF(_epmOfflineCondition_,"716300",_xll.EVPRO($B$1,H69,"JDEID"))</f>
        <v>716300</v>
      </c>
      <c r="M69" s="90" t="str">
        <f>IF(_epmOfflineCondition_,"691099",IF(AND(I69="N",J69="N"),_xll.EVPRO($B$1,H69,"PSFTID"),""))</f>
        <v>691099</v>
      </c>
      <c r="N69" s="90" t="str">
        <f>IF(_epmOfflineCondition_,"Light Bulbs",IF(_xll.EVDES(H69,$B$1)="#NODATA","",_xll.EVDES(H69,$B$1)))</f>
        <v>Light Bulbs</v>
      </c>
      <c r="O69" s="143"/>
      <c r="P69" s="143">
        <v>337.74</v>
      </c>
      <c r="Q69" s="143"/>
      <c r="R69" s="143"/>
      <c r="S69" s="143"/>
      <c r="T69" s="143">
        <v>-31</v>
      </c>
      <c r="U69" s="143">
        <v>695.87</v>
      </c>
      <c r="V69" s="143">
        <v>553.67999999999995</v>
      </c>
      <c r="W69" s="143">
        <v>189.99</v>
      </c>
      <c r="X69" s="143">
        <v>516.34</v>
      </c>
      <c r="Y69" s="143"/>
      <c r="Z69" s="143"/>
      <c r="AA69" s="210">
        <f t="shared" si="13"/>
        <v>2262.62</v>
      </c>
      <c r="AB69" s="144">
        <f t="shared" si="14"/>
        <v>4.3400538349513984E-4</v>
      </c>
      <c r="AC69" s="140"/>
      <c r="AD69" s="143">
        <v>3897.1643305721</v>
      </c>
      <c r="AE69" s="144">
        <f t="shared" si="15"/>
        <v>3.0043471440098892E-4</v>
      </c>
      <c r="AF69" s="145">
        <f t="shared" si="16"/>
        <v>-1634.5443305721001</v>
      </c>
      <c r="AG69" s="143">
        <v>2578.92</v>
      </c>
      <c r="AH69" s="144">
        <f t="shared" si="17"/>
        <v>3.0752720411426307E-4</v>
      </c>
      <c r="AI69" s="145">
        <f t="shared" si="18"/>
        <v>-316.30000000000018</v>
      </c>
      <c r="AJ69" s="440">
        <f t="shared" si="19"/>
        <v>4.6833498923662856E-2</v>
      </c>
      <c r="AK69" s="441">
        <f t="shared" si="20"/>
        <v>8.0666590713944775E-2</v>
      </c>
      <c r="AL69" s="442">
        <f t="shared" si="21"/>
        <v>5.3526774595267744E-2</v>
      </c>
      <c r="AM69" s="443" t="str">
        <f t="shared" si="22"/>
        <v>0.01 pts.</v>
      </c>
      <c r="AN69" s="444" t="str">
        <f t="shared" si="23"/>
        <v>0.01 pts.</v>
      </c>
      <c r="AO69" s="11"/>
    </row>
    <row r="70" spans="1:41" x14ac:dyDescent="0.35">
      <c r="A70" s="65" t="s">
        <v>36</v>
      </c>
      <c r="B70" s="66"/>
      <c r="C70" s="11"/>
      <c r="D70" s="11"/>
      <c r="E70" s="11"/>
      <c r="F70" s="11"/>
      <c r="G70" s="11"/>
      <c r="H70" s="88" t="s">
        <v>907</v>
      </c>
      <c r="I70" s="122" t="str">
        <f>IF(_epmOfflineCondition_,"N",_xll.EVPRO($B$1,$H70,"STYLE"))</f>
        <v>N</v>
      </c>
      <c r="J70" s="122" t="str">
        <f>IF(_epmOfflineCondition_,"N",_xll.EVPRO($B$1,$H70,"CALC"))</f>
        <v>N</v>
      </c>
      <c r="K70" s="179" t="str">
        <f t="shared" si="12"/>
        <v/>
      </c>
      <c r="L70" s="90" t="str">
        <f>IF(_epmOfflineCondition_,"716400",_xll.EVPRO($B$1,H70,"JDEID"))</f>
        <v>716400</v>
      </c>
      <c r="M70" s="90" t="str">
        <f>IF(_epmOfflineCondition_,"691070",IF(AND(I70="N",J70="N"),_xll.EVPRO($B$1,H70,"PSFTID"),""))</f>
        <v>691070</v>
      </c>
      <c r="N70" s="90" t="str">
        <f>IF(_epmOfflineCondition_,"Engineering Supplies",IF(_xll.EVDES(H70,$B$1)="#NODATA","",_xll.EVDES(H70,$B$1)))</f>
        <v>Engineering Supplies</v>
      </c>
      <c r="O70" s="143">
        <v>163.09</v>
      </c>
      <c r="P70" s="143">
        <v>605.91999999999996</v>
      </c>
      <c r="Q70" s="143">
        <v>193.3</v>
      </c>
      <c r="R70" s="143">
        <v>2.06</v>
      </c>
      <c r="S70" s="143"/>
      <c r="T70" s="143">
        <v>267.89</v>
      </c>
      <c r="U70" s="143">
        <v>122.43</v>
      </c>
      <c r="V70" s="143">
        <v>127.07</v>
      </c>
      <c r="W70" s="143">
        <v>155.83000000000001</v>
      </c>
      <c r="X70" s="143">
        <v>475.51</v>
      </c>
      <c r="Y70" s="143">
        <v>583.66</v>
      </c>
      <c r="Z70" s="143">
        <v>614.15</v>
      </c>
      <c r="AA70" s="210">
        <f t="shared" si="13"/>
        <v>3310.9099999999994</v>
      </c>
      <c r="AB70" s="144">
        <f t="shared" si="14"/>
        <v>6.3508355988539536E-4</v>
      </c>
      <c r="AC70" s="140"/>
      <c r="AD70" s="143">
        <v>5196.2191074295997</v>
      </c>
      <c r="AE70" s="144">
        <f t="shared" si="15"/>
        <v>4.0057961920132886E-4</v>
      </c>
      <c r="AF70" s="145">
        <f t="shared" si="16"/>
        <v>-1885.3091074296003</v>
      </c>
      <c r="AG70" s="143">
        <v>6287.45</v>
      </c>
      <c r="AH70" s="144">
        <f t="shared" si="17"/>
        <v>7.4975645600027267E-4</v>
      </c>
      <c r="AI70" s="145">
        <f t="shared" si="18"/>
        <v>-2976.5400000000004</v>
      </c>
      <c r="AJ70" s="440">
        <f t="shared" si="19"/>
        <v>6.8531834740851116E-2</v>
      </c>
      <c r="AK70" s="441">
        <f t="shared" si="20"/>
        <v>0.10755545428526246</v>
      </c>
      <c r="AL70" s="442">
        <f t="shared" si="21"/>
        <v>0.13049916977999168</v>
      </c>
      <c r="AM70" s="443" t="str">
        <f t="shared" si="22"/>
        <v>0.02 pts.</v>
      </c>
      <c r="AN70" s="444" t="str">
        <f t="shared" si="23"/>
        <v>-0.01 pts.</v>
      </c>
      <c r="AO70" s="11"/>
    </row>
    <row r="71" spans="1:41" x14ac:dyDescent="0.35">
      <c r="A71" s="65" t="s">
        <v>37</v>
      </c>
      <c r="B71" s="66"/>
      <c r="C71" s="11"/>
      <c r="D71" s="11"/>
      <c r="E71" s="11"/>
      <c r="F71" s="11"/>
      <c r="G71" s="11"/>
      <c r="H71" s="88" t="s">
        <v>908</v>
      </c>
      <c r="I71" s="122" t="str">
        <f>IF(_epmOfflineCondition_,"N",_xll.EVPRO($B$1,$H71,"STYLE"))</f>
        <v>N</v>
      </c>
      <c r="J71" s="122" t="str">
        <f>IF(_epmOfflineCondition_,"N",_xll.EVPRO($B$1,$H71,"CALC"))</f>
        <v>N</v>
      </c>
      <c r="K71" s="179" t="str">
        <f t="shared" si="12"/>
        <v/>
      </c>
      <c r="L71" s="90" t="str">
        <f>IF(_epmOfflineCondition_,"716500",_xll.EVPRO($B$1,H71,"JDEID"))</f>
        <v>716500</v>
      </c>
      <c r="M71" s="90" t="str">
        <f>IF(_epmOfflineCondition_,"691080",IF(AND(I71="N",J71="N"),_xll.EVPRO($B$1,H71,"PSFTID"),""))</f>
        <v>691080</v>
      </c>
      <c r="N71" s="90" t="str">
        <f>IF(_epmOfflineCondition_,"Waste Removal",IF(_xll.EVDES(H71,$B$1)="#NODATA","",_xll.EVDES(H71,$B$1)))</f>
        <v>Waste Removal</v>
      </c>
      <c r="O71" s="143">
        <v>4454.7299999999996</v>
      </c>
      <c r="P71" s="143">
        <v>4507.93</v>
      </c>
      <c r="Q71" s="143">
        <v>3718.66</v>
      </c>
      <c r="R71" s="143"/>
      <c r="S71" s="143"/>
      <c r="T71" s="143">
        <v>1305.56</v>
      </c>
      <c r="U71" s="143">
        <v>2320.9899999999998</v>
      </c>
      <c r="V71" s="143">
        <v>2220.4</v>
      </c>
      <c r="W71" s="143">
        <v>2220.4</v>
      </c>
      <c r="X71" s="143">
        <v>2220.4</v>
      </c>
      <c r="Y71" s="143">
        <v>2220.4</v>
      </c>
      <c r="Z71" s="143">
        <v>2521.2199999999998</v>
      </c>
      <c r="AA71" s="210">
        <f t="shared" si="13"/>
        <v>27710.690000000006</v>
      </c>
      <c r="AB71" s="144">
        <f t="shared" si="14"/>
        <v>5.3153373701129393E-3</v>
      </c>
      <c r="AC71" s="140"/>
      <c r="AD71" s="143">
        <v>46500</v>
      </c>
      <c r="AE71" s="144">
        <f t="shared" si="15"/>
        <v>3.5847126358141464E-3</v>
      </c>
      <c r="AF71" s="145">
        <f t="shared" si="16"/>
        <v>-18789.309999999994</v>
      </c>
      <c r="AG71" s="143">
        <v>35526.730000000003</v>
      </c>
      <c r="AH71" s="144">
        <f t="shared" si="17"/>
        <v>4.2364384890660875E-3</v>
      </c>
      <c r="AI71" s="145">
        <f t="shared" si="18"/>
        <v>-7816.0399999999972</v>
      </c>
      <c r="AJ71" s="440">
        <f t="shared" si="19"/>
        <v>0.57357778605729437</v>
      </c>
      <c r="AK71" s="441">
        <f t="shared" si="20"/>
        <v>0.96249379036264282</v>
      </c>
      <c r="AL71" s="442">
        <f t="shared" si="21"/>
        <v>0.73737505188875063</v>
      </c>
      <c r="AM71" s="443" t="str">
        <f t="shared" si="22"/>
        <v>0.17 pts.</v>
      </c>
      <c r="AN71" s="444" t="str">
        <f t="shared" si="23"/>
        <v>0.11 pts.</v>
      </c>
      <c r="AO71" s="11"/>
    </row>
    <row r="72" spans="1:41" x14ac:dyDescent="0.35">
      <c r="A72" s="65" t="s">
        <v>38</v>
      </c>
      <c r="B72" s="66"/>
      <c r="C72" s="11"/>
      <c r="D72" s="11"/>
      <c r="E72" s="11"/>
      <c r="F72" s="11"/>
      <c r="G72" s="11"/>
      <c r="H72" s="88" t="s">
        <v>79</v>
      </c>
      <c r="I72" s="136" t="str">
        <f>IF(_epmOfflineCondition_,"T3",_xll.EVPRO($B$1,$H72,"STYLE"))</f>
        <v>T3</v>
      </c>
      <c r="J72" s="136" t="str">
        <f>IF(_epmOfflineCondition_,"Y",_xll.EVPRO($B$1,$H72,"CALC"))</f>
        <v>Y</v>
      </c>
      <c r="K72" s="104"/>
      <c r="L72" s="59"/>
      <c r="M72" s="59"/>
      <c r="N72" s="106" t="str">
        <f>IF(_epmOfflineCondition_,"Total Operations Expense",IF(_xll.EVDES(H72,$B$1)="#NODATA","",_xll.EVDES(H72,$B$1)))</f>
        <v>Total Operations Expense</v>
      </c>
      <c r="O72" s="154">
        <v>19414.95</v>
      </c>
      <c r="P72" s="154">
        <v>17212.16</v>
      </c>
      <c r="Q72" s="154">
        <v>11862.1</v>
      </c>
      <c r="R72" s="154">
        <v>3469.7</v>
      </c>
      <c r="S72" s="154">
        <v>1825.71</v>
      </c>
      <c r="T72" s="154">
        <v>11215.48</v>
      </c>
      <c r="U72" s="154">
        <v>15972.63</v>
      </c>
      <c r="V72" s="154">
        <v>10276.23</v>
      </c>
      <c r="W72" s="154">
        <v>13936.5</v>
      </c>
      <c r="X72" s="154">
        <v>20839.669999999998</v>
      </c>
      <c r="Y72" s="154">
        <v>15051.27</v>
      </c>
      <c r="Z72" s="154">
        <v>17268.599999999999</v>
      </c>
      <c r="AA72" s="154">
        <f t="shared" si="13"/>
        <v>158345</v>
      </c>
      <c r="AB72" s="155">
        <f t="shared" si="14"/>
        <v>3.0373011132906948E-2</v>
      </c>
      <c r="AC72" s="140"/>
      <c r="AD72" s="154">
        <v>231121.22343800199</v>
      </c>
      <c r="AE72" s="155">
        <f t="shared" si="15"/>
        <v>1.7817272474473771E-2</v>
      </c>
      <c r="AF72" s="156">
        <f t="shared" si="16"/>
        <v>-72776.223438001995</v>
      </c>
      <c r="AG72" s="154">
        <v>263945.40000000002</v>
      </c>
      <c r="AH72" s="155">
        <f t="shared" si="17"/>
        <v>3.1474567222256146E-2</v>
      </c>
      <c r="AI72" s="156">
        <f t="shared" si="18"/>
        <v>-105600.40000000002</v>
      </c>
      <c r="AJ72" s="466">
        <f t="shared" si="19"/>
        <v>3.2775500910746813</v>
      </c>
      <c r="AK72" s="467">
        <f t="shared" si="20"/>
        <v>4.7839299436579319</v>
      </c>
      <c r="AL72" s="468">
        <f t="shared" si="21"/>
        <v>5.4783188044831883</v>
      </c>
      <c r="AM72" s="469" t="str">
        <f t="shared" si="22"/>
        <v>1.26 pts.</v>
      </c>
      <c r="AN72" s="555" t="str">
        <f t="shared" si="23"/>
        <v>-0.11 pts.</v>
      </c>
      <c r="AO72" s="11"/>
    </row>
    <row r="73" spans="1:41" x14ac:dyDescent="0.35">
      <c r="A73" s="65" t="s">
        <v>39</v>
      </c>
      <c r="B73" s="66"/>
      <c r="C73" s="11"/>
      <c r="D73" s="11"/>
      <c r="E73" s="11"/>
      <c r="F73" s="11"/>
      <c r="G73" s="11"/>
      <c r="H73" s="11"/>
      <c r="I73" s="59"/>
      <c r="J73" s="59"/>
      <c r="K73" s="11"/>
      <c r="L73" s="59"/>
      <c r="M73" s="59"/>
      <c r="N73" s="11"/>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1"/>
    </row>
    <row r="74" spans="1:41" x14ac:dyDescent="0.35">
      <c r="A74" s="65" t="s">
        <v>40</v>
      </c>
      <c r="B74" s="66"/>
      <c r="C74" s="11"/>
      <c r="D74" s="11"/>
      <c r="E74" s="11"/>
      <c r="F74" s="11"/>
      <c r="G74" s="11"/>
      <c r="H74" s="88" t="s">
        <v>80</v>
      </c>
      <c r="I74" s="136" t="str">
        <f>IF(_epmOfflineCondition_,"T3",_xll.EVPRO($B$1,$H74,"STYLE"))</f>
        <v>T3</v>
      </c>
      <c r="J74" s="136" t="str">
        <f>IF(_epmOfflineCondition_,"Y",_xll.EVPRO($B$1,$H74,"CALC"))</f>
        <v>Y</v>
      </c>
      <c r="K74" s="106"/>
      <c r="L74" s="59"/>
      <c r="M74" s="59"/>
      <c r="N74" s="106" t="str">
        <f>IF(_epmOfflineCondition_,"Total Expenses",IF(_xll.EVDES(H74,$B$1)="#NODATA","",_xll.EVDES(H74,$B$1)))</f>
        <v>Total Expenses</v>
      </c>
      <c r="O74" s="238">
        <v>42091.85</v>
      </c>
      <c r="P74" s="238">
        <v>36072.050000000003</v>
      </c>
      <c r="Q74" s="238">
        <v>29110.19</v>
      </c>
      <c r="R74" s="238">
        <v>16286.66</v>
      </c>
      <c r="S74" s="238">
        <v>15178.05</v>
      </c>
      <c r="T74" s="238">
        <v>26818.85</v>
      </c>
      <c r="U74" s="238">
        <v>29858.17</v>
      </c>
      <c r="V74" s="238">
        <v>26045.7</v>
      </c>
      <c r="W74" s="238">
        <v>30015.19</v>
      </c>
      <c r="X74" s="238">
        <v>34219.660000000003</v>
      </c>
      <c r="Y74" s="238">
        <v>30573.5</v>
      </c>
      <c r="Z74" s="238">
        <v>33887.67</v>
      </c>
      <c r="AA74" s="238">
        <f>IF($I74="B1","",SUM(O74:Z74))</f>
        <v>350157.54</v>
      </c>
      <c r="AB74" s="239">
        <f>IF(AA74=0,"",IFERROR(AA74/AA$19,""))</f>
        <v>6.716561218031078E-2</v>
      </c>
      <c r="AC74" s="140"/>
      <c r="AD74" s="238">
        <v>519169.32440141297</v>
      </c>
      <c r="AE74" s="239">
        <f>IF(AD74=0,"",IFERROR(AD74/AD$19,""))</f>
        <v>4.0023071770082554E-2</v>
      </c>
      <c r="AF74" s="254">
        <f>IF(AND($AA74="",AD74=""),"",$AA74-AD74)</f>
        <v>-169011.784401413</v>
      </c>
      <c r="AG74" s="255">
        <v>534213.9</v>
      </c>
      <c r="AH74" s="256">
        <f>IF(AG74=0,"",IFERROR(AG74/AG$19,""))</f>
        <v>6.3703142038518651E-2</v>
      </c>
      <c r="AI74" s="254">
        <f>IF(AND($AA74="",AG74=""),"",$AA74-AG74)</f>
        <v>-184056.36000000004</v>
      </c>
      <c r="AJ74" s="472">
        <f>IFERROR(AA74/AA$20,0)</f>
        <v>7.2478378042722298</v>
      </c>
      <c r="AK74" s="473">
        <f>IFERROR(AD74/AD$20,0)</f>
        <v>10.74617743834685</v>
      </c>
      <c r="AL74" s="474">
        <f>IFERROR(AG74/AG$20,0)</f>
        <v>11.087876712328768</v>
      </c>
      <c r="AM74" s="475" t="str">
        <f>+IFERROR(ROUND(($AB74-AE74)*100,2)&amp;" pts.",0)</f>
        <v>2.71 pts.</v>
      </c>
      <c r="AN74" s="556" t="str">
        <f>+IFERROR(ROUND(($AB74-AH74)*100,2)&amp;" pts.",0)</f>
        <v>0.35 pts.</v>
      </c>
      <c r="AO74" s="11"/>
    </row>
    <row r="75" spans="1:41" ht="15" thickBot="1" x14ac:dyDescent="0.4">
      <c r="A75" s="65" t="s">
        <v>41</v>
      </c>
      <c r="B75" s="66"/>
      <c r="C75" s="11"/>
      <c r="D75" s="11"/>
      <c r="E75" s="11"/>
      <c r="F75" s="11"/>
      <c r="G75" s="11"/>
      <c r="H75" s="88" t="s">
        <v>81</v>
      </c>
      <c r="I75" s="136" t="str">
        <f>IF(_epmOfflineCondition_,"T3",_xll.EVPRO($B$1,$H75,"STYLE"))</f>
        <v>T3</v>
      </c>
      <c r="J75" s="136" t="str">
        <f>IF(_epmOfflineCondition_,"Y",_xll.EVPRO($B$1,$H75,"CALC"))</f>
        <v>Y</v>
      </c>
      <c r="K75" s="106"/>
      <c r="L75" s="59"/>
      <c r="M75" s="59"/>
      <c r="N75" s="106" t="str">
        <f>IF(_epmOfflineCondition_,"Department Profit (Loss)",IF(_xll.EVDES(H75,$B$1)="#NODATA","",_xll.EVDES(H75,$B$1)))</f>
        <v>Department Profit (Loss)</v>
      </c>
      <c r="O75" s="169">
        <v>-42091.85</v>
      </c>
      <c r="P75" s="169">
        <v>-36072.050000000003</v>
      </c>
      <c r="Q75" s="169">
        <v>-29110.19</v>
      </c>
      <c r="R75" s="169">
        <v>-16286.66</v>
      </c>
      <c r="S75" s="169">
        <v>-15178.05</v>
      </c>
      <c r="T75" s="169">
        <v>-26818.85</v>
      </c>
      <c r="U75" s="169">
        <v>-29858.17</v>
      </c>
      <c r="V75" s="169">
        <v>-26045.7</v>
      </c>
      <c r="W75" s="169">
        <v>-30015.19</v>
      </c>
      <c r="X75" s="169">
        <v>-34219.660000000003</v>
      </c>
      <c r="Y75" s="169">
        <v>-30573.5</v>
      </c>
      <c r="Z75" s="169">
        <v>-33887.67</v>
      </c>
      <c r="AA75" s="169">
        <f>IF($I75="B1","",SUM(O75:Z75))</f>
        <v>-350157.54</v>
      </c>
      <c r="AB75" s="170">
        <f>IF(AA75=0,"",IFERROR(AA75/AA$19,""))</f>
        <v>-6.716561218031078E-2</v>
      </c>
      <c r="AC75" s="140"/>
      <c r="AD75" s="169">
        <v>-519169.32440141198</v>
      </c>
      <c r="AE75" s="170">
        <f>IF(AD75=0,"",IFERROR(AD75/AD$19,""))</f>
        <v>-4.0023071770082477E-2</v>
      </c>
      <c r="AF75" s="171">
        <f>IF(AND($AA75="",AD75=""),"",$AA75-AD75)</f>
        <v>169011.78440141201</v>
      </c>
      <c r="AG75" s="169">
        <v>-534213.9</v>
      </c>
      <c r="AH75" s="170">
        <f>IF(AG75=0,"",IFERROR(AG75/AG$19,""))</f>
        <v>-6.3703142038518651E-2</v>
      </c>
      <c r="AI75" s="171">
        <f>IF(AND($AA75="",AG75=""),"",$AA75-AG75)</f>
        <v>184056.36000000004</v>
      </c>
      <c r="AJ75" s="477">
        <f>IFERROR(AA75/AA$20,0)</f>
        <v>-7.2478378042722298</v>
      </c>
      <c r="AK75" s="478">
        <f>IFERROR(AD75/AD$20,0)</f>
        <v>-10.746177438346828</v>
      </c>
      <c r="AL75" s="479">
        <f>IFERROR(AG75/AG$20,0)</f>
        <v>-11.087876712328768</v>
      </c>
      <c r="AM75" s="480" t="str">
        <f>+IFERROR(ROUND(($AB75-AE75)*100,2)&amp;" pts.",0)</f>
        <v>-2.71 pts.</v>
      </c>
      <c r="AN75" s="557" t="str">
        <f>+IFERROR(ROUND(($AB75-AH75)*100,2)&amp;" pts.",0)</f>
        <v>-0.35 pts.</v>
      </c>
      <c r="AO75" s="11"/>
    </row>
    <row r="76" spans="1:41" ht="15" thickTop="1" x14ac:dyDescent="0.35">
      <c r="A76" s="65" t="s">
        <v>42</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43</v>
      </c>
      <c r="B77" s="66"/>
      <c r="C77" s="11"/>
      <c r="D77" s="11"/>
      <c r="E77" s="11"/>
      <c r="F77" s="11"/>
      <c r="G77" s="11"/>
      <c r="H77" s="11"/>
      <c r="I77" s="59"/>
      <c r="J77" s="59"/>
      <c r="K77" s="11"/>
      <c r="L77" s="59"/>
      <c r="M77" s="59"/>
      <c r="N77" s="104" t="str">
        <f>N74&amp;" - Check"</f>
        <v>Total Expenses - Check</v>
      </c>
      <c r="O77" s="209">
        <f t="shared" ref="O77:AA77" si="24">SUMIF($H$33:$H$75,"600000",O$33:O$75)+SUMIF($H$33:$H$75,"700000",O$33:O$75)-SUMIF($H$33:$H$75,"TOTDEPTEXP",O$33:O$75)</f>
        <v>0</v>
      </c>
      <c r="P77" s="209">
        <f t="shared" si="24"/>
        <v>0</v>
      </c>
      <c r="Q77" s="209">
        <f t="shared" si="24"/>
        <v>0</v>
      </c>
      <c r="R77" s="209">
        <f t="shared" si="24"/>
        <v>0</v>
      </c>
      <c r="S77" s="209">
        <f t="shared" si="24"/>
        <v>0</v>
      </c>
      <c r="T77" s="209">
        <f t="shared" si="24"/>
        <v>0</v>
      </c>
      <c r="U77" s="209">
        <f t="shared" si="24"/>
        <v>0</v>
      </c>
      <c r="V77" s="209">
        <f t="shared" si="24"/>
        <v>0</v>
      </c>
      <c r="W77" s="209">
        <f t="shared" si="24"/>
        <v>0</v>
      </c>
      <c r="X77" s="209">
        <f t="shared" si="24"/>
        <v>0</v>
      </c>
      <c r="Y77" s="209">
        <f t="shared" si="24"/>
        <v>0</v>
      </c>
      <c r="Z77" s="209">
        <f t="shared" si="24"/>
        <v>0</v>
      </c>
      <c r="AA77" s="209">
        <f t="shared" si="24"/>
        <v>0</v>
      </c>
      <c r="AB77" s="100"/>
      <c r="AC77" s="11"/>
      <c r="AD77" s="209">
        <f>SUMIF($H$33:$H$75,"600000",AD$33:AD$75)+SUMIF($H$33:$H$75,"700000",AD$33:AD$75)-SUMIF($H$33:$H$75,"TOTDEPTEXP",AD$33:AD$75)</f>
        <v>0</v>
      </c>
      <c r="AE77" s="100"/>
      <c r="AF77" s="91"/>
      <c r="AG77" s="209">
        <f>SUMIF($H$33:$H$75,"600000",AG$33:AG$75)+SUMIF($H$33:$H$75,"700000",AG$33:AG$75)-SUMIF($H$33:$H$75,"TOTDEPTEXP",AG$33:AG$75)</f>
        <v>0</v>
      </c>
      <c r="AH77" s="100"/>
      <c r="AI77" s="91"/>
      <c r="AJ77" s="11"/>
      <c r="AK77" s="11"/>
      <c r="AL77" s="11"/>
      <c r="AM77" s="11"/>
      <c r="AN77" s="11"/>
      <c r="AO77" s="11"/>
    </row>
    <row r="78" spans="1:41" x14ac:dyDescent="0.35">
      <c r="A78" s="65" t="s">
        <v>44</v>
      </c>
      <c r="B78" s="66"/>
      <c r="C78" s="11"/>
      <c r="D78" s="11"/>
      <c r="E78" s="11"/>
      <c r="F78" s="11"/>
      <c r="G78" s="11"/>
      <c r="H78" s="11"/>
      <c r="I78" s="59"/>
      <c r="J78" s="59"/>
      <c r="K78" s="11"/>
      <c r="L78" s="59"/>
      <c r="M78" s="59"/>
      <c r="N78" s="104" t="str">
        <f>N75&amp;" - Check"</f>
        <v>Department Profit (Loss) - Check</v>
      </c>
      <c r="O78" s="209">
        <f t="shared" ref="O78:AA78" si="25">SUMIF($H$33:$H$75,"TOTDEPTEXP",O$33:O$75)+SUMIF($H$33:$H$75,"TOTDEPTPL",O$33:O$75)</f>
        <v>0</v>
      </c>
      <c r="P78" s="209">
        <f t="shared" si="25"/>
        <v>0</v>
      </c>
      <c r="Q78" s="209">
        <f t="shared" si="25"/>
        <v>0</v>
      </c>
      <c r="R78" s="209">
        <f t="shared" si="25"/>
        <v>0</v>
      </c>
      <c r="S78" s="209">
        <f t="shared" si="25"/>
        <v>0</v>
      </c>
      <c r="T78" s="209">
        <f t="shared" si="25"/>
        <v>0</v>
      </c>
      <c r="U78" s="209">
        <f t="shared" si="25"/>
        <v>0</v>
      </c>
      <c r="V78" s="209">
        <f t="shared" si="25"/>
        <v>0</v>
      </c>
      <c r="W78" s="209">
        <f t="shared" si="25"/>
        <v>0</v>
      </c>
      <c r="X78" s="209">
        <f t="shared" si="25"/>
        <v>0</v>
      </c>
      <c r="Y78" s="209">
        <f t="shared" si="25"/>
        <v>0</v>
      </c>
      <c r="Z78" s="209">
        <f t="shared" si="25"/>
        <v>0</v>
      </c>
      <c r="AA78" s="209">
        <f t="shared" si="25"/>
        <v>0</v>
      </c>
      <c r="AB78" s="100"/>
      <c r="AC78" s="11"/>
      <c r="AD78" s="209">
        <f>SUMIF($H$33:$H$75,"TOTDEPTEXP",AD$33:AD$75)+SUMIF($H$33:$H$75,"TOTDEPTPL",AD$33:AD$75)</f>
        <v>9.8953023552894592E-10</v>
      </c>
      <c r="AE78" s="100"/>
      <c r="AF78" s="91"/>
      <c r="AG78" s="209">
        <f>SUMIF($H$33:$H$75,"TOTDEPTEXP",AG$33:AG$75)+SUMIF($H$33:$H$75,"TOTDEPTPL",AG$33:AG$75)</f>
        <v>0</v>
      </c>
      <c r="AH78" s="100"/>
      <c r="AI78" s="91"/>
      <c r="AJ78" s="11"/>
      <c r="AK78" s="11"/>
      <c r="AL78" s="11"/>
      <c r="AM78" s="11"/>
      <c r="AN78" s="11"/>
      <c r="AO78" s="11"/>
    </row>
    <row r="79" spans="1:41" x14ac:dyDescent="0.35">
      <c r="A79" s="65" t="s">
        <v>45</v>
      </c>
      <c r="B79" s="66"/>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3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3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35">
      <c r="A105" s="11"/>
      <c r="B105" s="11"/>
      <c r="C105" s="11"/>
      <c r="D105" s="11"/>
      <c r="E105" s="11"/>
      <c r="F105" s="11"/>
      <c r="G105" s="11"/>
      <c r="H105" s="59"/>
      <c r="I105" s="59"/>
      <c r="J105" s="11"/>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35">
      <c r="A106" s="11"/>
      <c r="B106" s="11"/>
      <c r="C106" s="11"/>
      <c r="D106" s="11"/>
      <c r="E106" s="11"/>
      <c r="F106" s="11"/>
      <c r="G106" s="11"/>
      <c r="H106" s="59"/>
      <c r="I106" s="59"/>
      <c r="J106" s="11"/>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35">
      <c r="A107" s="11"/>
      <c r="B107" s="11"/>
      <c r="C107" s="11"/>
      <c r="D107" s="11"/>
      <c r="E107" s="11"/>
      <c r="F107" s="11"/>
      <c r="G107" s="11"/>
      <c r="H107" s="59"/>
      <c r="I107" s="59"/>
      <c r="J107" s="11"/>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sheetData>
  <sheetProtection algorithmName="SHA-512" hashValue="yHud+lEYwO5r91QuJ/o0mwfATr5E8kfs2jCsyqydZqkz5RBJw0kwe3RCJn/4Qp8ha0REanvGj1hRXT0jKUOjPQ==" saltValue="falN3EHkOWf/K91Gv8gnoA==" spinCount="100000" sheet="1" scenarios="1"/>
  <mergeCells count="2">
    <mergeCell ref="AD31:AE31"/>
    <mergeCell ref="AG31:AH31"/>
  </mergeCells>
  <dataValidations disablePrompts="1" count="2">
    <dataValidation type="list" allowBlank="1" sqref="B28" xr:uid="{00000000-0002-0000-2A00-000000000000}">
      <formula1>"ACCOUNT,BUSINESSUNIT,CATEGORY,DATASRC,DEPARTMENT,INTCO,MEASURES,RPTCURRENCY,TIME"</formula1>
    </dataValidation>
    <dataValidation type="list" allowBlank="1" sqref="B29" xr:uid="{00000000-0002-0000-2A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837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58374" r:id="rId7" name="FPMExcelClientSheetOptionstb1"/>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7">
    <pageSetUpPr fitToPage="1"/>
  </sheetPr>
  <dimension ref="A1:AO6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514</v>
      </c>
      <c r="C6" s="11" t="str">
        <f>IF(_epmOfflineCondition_,"Utilities",_xll.EVDES(B6,$B$1))</f>
        <v>Utilities</v>
      </c>
      <c r="D6" s="11"/>
      <c r="E6" s="58" t="str">
        <f>IF(_epmOfflineCondition_,"D_EC",_xll.EVPRO($B$1,$B$6,$F$6))</f>
        <v>D_EC</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IF(_epmOfflineCondition_,"'EC'!$B$2:$B$10",_xll.EVRNG($B$2:$B$10))</f>
        <v>'EC'!$B$2:$B$10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IF(_epmOfflineCondition_,"'EC'!$O$16:$AN$18",_xll.EVRNG($O$16:$AN$18))</f>
        <v>'EC'!$O$16:$AN$18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IF(_epmOfflineCondition_,"'EC'!$H$34:$H$36",_xll.EVRNG(H34:H36))</f>
        <v>'EC'!$H$34:$H$36</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IF(_epmOfflineCondition_,"'EC'!$A$37:$B$58",_xll.EVRNG($A$37:$B$58))</f>
        <v>'EC'!$A$37:$B$58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IF(_epmOfflineCondition_,"Utilities Department",IF(_xll.EVDES(B6,$B$1)="#NODATA","",_xll.EVDES(B6,$B$1)&amp;" Department"))</f>
        <v>Utilities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515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548</v>
      </c>
      <c r="I33" s="59" t="str">
        <f>IF(_epmOfflineCondition_,"B1",_xll.EVPRO($B$1,$H33,"STYLE"))</f>
        <v>B1</v>
      </c>
      <c r="J33" s="59" t="str">
        <f>IF(_epmOfflineCondition_,"Y",_xll.EVPRO($B$1,$H33,"CALC"))</f>
        <v>Y</v>
      </c>
      <c r="K33" s="11"/>
      <c r="L33" s="11"/>
      <c r="M33" s="11"/>
      <c r="N33" s="105" t="str">
        <f>IF(_epmOfflineCondition_,"Utilities",IF(_xll.EVDES(H33,$B$1)="#NODATA","",_xll.EVDES(H33,$B$1)))</f>
        <v>Utilities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875</v>
      </c>
      <c r="I34" s="122" t="str">
        <f>IF(_epmOfflineCondition_,"N",_xll.EVPRO($B$1,$H34,"STYLE"))</f>
        <v>N</v>
      </c>
      <c r="J34" s="122" t="str">
        <f>IF(_epmOfflineCondition_,"N",_xll.EVPRO($B$1,$H34,"CALC"))</f>
        <v>N</v>
      </c>
      <c r="K34" s="179" t="str">
        <f>IF(AND(I34&gt;="T3"),"&gt;","")</f>
        <v/>
      </c>
      <c r="L34" s="90" t="str">
        <f>IF(_epmOfflineCondition_,"717100",_xll.EVPRO($B$1,H34,"JDEID"))</f>
        <v>717100</v>
      </c>
      <c r="M34" s="90" t="str">
        <f>IF(_epmOfflineCondition_,"690800",IF(AND(I34="N",J34="N"),_xll.EVPRO($B$1,H34,"PSFTID"),""))</f>
        <v>690800</v>
      </c>
      <c r="N34" s="90" t="str">
        <f>IF(_epmOfflineCondition_,"Electricity",IF(_xll.EVDES(H34,$B$1)="#NODATA","",_xll.EVDES(H34,$B$1)))</f>
        <v>Electricity</v>
      </c>
      <c r="O34" s="143">
        <v>9599.32</v>
      </c>
      <c r="P34" s="143">
        <v>7092.55</v>
      </c>
      <c r="Q34" s="143">
        <v>10105.98</v>
      </c>
      <c r="R34" s="143">
        <v>3349.52</v>
      </c>
      <c r="S34" s="143">
        <v>2910.23</v>
      </c>
      <c r="T34" s="143">
        <v>4188.1899999999996</v>
      </c>
      <c r="U34" s="143">
        <v>12001.15</v>
      </c>
      <c r="V34" s="143">
        <v>9071.5300000000007</v>
      </c>
      <c r="W34" s="143">
        <v>12744.03</v>
      </c>
      <c r="X34" s="143">
        <v>11789.75</v>
      </c>
      <c r="Y34" s="143">
        <v>9618.33</v>
      </c>
      <c r="Z34" s="143">
        <v>8910.1</v>
      </c>
      <c r="AA34" s="210">
        <f>IF($I34="B1","",SUM(O34:Z34))</f>
        <v>101380.68000000001</v>
      </c>
      <c r="AB34" s="144">
        <f>IF(AA34=0,"",IFERROR(AA34/AA$19,""))</f>
        <v>1.9446376723620429E-2</v>
      </c>
      <c r="AC34" s="140"/>
      <c r="AD34" s="143">
        <v>126350.20868479399</v>
      </c>
      <c r="AE34" s="144">
        <f>IF(AD34=0,"",IFERROR(AD34/AD$19,""))</f>
        <v>9.7404126797878566E-3</v>
      </c>
      <c r="AF34" s="145">
        <f>IF(AND($AA34="",AD34=""),"",$AA34-AD34)</f>
        <v>-24969.528684793986</v>
      </c>
      <c r="AG34" s="143">
        <v>120787.52</v>
      </c>
      <c r="AH34" s="144">
        <f>IF(AG34=0,"",IFERROR(AG34/AG$19,""))</f>
        <v>1.4403489956065187E-2</v>
      </c>
      <c r="AI34" s="145">
        <f>IF(AND($AA34="",AG34=""),"",$AA34-AG34)</f>
        <v>-19406.839999999997</v>
      </c>
      <c r="AJ34" s="440">
        <f>IFERROR(AA34/AA$20,0)</f>
        <v>2.0984575260804772</v>
      </c>
      <c r="AK34" s="441">
        <f>IFERROR(AD34/AD$20,0)</f>
        <v>2.6152965864545865</v>
      </c>
      <c r="AL34" s="442">
        <f>IFERROR(AG34/AG$20,0)</f>
        <v>2.507005396430054</v>
      </c>
      <c r="AM34" s="443" t="str">
        <f>+IFERROR(ROUND(($AB34-AE34)*100,2)&amp;" pts.",0)</f>
        <v>0.97 pts.</v>
      </c>
      <c r="AN34" s="444" t="str">
        <f>+IFERROR(ROUND(($AB34-AH34)*100,2)&amp;" pts.",0)</f>
        <v>0.5 pts.</v>
      </c>
      <c r="AO34" s="11"/>
    </row>
    <row r="35" spans="1:41" x14ac:dyDescent="0.35">
      <c r="A35" s="11"/>
      <c r="B35" s="11"/>
      <c r="C35" s="208"/>
      <c r="D35" s="11"/>
      <c r="E35" s="11"/>
      <c r="F35" s="11"/>
      <c r="G35" s="11"/>
      <c r="H35" s="88" t="s">
        <v>876</v>
      </c>
      <c r="I35" s="122" t="str">
        <f>IF(_epmOfflineCondition_,"N",_xll.EVPRO($B$1,$H35,"STYLE"))</f>
        <v>N</v>
      </c>
      <c r="J35" s="122" t="str">
        <f>IF(_epmOfflineCondition_,"N",_xll.EVPRO($B$1,$H35,"CALC"))</f>
        <v>N</v>
      </c>
      <c r="K35" s="179" t="str">
        <f>IF(AND(I35&gt;="T3"),"&gt;","")</f>
        <v/>
      </c>
      <c r="L35" s="90" t="str">
        <f>IF(_epmOfflineCondition_,"717200",_xll.EVPRO($B$1,H35,"JDEID"))</f>
        <v>717200</v>
      </c>
      <c r="M35" s="90" t="str">
        <f>IF(_epmOfflineCondition_,"690805",IF(AND(I35="N",J35="N"),_xll.EVPRO($B$1,H35,"PSFTID"),""))</f>
        <v>690805</v>
      </c>
      <c r="N35" s="90" t="str">
        <f>IF(_epmOfflineCondition_,"Gas",IF(_xll.EVDES(H35,$B$1)="#NODATA","",_xll.EVDES(H35,$B$1)))</f>
        <v>Gas</v>
      </c>
      <c r="O35" s="143">
        <v>3040.01</v>
      </c>
      <c r="P35" s="143">
        <v>2739.42</v>
      </c>
      <c r="Q35" s="143">
        <v>1341.27</v>
      </c>
      <c r="R35" s="143">
        <v>536.78</v>
      </c>
      <c r="S35" s="143">
        <v>386.2</v>
      </c>
      <c r="T35" s="143">
        <v>289.97000000000003</v>
      </c>
      <c r="U35" s="143">
        <v>692.19</v>
      </c>
      <c r="V35" s="143">
        <v>677.51</v>
      </c>
      <c r="W35" s="143">
        <v>696.27</v>
      </c>
      <c r="X35" s="143">
        <v>729.1</v>
      </c>
      <c r="Y35" s="143">
        <v>1310.6600000000001</v>
      </c>
      <c r="Z35" s="143">
        <v>2862.87</v>
      </c>
      <c r="AA35" s="210">
        <f>IF($I35="B1","",SUM(O35:Z35))</f>
        <v>15302.25</v>
      </c>
      <c r="AB35" s="144">
        <f>IF(AA35=0,"",IFERROR(AA35/AA$19,""))</f>
        <v>2.9352073611956511E-3</v>
      </c>
      <c r="AC35" s="140"/>
      <c r="AD35" s="143">
        <v>19820.68</v>
      </c>
      <c r="AE35" s="144">
        <f>IF(AD35=0,"",IFERROR(AD35/AD$19,""))</f>
        <v>1.5279880009984675E-3</v>
      </c>
      <c r="AF35" s="145">
        <f>IF(AND($AA35="",AD35=""),"",$AA35-AD35)</f>
        <v>-4518.43</v>
      </c>
      <c r="AG35" s="143">
        <v>15242.52</v>
      </c>
      <c r="AH35" s="144">
        <f>IF(AG35=0,"",IFERROR(AG35/AG$19,""))</f>
        <v>1.8176172813641901E-3</v>
      </c>
      <c r="AI35" s="145">
        <f>IF(AND($AA35="",AG35=""),"",$AA35-AG35)</f>
        <v>59.729999999999563</v>
      </c>
      <c r="AJ35" s="440">
        <f>IFERROR(AA35/AA$20,0)</f>
        <v>0.3167380774962742</v>
      </c>
      <c r="AK35" s="441">
        <f>IFERROR(AD35/AD$20,0)</f>
        <v>0.41026411657559197</v>
      </c>
      <c r="AL35" s="442">
        <f>IFERROR(AG35/AG$20,0)</f>
        <v>0.31636612702366129</v>
      </c>
      <c r="AM35" s="443" t="str">
        <f>+IFERROR(ROUND(($AB35-AE35)*100,2)&amp;" pts.",0)</f>
        <v>0.14 pts.</v>
      </c>
      <c r="AN35" s="444" t="str">
        <f>+IFERROR(ROUND(($AB35-AH35)*100,2)&amp;" pts.",0)</f>
        <v>0.11 pts.</v>
      </c>
      <c r="AO35" s="11"/>
    </row>
    <row r="36" spans="1:41" x14ac:dyDescent="0.35">
      <c r="A36" s="62" t="s">
        <v>23</v>
      </c>
      <c r="B36" s="63" t="s">
        <v>24</v>
      </c>
      <c r="C36" s="11"/>
      <c r="D36" s="11"/>
      <c r="E36" s="11"/>
      <c r="F36" s="11"/>
      <c r="G36" s="11"/>
      <c r="H36" s="88" t="s">
        <v>877</v>
      </c>
      <c r="I36" s="122" t="str">
        <f>IF(_epmOfflineCondition_,"T5",_xll.EVPRO($B$1,$H36,"STYLE"))</f>
        <v>T5</v>
      </c>
      <c r="J36" s="122" t="str">
        <f>IF(_epmOfflineCondition_,"Y",_xll.EVPRO($B$1,$H36,"CALC"))</f>
        <v>Y</v>
      </c>
      <c r="K36" s="179" t="str">
        <f>IF(AND(I36&gt;="T3"),"&gt;","")</f>
        <v>&gt;</v>
      </c>
      <c r="L36" s="90" t="str">
        <f>IF(_epmOfflineCondition_,"",_xll.EVPRO($B$1,H36,"JDEID"))</f>
        <v/>
      </c>
      <c r="M36" s="90" t="str">
        <f>IF(_epmOfflineCondition_,"",IF(AND(I36="N",J36="N"),_xll.EVPRO($B$1,H36,"PSFTID"),""))</f>
        <v/>
      </c>
      <c r="N36" s="90" t="str">
        <f>IF(_epmOfflineCondition_,"Water / Sewer",IF(_xll.EVDES(H36,$B$1)="#NODATA","",_xll.EVDES(H36,$B$1)))</f>
        <v>Water / Sewer</v>
      </c>
      <c r="O36" s="143">
        <v>1701.45</v>
      </c>
      <c r="P36" s="143">
        <v>2130.2800000000002</v>
      </c>
      <c r="Q36" s="143">
        <v>2692.12</v>
      </c>
      <c r="R36" s="143">
        <v>1356.89</v>
      </c>
      <c r="S36" s="143">
        <v>2315.3200000000002</v>
      </c>
      <c r="T36" s="143">
        <v>1439.86</v>
      </c>
      <c r="U36" s="143">
        <v>1316.82</v>
      </c>
      <c r="V36" s="143">
        <v>5255.49</v>
      </c>
      <c r="W36" s="143">
        <v>2493.79</v>
      </c>
      <c r="X36" s="143">
        <v>1929.17</v>
      </c>
      <c r="Y36" s="143">
        <v>1942.82</v>
      </c>
      <c r="Z36" s="143">
        <v>2274.4499999999998</v>
      </c>
      <c r="AA36" s="210">
        <f>IF($I36="B1","",SUM(O36:Z36))</f>
        <v>26848.460000000003</v>
      </c>
      <c r="AB36" s="144">
        <f>IF(AA36=0,"",IFERROR(AA36/AA$19,""))</f>
        <v>5.149948368950121E-3</v>
      </c>
      <c r="AC36" s="140"/>
      <c r="AD36" s="143">
        <v>36842.01</v>
      </c>
      <c r="AE36" s="144">
        <f>IF(AD36=0,"",IFERROR(AD36/AD$19,""))</f>
        <v>2.8401724467912075E-3</v>
      </c>
      <c r="AF36" s="145">
        <f>IF(AND($AA36="",AD36=""),"",$AA36-AD36)</f>
        <v>-9993.5499999999993</v>
      </c>
      <c r="AG36" s="143">
        <v>26500.48</v>
      </c>
      <c r="AH36" s="144">
        <f>IF(AG36=0,"",IFERROR(AG36/AG$19,""))</f>
        <v>3.1600896972709298E-3</v>
      </c>
      <c r="AI36" s="145">
        <f>IF(AND($AA36="",AG36=""),"",$AA36-AG36)</f>
        <v>347.9800000000032</v>
      </c>
      <c r="AJ36" s="440">
        <f>IFERROR(AA36/AA$20,0)</f>
        <v>0.55573066732902809</v>
      </c>
      <c r="AK36" s="441">
        <f>IFERROR(AD36/AD$20,0)</f>
        <v>0.76258507203179338</v>
      </c>
      <c r="AL36" s="442">
        <f>IFERROR(AG36/AG$20,0)</f>
        <v>0.55003071814030713</v>
      </c>
      <c r="AM36" s="443" t="str">
        <f>+IFERROR(ROUND(($AB36-AE36)*100,2)&amp;" pts.",0)</f>
        <v>0.23 pts.</v>
      </c>
      <c r="AN36" s="444" t="str">
        <f>+IFERROR(ROUND(($AB36-AH36)*100,2)&amp;" pts.",0)</f>
        <v>0.2 pts.</v>
      </c>
      <c r="AO36" s="11"/>
    </row>
    <row r="37" spans="1:41" x14ac:dyDescent="0.35">
      <c r="A37" s="65" t="s">
        <v>25</v>
      </c>
      <c r="B37" s="66"/>
      <c r="C37" s="11"/>
      <c r="D37" s="11"/>
      <c r="E37" s="11"/>
      <c r="F37" s="11"/>
      <c r="G37" s="11"/>
      <c r="H37" s="88" t="s">
        <v>79</v>
      </c>
      <c r="I37" s="136" t="str">
        <f>IF(_epmOfflineCondition_,"T3",_xll.EVPRO($B$1,$H37,"STYLE"))</f>
        <v>T3</v>
      </c>
      <c r="J37" s="136" t="str">
        <f>IF(_epmOfflineCondition_,"Y",_xll.EVPRO($B$1,$H37,"CALC"))</f>
        <v>Y</v>
      </c>
      <c r="K37" s="104"/>
      <c r="L37" s="59"/>
      <c r="M37" s="59"/>
      <c r="N37" s="106" t="str">
        <f>IF(_epmOfflineCondition_,"Total Operations Expense",IF(_xll.EVDES(H37,$B$1)="#NODATA","",_xll.EVDES(H37,$B$1)))</f>
        <v>Total Operations Expense</v>
      </c>
      <c r="O37" s="112">
        <f t="shared" ref="O37:Z37" si="0">SUM(O34:O36)</f>
        <v>14340.78</v>
      </c>
      <c r="P37" s="112">
        <f t="shared" si="0"/>
        <v>11962.250000000002</v>
      </c>
      <c r="Q37" s="112">
        <f t="shared" si="0"/>
        <v>14139.369999999999</v>
      </c>
      <c r="R37" s="112">
        <f t="shared" si="0"/>
        <v>5243.1900000000005</v>
      </c>
      <c r="S37" s="112">
        <f t="shared" si="0"/>
        <v>5611.75</v>
      </c>
      <c r="T37" s="112">
        <f t="shared" si="0"/>
        <v>5918.0199999999995</v>
      </c>
      <c r="U37" s="112">
        <f t="shared" si="0"/>
        <v>14010.16</v>
      </c>
      <c r="V37" s="112">
        <f t="shared" si="0"/>
        <v>15004.53</v>
      </c>
      <c r="W37" s="112">
        <f t="shared" si="0"/>
        <v>15934.09</v>
      </c>
      <c r="X37" s="112">
        <f t="shared" si="0"/>
        <v>14448.02</v>
      </c>
      <c r="Y37" s="112">
        <f t="shared" si="0"/>
        <v>12871.81</v>
      </c>
      <c r="Z37" s="112">
        <f t="shared" si="0"/>
        <v>14047.420000000002</v>
      </c>
      <c r="AA37" s="112">
        <f>IF($I37="B1","",SUM(O37:Z37))</f>
        <v>143531.39000000001</v>
      </c>
      <c r="AB37" s="113">
        <f>IF(AA37=0,"",IFERROR(AA37/AA$19,""))</f>
        <v>2.7531532453766203E-2</v>
      </c>
      <c r="AC37" s="11"/>
      <c r="AD37" s="112">
        <f>SUM(AD34:AD36)</f>
        <v>183012.898684794</v>
      </c>
      <c r="AE37" s="113">
        <f>IF(AD37=0,"",IFERROR(AD37/AD$19,""))</f>
        <v>1.4108573127577531E-2</v>
      </c>
      <c r="AF37" s="114">
        <f>IF(AND($AA37="",AD37=""),"",$AA37-AD37)</f>
        <v>-39481.508684793982</v>
      </c>
      <c r="AG37" s="112">
        <f>SUM(AG34:AG36)</f>
        <v>162530.52000000002</v>
      </c>
      <c r="AH37" s="113">
        <f>IF(AG37=0,"",IFERROR(AG37/AG$19,""))</f>
        <v>1.938119693470031E-2</v>
      </c>
      <c r="AI37" s="114">
        <f>IF(AND($AA37="",AG37=""),"",$AA37-AG37)</f>
        <v>-18999.130000000005</v>
      </c>
      <c r="AJ37" s="415">
        <f>IFERROR(AA37/AA$20,0)</f>
        <v>2.9709262709057795</v>
      </c>
      <c r="AK37" s="416">
        <f>IFERROR(AD37/AD$20,0)</f>
        <v>3.788145775061972</v>
      </c>
      <c r="AL37" s="417">
        <f>IFERROR(AG37/AG$20,0)</f>
        <v>3.373402241594023</v>
      </c>
      <c r="AM37" s="418" t="str">
        <f>+IFERROR(ROUND(($AB37-AE37)*100,2)&amp;" pts.",0)</f>
        <v>1.34 pts.</v>
      </c>
      <c r="AN37" s="543" t="str">
        <f>+IFERROR(ROUND(($AB37-AH37)*100,2)&amp;" pts.",0)</f>
        <v>0.82 pts.</v>
      </c>
      <c r="AO37" s="11"/>
    </row>
    <row r="38" spans="1:41" x14ac:dyDescent="0.35">
      <c r="A38" s="65" t="s">
        <v>26</v>
      </c>
      <c r="B38" s="66"/>
      <c r="C38" s="11"/>
      <c r="D38" s="11"/>
      <c r="E38" s="11"/>
      <c r="F38" s="11"/>
      <c r="G38" s="11"/>
      <c r="H38" s="11"/>
      <c r="I38" s="59"/>
      <c r="J38" s="59"/>
      <c r="K38" s="11"/>
      <c r="L38" s="59"/>
      <c r="M38" s="59"/>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row>
    <row r="39" spans="1:41" x14ac:dyDescent="0.35">
      <c r="A39" s="65" t="s">
        <v>27</v>
      </c>
      <c r="B39" s="66"/>
      <c r="C39" s="11"/>
      <c r="D39" s="11"/>
      <c r="E39" s="11"/>
      <c r="F39" s="11"/>
      <c r="G39" s="11"/>
      <c r="H39" s="88" t="s">
        <v>79</v>
      </c>
      <c r="I39" s="59"/>
      <c r="J39" s="59"/>
      <c r="K39" s="11"/>
      <c r="L39" s="59"/>
      <c r="M39" s="59"/>
      <c r="N39" s="104" t="str">
        <f>N37&amp;" - Check"</f>
        <v>Total Operations Expense - Check</v>
      </c>
      <c r="O39" s="209">
        <f>IF(_epmOfflineCondition_,0,_xll.EVGTS($B$1,1,$B$3,$B$5,$B$7,$B$9,O$16,O$17,O$18,$B$6,$H39)-O37)</f>
        <v>0</v>
      </c>
      <c r="P39" s="209">
        <f>IF(_epmOfflineCondition_,0,_xll.EVGTS($B$1,1,$B$3,$B$5,$B$7,$B$9,P$16,P$17,P$18,$B$6,$H39)-P37)</f>
        <v>0</v>
      </c>
      <c r="Q39" s="209">
        <f>IF(_epmOfflineCondition_,0,_xll.EVGTS($B$1,1,$B$3,$B$5,$B$7,$B$9,Q$16,Q$17,Q$18,$B$6,$H39)-Q37)</f>
        <v>0</v>
      </c>
      <c r="R39" s="209">
        <f>IF(_epmOfflineCondition_,0,_xll.EVGTS($B$1,1,$B$3,$B$5,$B$7,$B$9,R$16,R$17,R$18,$B$6,$H39)-R37)</f>
        <v>0</v>
      </c>
      <c r="S39" s="209">
        <f>IF(_epmOfflineCondition_,0,_xll.EVGTS($B$1,1,$B$3,$B$5,$B$7,$B$9,S$16,S$17,S$18,$B$6,$H39)-S37)</f>
        <v>0</v>
      </c>
      <c r="T39" s="209">
        <f>IF(_epmOfflineCondition_,0,_xll.EVGTS($B$1,1,$B$3,$B$5,$B$7,$B$9,T$16,T$17,T$18,$B$6,$H39)-T37)</f>
        <v>0</v>
      </c>
      <c r="U39" s="209">
        <f>IF(_epmOfflineCondition_,0,_xll.EVGTS($B$1,1,$B$3,$B$5,$B$7,$B$9,U$16,U$17,U$18,$B$6,$H39)-U37)</f>
        <v>0</v>
      </c>
      <c r="V39" s="209">
        <f>IF(_epmOfflineCondition_,0,_xll.EVGTS($B$1,1,$B$3,$B$5,$B$7,$B$9,V$16,V$17,V$18,$B$6,$H39)-V37)</f>
        <v>0</v>
      </c>
      <c r="W39" s="209">
        <f>IF(_epmOfflineCondition_,0,_xll.EVGTS($B$1,1,$B$3,$B$5,$B$7,$B$9,W$16,W$17,W$18,$B$6,$H39)-W37)</f>
        <v>0</v>
      </c>
      <c r="X39" s="209">
        <f>IF(_epmOfflineCondition_,0,_xll.EVGTS($B$1,1,$B$3,$B$5,$B$7,$B$9,X$16,X$17,X$18,$B$6,$H39)-X37)</f>
        <v>0</v>
      </c>
      <c r="Y39" s="209">
        <f>IF(_epmOfflineCondition_,0,_xll.EVGTS($B$1,1,$B$3,$B$5,$B$7,$B$9,Y$16,Y$17,Y$18,$B$6,$H39)-Y37)</f>
        <v>0</v>
      </c>
      <c r="Z39" s="209">
        <f>IF(_epmOfflineCondition_,0,_xll.EVGTS($B$1,1,$B$3,$B$5,$B$7,$B$9,Z$16,Z$17,Z$18,$B$6,$H39)-Z37)</f>
        <v>0</v>
      </c>
      <c r="AA39" s="209">
        <f>SUM(O39:Z39)</f>
        <v>0</v>
      </c>
      <c r="AB39" s="100"/>
      <c r="AC39" s="11"/>
      <c r="AD39" s="209">
        <f>IF(_epmOfflineCondition_,0,_xll.EVGTS($B$1,1,$B$3,$B$5,$B$7,$B$9,AD$16,AD$17,AD$18,$B$6,$H39)-AD37)</f>
        <v>0</v>
      </c>
      <c r="AE39" s="100"/>
      <c r="AF39" s="91"/>
      <c r="AG39" s="209">
        <f>IF(_epmOfflineCondition_,0,_xll.EVGTS($B$1,1,$B$3,$B$5,$B$7,$B$9,AG$16,AG$17,AG$18,$B$6,$H39)-AG37)</f>
        <v>0</v>
      </c>
      <c r="AH39" s="100"/>
      <c r="AI39" s="91"/>
      <c r="AJ39" s="11"/>
      <c r="AK39" s="11"/>
      <c r="AL39" s="11"/>
      <c r="AM39" s="11"/>
      <c r="AN39" s="11"/>
      <c r="AO39" s="11"/>
    </row>
    <row r="40" spans="1:41" x14ac:dyDescent="0.35">
      <c r="A40" s="65" t="s">
        <v>28</v>
      </c>
      <c r="B40" s="66"/>
      <c r="C40" s="11"/>
      <c r="D40" s="11"/>
      <c r="E40" s="11"/>
      <c r="F40" s="11"/>
      <c r="G40" s="11"/>
      <c r="H40" s="11"/>
      <c r="I40" s="59"/>
      <c r="J40" s="59"/>
      <c r="K40" s="11"/>
      <c r="L40" s="59"/>
      <c r="M40" s="59"/>
      <c r="N40" s="59"/>
      <c r="O40" s="59"/>
      <c r="P40" s="59"/>
      <c r="Q40" s="59"/>
      <c r="R40" s="59"/>
      <c r="S40" s="59"/>
      <c r="T40" s="59"/>
      <c r="U40" s="59"/>
      <c r="V40" s="59"/>
      <c r="W40" s="59"/>
      <c r="X40" s="59"/>
      <c r="Y40" s="59"/>
      <c r="Z40" s="59"/>
      <c r="AA40" s="59"/>
      <c r="AB40" s="59"/>
      <c r="AC40" s="11"/>
      <c r="AD40" s="59"/>
      <c r="AE40" s="59"/>
      <c r="AF40" s="59"/>
      <c r="AG40" s="59"/>
      <c r="AH40" s="59"/>
      <c r="AI40" s="59"/>
      <c r="AJ40" s="11"/>
      <c r="AK40" s="11"/>
      <c r="AL40" s="11"/>
      <c r="AM40" s="11"/>
      <c r="AN40" s="11"/>
      <c r="AO40" s="11"/>
    </row>
    <row r="41" spans="1:41" x14ac:dyDescent="0.35">
      <c r="A41" s="65" t="s">
        <v>29</v>
      </c>
      <c r="B41" s="66"/>
      <c r="C41" s="11"/>
      <c r="D41" s="11"/>
      <c r="E41" s="11"/>
      <c r="F41" s="11"/>
      <c r="G41" s="11"/>
      <c r="H41" s="11"/>
      <c r="I41" s="59"/>
      <c r="J41" s="59"/>
      <c r="K41" s="11"/>
      <c r="L41" s="59"/>
      <c r="M41" s="59"/>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row>
    <row r="42" spans="1:41" x14ac:dyDescent="0.35">
      <c r="A42" s="65" t="s">
        <v>30</v>
      </c>
      <c r="B42" s="66" t="s">
        <v>78</v>
      </c>
      <c r="C42" s="11"/>
      <c r="D42" s="11"/>
      <c r="E42" s="11"/>
      <c r="F42" s="11"/>
      <c r="G42" s="11"/>
      <c r="H42" s="11"/>
      <c r="I42" s="59"/>
      <c r="J42" s="59"/>
      <c r="K42" s="11"/>
      <c r="L42" s="59"/>
      <c r="M42" s="59"/>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row>
    <row r="43" spans="1:41" x14ac:dyDescent="0.35">
      <c r="A43" s="65" t="s">
        <v>31</v>
      </c>
      <c r="B43" s="66" t="s">
        <v>78</v>
      </c>
      <c r="C43" s="11"/>
      <c r="D43" s="11"/>
      <c r="E43" s="11"/>
      <c r="F43" s="11"/>
      <c r="G43" s="11"/>
      <c r="H43" s="11"/>
      <c r="I43" s="59"/>
      <c r="J43" s="59"/>
      <c r="K43" s="11"/>
      <c r="L43" s="59"/>
      <c r="M43" s="59"/>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row>
    <row r="44" spans="1:41" x14ac:dyDescent="0.35">
      <c r="A44" s="65" t="s">
        <v>32</v>
      </c>
      <c r="B44" s="66"/>
      <c r="C44" s="11"/>
      <c r="D44" s="11"/>
      <c r="E44" s="11"/>
      <c r="F44" s="11"/>
      <c r="G44" s="11"/>
      <c r="H44" s="11"/>
      <c r="I44" s="59"/>
      <c r="J44" s="59"/>
      <c r="K44" s="11"/>
      <c r="L44" s="59"/>
      <c r="M44" s="59"/>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row>
    <row r="45" spans="1:41" x14ac:dyDescent="0.35">
      <c r="A45" s="65" t="s">
        <v>33</v>
      </c>
      <c r="B45" s="66"/>
      <c r="C45" s="11"/>
      <c r="D45" s="11"/>
      <c r="E45" s="11"/>
      <c r="F45" s="11"/>
      <c r="G45" s="11"/>
      <c r="H45" s="11"/>
      <c r="I45" s="59"/>
      <c r="J45" s="59"/>
      <c r="K45" s="11"/>
      <c r="L45" s="59"/>
      <c r="M45" s="59"/>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row>
    <row r="46" spans="1:41" x14ac:dyDescent="0.35">
      <c r="A46" s="65" t="s">
        <v>34</v>
      </c>
      <c r="B46" s="66"/>
      <c r="C46" s="11"/>
      <c r="D46" s="11"/>
      <c r="E46" s="11"/>
      <c r="F46" s="11"/>
      <c r="G46" s="11"/>
      <c r="H46" s="11"/>
      <c r="I46" s="59"/>
      <c r="J46" s="59"/>
      <c r="K46" s="11"/>
      <c r="L46" s="59"/>
      <c r="M46" s="59"/>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row>
    <row r="47" spans="1:41" x14ac:dyDescent="0.35">
      <c r="A47" s="65" t="s">
        <v>35</v>
      </c>
      <c r="B47" s="66"/>
      <c r="C47" s="11"/>
      <c r="D47" s="11"/>
      <c r="E47" s="11"/>
      <c r="F47" s="11"/>
      <c r="G47" s="11"/>
      <c r="H47" s="59"/>
      <c r="I47" s="59"/>
      <c r="J47" s="11"/>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35">
      <c r="A48" s="65" t="s">
        <v>36</v>
      </c>
      <c r="B48" s="66"/>
      <c r="C48" s="11"/>
      <c r="D48" s="11"/>
      <c r="E48" s="11"/>
      <c r="F48" s="11"/>
      <c r="G48" s="11"/>
      <c r="H48" s="59"/>
      <c r="I48" s="59"/>
      <c r="J48" s="11"/>
      <c r="K48" s="11"/>
      <c r="L48" s="59"/>
      <c r="M48" s="59"/>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row>
    <row r="49" spans="1:41" x14ac:dyDescent="0.35">
      <c r="A49" s="65" t="s">
        <v>37</v>
      </c>
      <c r="B49" s="66"/>
      <c r="C49" s="11"/>
      <c r="D49" s="11"/>
      <c r="E49" s="11"/>
      <c r="F49" s="11"/>
      <c r="G49" s="11"/>
      <c r="H49" s="59"/>
      <c r="I49" s="59"/>
      <c r="J49" s="11"/>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35">
      <c r="A50" s="65" t="s">
        <v>38</v>
      </c>
      <c r="B50" s="66"/>
      <c r="C50" s="11"/>
      <c r="D50" s="11"/>
      <c r="E50" s="11"/>
      <c r="F50" s="11"/>
      <c r="G50" s="11"/>
      <c r="H50" s="59"/>
      <c r="I50" s="59"/>
      <c r="J50" s="11"/>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35">
      <c r="A51" s="65" t="s">
        <v>39</v>
      </c>
      <c r="B51" s="66"/>
      <c r="C51" s="11"/>
      <c r="D51" s="11"/>
      <c r="E51" s="11"/>
      <c r="F51" s="11"/>
      <c r="G51" s="11"/>
      <c r="H51" s="59"/>
      <c r="I51" s="59"/>
      <c r="J51" s="11"/>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35">
      <c r="A52" s="65" t="s">
        <v>40</v>
      </c>
      <c r="B52" s="66"/>
      <c r="C52" s="11"/>
      <c r="D52" s="11"/>
      <c r="E52" s="11"/>
      <c r="F52" s="11"/>
      <c r="G52" s="11"/>
      <c r="H52" s="59"/>
      <c r="I52" s="59"/>
      <c r="J52" s="11"/>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35">
      <c r="A53" s="65" t="s">
        <v>41</v>
      </c>
      <c r="B53" s="66"/>
      <c r="C53" s="11"/>
      <c r="D53" s="11"/>
      <c r="E53" s="11"/>
      <c r="F53" s="11"/>
      <c r="G53" s="11"/>
      <c r="H53" s="59"/>
      <c r="I53" s="59"/>
      <c r="J53" s="11"/>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42</v>
      </c>
      <c r="B54" s="66"/>
      <c r="C54" s="11"/>
      <c r="D54" s="11"/>
      <c r="E54" s="11"/>
      <c r="F54" s="11"/>
      <c r="G54" s="11"/>
      <c r="H54" s="59"/>
      <c r="I54" s="59"/>
      <c r="J54" s="11"/>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3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3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59"/>
      <c r="I69" s="59"/>
      <c r="J69" s="11"/>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sheetData>
  <sheetProtection algorithmName="SHA-512" hashValue="nNuW66iVDQBwmG/HugsZVV4AL8Z6oC9UCibO5HHIByKv//F8XpOl6cynGmeQ/UAW07yUr34NANyiBzzK5F5z1g==" saltValue="9AyeYYDDMQFI4fJuSXeW2Q==" spinCount="100000" sheet="1" scenarios="1"/>
  <mergeCells count="2">
    <mergeCell ref="AD31:AE31"/>
    <mergeCell ref="AG31:AH31"/>
  </mergeCells>
  <dataValidations disablePrompts="1" count="2">
    <dataValidation type="list" allowBlank="1" sqref="B28" xr:uid="{00000000-0002-0000-2B00-000000000000}">
      <formula1>"ACCOUNT,BUSINESSUNIT,CATEGORY,DATASRC,DEPARTMENT,INTCO,MEASURES,RPTCURRENCY,TIME"</formula1>
    </dataValidation>
    <dataValidation type="list" allowBlank="1" sqref="B29" xr:uid="{00000000-0002-0000-2B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0419"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0419" r:id="rId7" name="FPMExcelClientSheetOptionstb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8">
    <pageSetUpPr fitToPage="1"/>
  </sheetPr>
  <dimension ref="A1:AO6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516</v>
      </c>
      <c r="C6" s="11" t="str">
        <f>IF(_epmOfflineCondition_,"Management Fees",_xll.EVDES(B6,$B$1))</f>
        <v>Management Fees</v>
      </c>
      <c r="D6" s="11"/>
      <c r="E6" s="58" t="str">
        <f>IF(_epmOfflineCondition_,"D1179",_xll.EVPRO($B$1,$B$6,$F$6))</f>
        <v>D1179</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IF(_epmOfflineCondition_,"'Mgt_Fees'!$B$2:$B$10",_xll.EVRNG($B$2:$B$10))</f>
        <v>'Mgt_Fees'!$B$2:$B$10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IF(_epmOfflineCondition_,"'Mgt_Fees'!$O$16:$AN$18",_xll.EVRNG($O$16:$AN$18))</f>
        <v>'Mgt_Fees'!$O$16:$AN$18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IF(_epmOfflineCondition_,"'Mgt_Fees'!$H$34:$H$35",_xll.EVRNG(H34:H35))</f>
        <v>'Mgt_Fees'!$H$34:$H$35</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IF(_epmOfflineCondition_,"'Mgt_Fees'!$A$37:$B$58",_xll.EVRNG($A$37:$B$58))</f>
        <v>'Mgt_Fees'!$A$37:$B$58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IF(_epmOfflineCondition_,"Management Fees Department",IF(_xll.EVDES(B6,$B$1)="#NODATA","",_xll.EVDES(B6,$B$1)&amp;" Department"))</f>
        <v>Management Fees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517</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518</v>
      </c>
      <c r="I33" s="59" t="str">
        <f>IF(_epmOfflineCondition_,"B1",_xll.EVPRO($B$1,$H33,"STYLE"))</f>
        <v>B1</v>
      </c>
      <c r="J33" s="59" t="str">
        <f>IF(_epmOfflineCondition_,"Y",_xll.EVPRO($B$1,$H33,"CALC"))</f>
        <v>Y</v>
      </c>
      <c r="K33" s="11"/>
      <c r="L33" s="11"/>
      <c r="M33" s="11"/>
      <c r="N33" s="105" t="str">
        <f>IF(_epmOfflineCondition_,"Management Fees",IF(_xll.EVDES(H33,$B$1)="#NODATA","",_xll.EVDES(H33,$B$1)))</f>
        <v>Management Fees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892</v>
      </c>
      <c r="I34" s="122" t="str">
        <f>IF(_epmOfflineCondition_,"N",_xll.EVPRO($B$1,$H34,"STYLE"))</f>
        <v>N</v>
      </c>
      <c r="J34" s="122" t="str">
        <f>IF(_epmOfflineCondition_,"N",_xll.EVPRO($B$1,$H34,"CALC"))</f>
        <v>N</v>
      </c>
      <c r="K34" s="179" t="str">
        <f>IF(AND(I34&gt;="T3"),"&gt;","")</f>
        <v/>
      </c>
      <c r="L34" s="90" t="str">
        <f>IF(_epmOfflineCondition_,"731010",_xll.EVPRO($B$1,H34,"JDEID"))</f>
        <v>731010</v>
      </c>
      <c r="M34" s="90" t="str">
        <f>IF(_epmOfflineCondition_,"790180",IF(AND(I34="N",J34="N"),_xll.EVPRO($B$1,H34,"PSFTID"),""))</f>
        <v>790180</v>
      </c>
      <c r="N34" s="90" t="str">
        <f>IF(_epmOfflineCondition_,"Base Management Fees",IF(_xll.EVDES(H34,$B$1)="#NODATA","",_xll.EVDES(H34,$B$1)))</f>
        <v>Base Management Fees</v>
      </c>
      <c r="O34" s="143">
        <v>44718.96</v>
      </c>
      <c r="P34" s="143">
        <v>45513.32</v>
      </c>
      <c r="Q34" s="143">
        <v>16478.310000000001</v>
      </c>
      <c r="R34" s="143">
        <v>-281.18</v>
      </c>
      <c r="S34" s="143">
        <v>-750.84</v>
      </c>
      <c r="T34" s="143">
        <v>3335.78</v>
      </c>
      <c r="U34" s="143">
        <v>2814.26</v>
      </c>
      <c r="V34" s="143">
        <v>4988.68</v>
      </c>
      <c r="W34" s="143">
        <v>8638.75</v>
      </c>
      <c r="X34" s="143">
        <v>10919.12</v>
      </c>
      <c r="Y34" s="143">
        <v>10860.5</v>
      </c>
      <c r="Z34" s="143">
        <v>19031.28</v>
      </c>
      <c r="AA34" s="143">
        <f>IF($I34="B1","",SUM(O34:Z34))</f>
        <v>166266.94</v>
      </c>
      <c r="AB34" s="144">
        <f>IF(AA34=0,"",IFERROR(AA34/AA$19,""))</f>
        <v>3.1892561303826276E-2</v>
      </c>
      <c r="AC34" s="140"/>
      <c r="AD34" s="143">
        <v>405718.78286601999</v>
      </c>
      <c r="AE34" s="144">
        <f>IF(AD34=0,"",IFERROR(AD34/AD$19,""))</f>
        <v>3.1277102097353932E-2</v>
      </c>
      <c r="AF34" s="145">
        <f>IF(AND($AA34="",AD34=""),"",$AA34-AD34)</f>
        <v>-239451.84286601999</v>
      </c>
      <c r="AG34" s="143">
        <v>267746.36</v>
      </c>
      <c r="AH34" s="144">
        <f>IF(AG34=0,"",IFERROR(AG34/AG$19,""))</f>
        <v>3.1927818428865939E-2</v>
      </c>
      <c r="AI34" s="145">
        <f>IF(AND($AA34="",AG34=""),"",$AA34-AG34)</f>
        <v>-101479.41999999998</v>
      </c>
      <c r="AJ34" s="440">
        <f>IFERROR(AA34/AA$20,0)</f>
        <v>3.4415246729590994</v>
      </c>
      <c r="AK34" s="441">
        <f>IFERROR(AD34/AD$20,0)</f>
        <v>8.3978883686458854</v>
      </c>
      <c r="AL34" s="442">
        <f>IFERROR(AG34/AG$20,0)</f>
        <v>5.5572096305520962</v>
      </c>
      <c r="AM34" s="443" t="str">
        <f>+IFERROR(ROUND(($AB34-AE34)*100,2)&amp;" pts.",0)</f>
        <v>0.06 pts.</v>
      </c>
      <c r="AN34" s="444" t="str">
        <f>+IFERROR(ROUND(($AB34-AH34)*100,2)&amp;" pts.",0)</f>
        <v>0 pts.</v>
      </c>
      <c r="AO34" s="11"/>
    </row>
    <row r="35" spans="1:41" hidden="1" x14ac:dyDescent="0.35">
      <c r="A35" s="11"/>
      <c r="B35" s="11"/>
      <c r="C35" s="208"/>
      <c r="D35" s="11"/>
      <c r="E35" s="11"/>
      <c r="F35" s="11"/>
      <c r="G35" s="11"/>
      <c r="H35" s="88"/>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143"/>
      <c r="P35" s="143"/>
      <c r="Q35" s="143"/>
      <c r="R35" s="143"/>
      <c r="S35" s="143"/>
      <c r="T35" s="143"/>
      <c r="U35" s="143"/>
      <c r="V35" s="143"/>
      <c r="W35" s="143"/>
      <c r="X35" s="143"/>
      <c r="Y35" s="143"/>
      <c r="Z35" s="143"/>
      <c r="AA35" s="143">
        <f>IF($I35="B1","",SUM(O35:Z35))</f>
        <v>0</v>
      </c>
      <c r="AB35" s="144" t="str">
        <f>IF(AA35=0,"",IFERROR(AA35/AA$19,""))</f>
        <v/>
      </c>
      <c r="AC35" s="140"/>
      <c r="AD35" s="143"/>
      <c r="AE35" s="144" t="str">
        <f>IF(AD35=0,"",IFERROR(AD35/AD$19,""))</f>
        <v/>
      </c>
      <c r="AF35" s="145">
        <f>IF(AND($AA35="",AD35=""),"",$AA35-AD35)</f>
        <v>0</v>
      </c>
      <c r="AG35" s="143"/>
      <c r="AH35" s="144" t="str">
        <f>IF(AG35=0,"",IFERROR(AG35/AG$19,""))</f>
        <v/>
      </c>
      <c r="AI35" s="145">
        <f>IF(AND($AA35="",AG35=""),"",$AA35-AG35)</f>
        <v>0</v>
      </c>
      <c r="AJ35" s="440">
        <f>IFERROR(AA35/AA$20,0)</f>
        <v>0</v>
      </c>
      <c r="AK35" s="441">
        <f>IFERROR(AD35/AD$20,0)</f>
        <v>0</v>
      </c>
      <c r="AL35" s="442">
        <f>IFERROR(AG35/AG$20,0)</f>
        <v>0</v>
      </c>
      <c r="AM35" s="443">
        <f>+IFERROR(ROUND(($AB35-AE35)*100,2)&amp;" pts.",0)</f>
        <v>0</v>
      </c>
      <c r="AN35" s="444">
        <f>+IFERROR(ROUND(($AB35-AH35)*100,2)&amp;" pts.",0)</f>
        <v>0</v>
      </c>
      <c r="AO35" s="11"/>
    </row>
    <row r="36" spans="1:41" x14ac:dyDescent="0.35">
      <c r="A36" s="62" t="s">
        <v>23</v>
      </c>
      <c r="B36" s="63" t="s">
        <v>24</v>
      </c>
      <c r="C36" s="11"/>
      <c r="D36" s="11"/>
      <c r="E36" s="11"/>
      <c r="F36" s="11"/>
      <c r="G36" s="11"/>
      <c r="H36" s="88" t="s">
        <v>79</v>
      </c>
      <c r="I36" s="136" t="str">
        <f>IF(_epmOfflineCondition_,"T3",_xll.EVPRO($B$1,$H36,"STYLE"))</f>
        <v>T3</v>
      </c>
      <c r="J36" s="136" t="str">
        <f>IF(_epmOfflineCondition_,"Y",_xll.EVPRO($B$1,$H36,"CALC"))</f>
        <v>Y</v>
      </c>
      <c r="K36" s="104"/>
      <c r="L36" s="59"/>
      <c r="M36" s="59"/>
      <c r="N36" s="106" t="str">
        <f>IF(_epmOfflineCondition_,"Total Operations Expense",IF(_xll.EVDES(H36,$B$1)="#NODATA","",_xll.EVDES(H36,$B$1)))</f>
        <v>Total Operations Expense</v>
      </c>
      <c r="O36" s="112">
        <f t="shared" ref="O36:Z36" si="0">SUM(O34:O35)</f>
        <v>44718.96</v>
      </c>
      <c r="P36" s="112">
        <f t="shared" si="0"/>
        <v>45513.32</v>
      </c>
      <c r="Q36" s="112">
        <f t="shared" si="0"/>
        <v>16478.310000000001</v>
      </c>
      <c r="R36" s="112">
        <f t="shared" si="0"/>
        <v>-281.18</v>
      </c>
      <c r="S36" s="112">
        <f t="shared" si="0"/>
        <v>-750.84</v>
      </c>
      <c r="T36" s="112">
        <f t="shared" si="0"/>
        <v>3335.78</v>
      </c>
      <c r="U36" s="112">
        <f t="shared" si="0"/>
        <v>2814.26</v>
      </c>
      <c r="V36" s="112">
        <f t="shared" si="0"/>
        <v>4988.68</v>
      </c>
      <c r="W36" s="112">
        <f t="shared" si="0"/>
        <v>8638.75</v>
      </c>
      <c r="X36" s="112">
        <f t="shared" si="0"/>
        <v>10919.12</v>
      </c>
      <c r="Y36" s="112">
        <f t="shared" si="0"/>
        <v>10860.5</v>
      </c>
      <c r="Z36" s="112">
        <f t="shared" si="0"/>
        <v>19031.28</v>
      </c>
      <c r="AA36" s="112">
        <f>IF($I36="B1","",SUM(O36:Z36))</f>
        <v>166266.94</v>
      </c>
      <c r="AB36" s="113">
        <f>IF(AA36=0,"",IFERROR(AA36/AA$19,""))</f>
        <v>3.1892561303826276E-2</v>
      </c>
      <c r="AC36" s="11"/>
      <c r="AD36" s="112">
        <f>SUM(AD34:AD35)</f>
        <v>405718.78286601999</v>
      </c>
      <c r="AE36" s="113">
        <f>IF(AD36=0,"",IFERROR(AD36/AD$19,""))</f>
        <v>3.1277102097353932E-2</v>
      </c>
      <c r="AF36" s="114">
        <f>IF(AND($AA36="",AD36=""),"",$AA36-AD36)</f>
        <v>-239451.84286601999</v>
      </c>
      <c r="AG36" s="112">
        <f>SUM(AG34:AG35)</f>
        <v>267746.36</v>
      </c>
      <c r="AH36" s="113">
        <f>IF(AG36=0,"",IFERROR(AG36/AG$19,""))</f>
        <v>3.1927818428865939E-2</v>
      </c>
      <c r="AI36" s="114">
        <f>IF(AND($AA36="",AG36=""),"",$AA36-AG36)</f>
        <v>-101479.41999999998</v>
      </c>
      <c r="AJ36" s="415">
        <f>IFERROR(AA36/AA$20,0)</f>
        <v>3.4415246729590994</v>
      </c>
      <c r="AK36" s="416">
        <f>IFERROR(AD36/AD$20,0)</f>
        <v>8.3978883686458854</v>
      </c>
      <c r="AL36" s="417">
        <f>IFERROR(AG36/AG$20,0)</f>
        <v>5.5572096305520962</v>
      </c>
      <c r="AM36" s="418" t="str">
        <f>+IFERROR(ROUND(($AB36-AE36)*100,2)&amp;" pts.",0)</f>
        <v>0.06 pts.</v>
      </c>
      <c r="AN36" s="543" t="str">
        <f>+IFERROR(ROUND(($AB36-AH36)*100,2)&amp;" pts.",0)</f>
        <v>0 pts.</v>
      </c>
      <c r="AO36" s="11"/>
    </row>
    <row r="37" spans="1:41" x14ac:dyDescent="0.35">
      <c r="A37" s="65" t="s">
        <v>25</v>
      </c>
      <c r="B37" s="66"/>
      <c r="C37" s="11"/>
      <c r="D37" s="11"/>
      <c r="E37" s="11"/>
      <c r="F37" s="11"/>
      <c r="G37" s="11"/>
      <c r="H37" s="11"/>
      <c r="I37" s="59"/>
      <c r="J37" s="59"/>
      <c r="K37" s="11"/>
      <c r="L37" s="59"/>
      <c r="M37" s="59"/>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row>
    <row r="38" spans="1:41" x14ac:dyDescent="0.35">
      <c r="A38" s="65" t="s">
        <v>26</v>
      </c>
      <c r="B38" s="66"/>
      <c r="C38" s="11"/>
      <c r="D38" s="11"/>
      <c r="E38" s="11"/>
      <c r="F38" s="11"/>
      <c r="G38" s="11"/>
      <c r="H38" s="88" t="s">
        <v>79</v>
      </c>
      <c r="I38" s="59"/>
      <c r="J38" s="59"/>
      <c r="K38" s="11"/>
      <c r="L38" s="59"/>
      <c r="M38" s="59"/>
      <c r="N38" s="104" t="str">
        <f>N36&amp;" - Check"</f>
        <v>Total Operations Expense - Check</v>
      </c>
      <c r="O38" s="209">
        <f>IF(_epmOfflineCondition_,0,_xll.EVGTS($B$1,1,$B$3,$B$5,$B$7,$B$9,O$16,O$17,O$18,$B$6,$H38)-O36)</f>
        <v>0</v>
      </c>
      <c r="P38" s="209">
        <f>IF(_epmOfflineCondition_,0,_xll.EVGTS($B$1,1,$B$3,$B$5,$B$7,$B$9,P$16,P$17,P$18,$B$6,$H38)-P36)</f>
        <v>0</v>
      </c>
      <c r="Q38" s="209">
        <f>IF(_epmOfflineCondition_,0,_xll.EVGTS($B$1,1,$B$3,$B$5,$B$7,$B$9,Q$16,Q$17,Q$18,$B$6,$H38)-Q36)</f>
        <v>0</v>
      </c>
      <c r="R38" s="209">
        <f>IF(_epmOfflineCondition_,0,_xll.EVGTS($B$1,1,$B$3,$B$5,$B$7,$B$9,R$16,R$17,R$18,$B$6,$H38)-R36)</f>
        <v>0</v>
      </c>
      <c r="S38" s="209">
        <f>IF(_epmOfflineCondition_,0,_xll.EVGTS($B$1,1,$B$3,$B$5,$B$7,$B$9,S$16,S$17,S$18,$B$6,$H38)-S36)</f>
        <v>0</v>
      </c>
      <c r="T38" s="209">
        <f>IF(_epmOfflineCondition_,0,_xll.EVGTS($B$1,1,$B$3,$B$5,$B$7,$B$9,T$16,T$17,T$18,$B$6,$H38)-T36)</f>
        <v>0</v>
      </c>
      <c r="U38" s="209">
        <f>IF(_epmOfflineCondition_,0,_xll.EVGTS($B$1,1,$B$3,$B$5,$B$7,$B$9,U$16,U$17,U$18,$B$6,$H38)-U36)</f>
        <v>0</v>
      </c>
      <c r="V38" s="209">
        <f>IF(_epmOfflineCondition_,0,_xll.EVGTS($B$1,1,$B$3,$B$5,$B$7,$B$9,V$16,V$17,V$18,$B$6,$H38)-V36)</f>
        <v>0</v>
      </c>
      <c r="W38" s="209">
        <f>IF(_epmOfflineCondition_,0,_xll.EVGTS($B$1,1,$B$3,$B$5,$B$7,$B$9,W$16,W$17,W$18,$B$6,$H38)-W36)</f>
        <v>0</v>
      </c>
      <c r="X38" s="209">
        <f>IF(_epmOfflineCondition_,0,_xll.EVGTS($B$1,1,$B$3,$B$5,$B$7,$B$9,X$16,X$17,X$18,$B$6,$H38)-X36)</f>
        <v>0</v>
      </c>
      <c r="Y38" s="209">
        <f>IF(_epmOfflineCondition_,0,_xll.EVGTS($B$1,1,$B$3,$B$5,$B$7,$B$9,Y$16,Y$17,Y$18,$B$6,$H38)-Y36)</f>
        <v>0</v>
      </c>
      <c r="Z38" s="209">
        <f>IF(_epmOfflineCondition_,0,_xll.EVGTS($B$1,1,$B$3,$B$5,$B$7,$B$9,Z$16,Z$17,Z$18,$B$6,$H38)-Z36)</f>
        <v>0</v>
      </c>
      <c r="AA38" s="209">
        <f>IF($I38="B1","",SUM(O38:Z38))</f>
        <v>0</v>
      </c>
      <c r="AB38" s="100"/>
      <c r="AC38" s="11"/>
      <c r="AD38" s="209">
        <f>IF(_epmOfflineCondition_,0,_xll.EVGTS($B$1,1,$B$3,$B$5,$B$7,$B$9,AD$16,AD$17,AD$18,$B$6,$H38)-AD36)</f>
        <v>0</v>
      </c>
      <c r="AE38" s="100"/>
      <c r="AF38" s="91"/>
      <c r="AG38" s="209">
        <f>IF(_epmOfflineCondition_,0,_xll.EVGTS($B$1,1,$B$3,$B$5,$B$7,$B$9,AG$16,AG$17,AG$18,$B$6,$H38)-AG36)</f>
        <v>0</v>
      </c>
      <c r="AH38" s="100"/>
      <c r="AI38" s="91"/>
      <c r="AJ38" s="11"/>
      <c r="AK38" s="11"/>
      <c r="AL38" s="11"/>
      <c r="AM38" s="11"/>
      <c r="AN38" s="11"/>
      <c r="AO38" s="11"/>
    </row>
    <row r="39" spans="1:41" x14ac:dyDescent="0.35">
      <c r="A39" s="65" t="s">
        <v>27</v>
      </c>
      <c r="B39" s="66"/>
      <c r="C39" s="11"/>
      <c r="D39" s="11"/>
      <c r="E39" s="11"/>
      <c r="F39" s="11"/>
      <c r="G39" s="11"/>
      <c r="H39" s="11"/>
      <c r="I39" s="59"/>
      <c r="J39" s="59"/>
      <c r="K39" s="11"/>
      <c r="L39" s="59"/>
      <c r="M39" s="59"/>
      <c r="N39" s="59"/>
      <c r="O39" s="59"/>
      <c r="P39" s="59"/>
      <c r="Q39" s="59"/>
      <c r="R39" s="59"/>
      <c r="S39" s="59"/>
      <c r="T39" s="59"/>
      <c r="U39" s="59"/>
      <c r="V39" s="59"/>
      <c r="W39" s="59"/>
      <c r="X39" s="59"/>
      <c r="Y39" s="59"/>
      <c r="Z39" s="59"/>
      <c r="AA39" s="59"/>
      <c r="AB39" s="59"/>
      <c r="AC39" s="11"/>
      <c r="AD39" s="59"/>
      <c r="AE39" s="59"/>
      <c r="AF39" s="59"/>
      <c r="AG39" s="59"/>
      <c r="AH39" s="59"/>
      <c r="AI39" s="59"/>
      <c r="AJ39" s="11"/>
      <c r="AK39" s="11"/>
      <c r="AL39" s="11"/>
      <c r="AM39" s="11"/>
      <c r="AN39" s="11"/>
      <c r="AO39" s="11"/>
    </row>
    <row r="40" spans="1:41" x14ac:dyDescent="0.35">
      <c r="A40" s="65" t="s">
        <v>28</v>
      </c>
      <c r="B40" s="66"/>
      <c r="C40" s="11"/>
      <c r="D40" s="11"/>
      <c r="E40" s="11"/>
      <c r="F40" s="11"/>
      <c r="G40" s="11"/>
      <c r="H40" s="11"/>
      <c r="I40" s="59"/>
      <c r="J40" s="59"/>
      <c r="K40" s="11"/>
      <c r="L40" s="59"/>
      <c r="M40" s="59"/>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row>
    <row r="41" spans="1:41" x14ac:dyDescent="0.35">
      <c r="A41" s="65" t="s">
        <v>29</v>
      </c>
      <c r="B41" s="66"/>
      <c r="C41" s="11"/>
      <c r="D41" s="11"/>
      <c r="E41" s="11"/>
      <c r="F41" s="11"/>
      <c r="G41" s="11"/>
      <c r="H41" s="11"/>
      <c r="I41" s="59"/>
      <c r="J41" s="59"/>
      <c r="K41" s="11"/>
      <c r="L41" s="59"/>
      <c r="M41" s="59"/>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row>
    <row r="42" spans="1:41" x14ac:dyDescent="0.35">
      <c r="A42" s="65" t="s">
        <v>30</v>
      </c>
      <c r="B42" s="66" t="s">
        <v>78</v>
      </c>
      <c r="C42" s="11"/>
      <c r="D42" s="11"/>
      <c r="E42" s="11"/>
      <c r="F42" s="11"/>
      <c r="G42" s="11"/>
      <c r="H42" s="11"/>
      <c r="I42" s="59"/>
      <c r="J42" s="59"/>
      <c r="K42" s="11"/>
      <c r="L42" s="59"/>
      <c r="M42" s="59"/>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row>
    <row r="43" spans="1:41" x14ac:dyDescent="0.35">
      <c r="A43" s="65" t="s">
        <v>31</v>
      </c>
      <c r="B43" s="66" t="s">
        <v>78</v>
      </c>
      <c r="C43" s="11"/>
      <c r="D43" s="11"/>
      <c r="E43" s="11"/>
      <c r="F43" s="11"/>
      <c r="G43" s="11"/>
      <c r="H43" s="11"/>
      <c r="I43" s="59"/>
      <c r="J43" s="59"/>
      <c r="K43" s="11"/>
      <c r="L43" s="59"/>
      <c r="M43" s="59"/>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row>
    <row r="44" spans="1:41" x14ac:dyDescent="0.35">
      <c r="A44" s="65" t="s">
        <v>32</v>
      </c>
      <c r="B44" s="66"/>
      <c r="C44" s="11"/>
      <c r="D44" s="11"/>
      <c r="E44" s="11"/>
      <c r="F44" s="11"/>
      <c r="G44" s="11"/>
      <c r="H44" s="11"/>
      <c r="I44" s="59"/>
      <c r="J44" s="59"/>
      <c r="K44" s="11"/>
      <c r="L44" s="59"/>
      <c r="M44" s="59"/>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row>
    <row r="45" spans="1:41" x14ac:dyDescent="0.35">
      <c r="A45" s="65" t="s">
        <v>33</v>
      </c>
      <c r="B45" s="66"/>
      <c r="C45" s="11"/>
      <c r="D45" s="11"/>
      <c r="E45" s="11"/>
      <c r="F45" s="11"/>
      <c r="G45" s="11"/>
      <c r="H45" s="11"/>
      <c r="I45" s="59"/>
      <c r="J45" s="59"/>
      <c r="K45" s="11"/>
      <c r="L45" s="59"/>
      <c r="M45" s="59"/>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row>
    <row r="46" spans="1:41" x14ac:dyDescent="0.35">
      <c r="A46" s="65" t="s">
        <v>34</v>
      </c>
      <c r="B46" s="66"/>
      <c r="C46" s="11"/>
      <c r="D46" s="11"/>
      <c r="E46" s="11"/>
      <c r="F46" s="11"/>
      <c r="G46" s="11"/>
      <c r="H46" s="59"/>
      <c r="I46" s="59"/>
      <c r="J46" s="11"/>
      <c r="K46" s="11"/>
      <c r="L46" s="59"/>
      <c r="M46" s="59"/>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row>
    <row r="47" spans="1:41" x14ac:dyDescent="0.35">
      <c r="A47" s="65" t="s">
        <v>35</v>
      </c>
      <c r="B47" s="66"/>
      <c r="C47" s="11"/>
      <c r="D47" s="11"/>
      <c r="E47" s="11"/>
      <c r="F47" s="11"/>
      <c r="G47" s="11"/>
      <c r="H47" s="59"/>
      <c r="I47" s="59"/>
      <c r="J47" s="11"/>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35">
      <c r="A48" s="65" t="s">
        <v>36</v>
      </c>
      <c r="B48" s="66"/>
      <c r="C48" s="11"/>
      <c r="D48" s="11"/>
      <c r="E48" s="11"/>
      <c r="F48" s="11"/>
      <c r="G48" s="11"/>
      <c r="H48" s="59"/>
      <c r="I48" s="59"/>
      <c r="J48" s="11"/>
      <c r="K48" s="11"/>
      <c r="L48" s="59"/>
      <c r="M48" s="59"/>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row>
    <row r="49" spans="1:41" x14ac:dyDescent="0.35">
      <c r="A49" s="65" t="s">
        <v>37</v>
      </c>
      <c r="B49" s="66"/>
      <c r="C49" s="11"/>
      <c r="D49" s="11"/>
      <c r="E49" s="11"/>
      <c r="F49" s="11"/>
      <c r="G49" s="11"/>
      <c r="H49" s="59"/>
      <c r="I49" s="59"/>
      <c r="J49" s="11"/>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35">
      <c r="A50" s="65" t="s">
        <v>38</v>
      </c>
      <c r="B50" s="66"/>
      <c r="C50" s="11"/>
      <c r="D50" s="11"/>
      <c r="E50" s="11"/>
      <c r="F50" s="11"/>
      <c r="G50" s="11"/>
      <c r="H50" s="59"/>
      <c r="I50" s="59"/>
      <c r="J50" s="11"/>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35">
      <c r="A51" s="65" t="s">
        <v>39</v>
      </c>
      <c r="B51" s="66"/>
      <c r="C51" s="11"/>
      <c r="D51" s="11"/>
      <c r="E51" s="11"/>
      <c r="F51" s="11"/>
      <c r="G51" s="11"/>
      <c r="H51" s="59"/>
      <c r="I51" s="59"/>
      <c r="J51" s="11"/>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35">
      <c r="A52" s="65" t="s">
        <v>40</v>
      </c>
      <c r="B52" s="66"/>
      <c r="C52" s="11"/>
      <c r="D52" s="11"/>
      <c r="E52" s="11"/>
      <c r="F52" s="11"/>
      <c r="G52" s="11"/>
      <c r="H52" s="59"/>
      <c r="I52" s="59"/>
      <c r="J52" s="11"/>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35">
      <c r="A53" s="65" t="s">
        <v>41</v>
      </c>
      <c r="B53" s="66"/>
      <c r="C53" s="11"/>
      <c r="D53" s="11"/>
      <c r="E53" s="11"/>
      <c r="F53" s="11"/>
      <c r="G53" s="11"/>
      <c r="H53" s="59"/>
      <c r="I53" s="59"/>
      <c r="J53" s="11"/>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42</v>
      </c>
      <c r="B54" s="66"/>
      <c r="C54" s="11"/>
      <c r="D54" s="11"/>
      <c r="E54" s="11"/>
      <c r="F54" s="11"/>
      <c r="G54" s="11"/>
      <c r="H54" s="59"/>
      <c r="I54" s="59"/>
      <c r="J54" s="11"/>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3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3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3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3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3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3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sheetData>
  <sheetProtection algorithmName="SHA-512" hashValue="s9HxcB/g8viu32Iow/ByP8OfSHNsUe3EZi6T3gD1A3iHqEt/wY8EqN7EqtJaUwCpeJpRwr5x9oRBoJfWvDgbtg==" saltValue="yvsyc968OJtQQZuLy9PgJg==" spinCount="100000" sheet="1" scenarios="1"/>
  <mergeCells count="2">
    <mergeCell ref="AD31:AE31"/>
    <mergeCell ref="AG31:AH31"/>
  </mergeCells>
  <dataValidations disablePrompts="1" count="2">
    <dataValidation type="list" allowBlank="1" sqref="B29" xr:uid="{00000000-0002-0000-2C00-000000000000}">
      <formula1>"SELF,ALL,BAS,DEP,BASMEMBERS,MEMBERS,NOEXPAND,GDEP"</formula1>
    </dataValidation>
    <dataValidation type="list" allowBlank="1" sqref="B28" xr:uid="{00000000-0002-0000-2C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1443"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1443" r:id="rId7" name="FPMExcelClientSheetOptionstb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9">
    <pageSetUpPr fitToPage="1"/>
  </sheetPr>
  <dimension ref="A1:AO9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40.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519</v>
      </c>
      <c r="C6" s="11" t="str">
        <f>IF(_epmOfflineCondition_,"Non-Operating Income &amp; Expenses",_xll.EVDES(B6,$B$1))</f>
        <v>Non-Operating Income &amp; Expenses</v>
      </c>
      <c r="D6" s="11"/>
      <c r="E6" s="58" t="str">
        <f>IF(_epmOfflineCondition_,"",_xll.EVPRO($B$1,$B$6,$F$6))</f>
        <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IF(_epmOfflineCondition_,"'Non_Op'!$B$2:$B$10",_xll.EVRNG($B$2:$B$10))</f>
        <v>'Non_Op'!$B$2:$B$10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IF(_epmOfflineCondition_,"'Non_Op'!$O$16:$AN$18",_xll.EVRNG($O$16:$AN$18))</f>
        <v>'Non_Op'!$O$16:$AN$18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IF(_epmOfflineCondition_,"'Non_Op'!$H$34:$H$63",_xll.EVRNG(H34:H63))</f>
        <v>'Non_Op'!$H$34:$H$63</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583</v>
      </c>
      <c r="H20" s="67" t="s">
        <v>584</v>
      </c>
      <c r="I20" s="68" t="str">
        <f>IF(_epmOfflineCondition_,"T1",_xll.EVPRO($B$1,$H20,"STYLE"))</f>
        <v>T1</v>
      </c>
      <c r="J20" s="68" t="str">
        <f>IF(_epmOfflineCondition_,"Y",_xll.EVPRO($B$1,$H20,"CALC"))</f>
        <v>Y</v>
      </c>
      <c r="K20" s="67"/>
      <c r="L20" s="68"/>
      <c r="M20" s="68"/>
      <c r="N20" s="67" t="str">
        <f>IF(_epmOfflineCondition_,"Net Income-Development &amp; Renovation Projects",IF(_xll.EVDES(H20,$B$1)="#NODATA","",_xll.EVDES(H20,$B$1))&amp;"-"&amp;_xll.EVDES(G20))</f>
        <v>Net Income-Development &amp; Renovation Projects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35">
      <c r="A21" s="65" t="s">
        <v>6</v>
      </c>
      <c r="B21" s="66"/>
      <c r="C21" s="11"/>
      <c r="D21" s="11"/>
      <c r="E21" s="11"/>
      <c r="F21" s="11"/>
      <c r="G21" s="67" t="s">
        <v>749</v>
      </c>
      <c r="H21" s="67">
        <v>904100</v>
      </c>
      <c r="I21" s="68"/>
      <c r="J21" s="68"/>
      <c r="K21" s="67"/>
      <c r="L21" s="68"/>
      <c r="M21" s="68"/>
      <c r="N21" s="67" t="str">
        <f>IF(_epmOfflineCondition_,"Available rooms",_xll.EVDES(H21))</f>
        <v>Available rooms</v>
      </c>
      <c r="O21" s="69">
        <f>IF(_epmOfflineCondition_,4092,_xll.EVGTS($B$1,1,$B$3,$B$5,$B$7,$B$9,O$16,O$17,O$18,$G$21,$H$21))</f>
        <v>4092</v>
      </c>
      <c r="P21" s="69">
        <f>IF(_epmOfflineCondition_,3828,_xll.EVGTS($B$1,1,$B$3,$B$5,$B$7,$B$9,P$16,P$17,P$18,$G$21,$H$21))</f>
        <v>3828</v>
      </c>
      <c r="Q21" s="69">
        <f>IF(_epmOfflineCondition_,4092,_xll.EVGTS($B$1,1,$B$3,$B$5,$B$7,$B$9,Q$16,Q$17,Q$18,$G$21,$H$21))</f>
        <v>4092</v>
      </c>
      <c r="R21" s="69">
        <f>IF(_epmOfflineCondition_,3960,_xll.EVGTS($B$1,1,$B$3,$B$5,$B$7,$B$9,R$16,R$17,R$18,$G$21,$H$21))</f>
        <v>3960</v>
      </c>
      <c r="S21" s="69">
        <f>IF(_epmOfflineCondition_,4092,_xll.EVGTS($B$1,1,$B$3,$B$5,$B$7,$B$9,S$16,S$17,S$18,$G$21,$H$21))</f>
        <v>4092</v>
      </c>
      <c r="T21" s="69">
        <f>IF(_epmOfflineCondition_,3960,_xll.EVGTS($B$1,1,$B$3,$B$5,$B$7,$B$9,T$16,T$17,T$18,$G$21,$H$21))</f>
        <v>3960</v>
      </c>
      <c r="U21" s="69">
        <f>IF(_epmOfflineCondition_,4092,_xll.EVGTS($B$1,1,$B$3,$B$5,$B$7,$B$9,U$16,U$17,U$18,$G$21,$H$21))</f>
        <v>4092</v>
      </c>
      <c r="V21" s="69">
        <f>IF(_epmOfflineCondition_,4092,_xll.EVGTS($B$1,1,$B$3,$B$5,$B$7,$B$9,V$16,V$17,V$18,$G$21,$H$21))</f>
        <v>4092</v>
      </c>
      <c r="W21" s="69">
        <f>IF(_epmOfflineCondition_,3960,_xll.EVGTS($B$1,1,$B$3,$B$5,$B$7,$B$9,W$16,W$17,W$18,$G$21,$H$21))</f>
        <v>3960</v>
      </c>
      <c r="X21" s="69">
        <f>IF(_epmOfflineCondition_,4092,_xll.EVGTS($B$1,1,$B$3,$B$5,$B$7,$B$9,X$16,X$17,X$18,$G$21,$H$21))</f>
        <v>4092</v>
      </c>
      <c r="Y21" s="69">
        <f>IF(_epmOfflineCondition_,3960,_xll.EVGTS($B$1,1,$B$3,$B$5,$B$7,$B$9,Y$16,Y$17,Y$18,$G$21,$H$21))</f>
        <v>3960</v>
      </c>
      <c r="Z21" s="69">
        <f>IF(_epmOfflineCondition_,4092,_xll.EVGTS($B$1,1,$B$3,$B$5,$B$7,$B$9,Z$16,Z$17,Z$18,$G$21,$H$21))</f>
        <v>4092</v>
      </c>
      <c r="AA21" s="69">
        <f>SUM(O21:Z21)</f>
        <v>48312</v>
      </c>
      <c r="AB21" s="67"/>
      <c r="AC21" s="67"/>
      <c r="AD21" s="69">
        <f>IF(_epmOfflineCondition_,48312,_xll.EVGTS($B$1,1,$B$3,$B$5,$B$7,$B$9,AD$16,AD$17,AD$18,$G$21,$H$21))</f>
        <v>48312</v>
      </c>
      <c r="AE21" s="67"/>
      <c r="AF21" s="67"/>
      <c r="AG21" s="69">
        <f>IF(_epmOfflineCondition_,48180,_xll.EVGTS($B$1,1,$B$3,$B$5,$B$7,$B$9,AG$16,AG$17,AG$18,$G$21,$H$21))</f>
        <v>48180</v>
      </c>
      <c r="AH21" s="67"/>
      <c r="AI21" s="67"/>
      <c r="AJ21" s="11"/>
      <c r="AK21" s="11"/>
      <c r="AL21" s="11"/>
      <c r="AM21" s="11"/>
      <c r="AN21" s="11"/>
      <c r="AO21" s="11"/>
    </row>
    <row r="22" spans="1:41" hidden="1" outlineLevel="1" x14ac:dyDescent="0.35">
      <c r="A22" s="65" t="s">
        <v>7</v>
      </c>
      <c r="B22" s="66" t="str">
        <f>IF(_epmOfflineCondition_,"'Non_Op'!$A$36:$F$41",_xll.EVRNG(A36:F41))</f>
        <v>'Non_Op'!$A$36:$F$41</v>
      </c>
      <c r="C22" s="11"/>
      <c r="D22" s="11"/>
      <c r="E22" s="11"/>
      <c r="F22" s="11"/>
      <c r="G22" s="53" t="s">
        <v>589</v>
      </c>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IF(_epmOfflineCondition_,"'Non_Op'!$A$45:$B$66",_xll.EVRNG($A$45:$B$66))</f>
        <v>'Non_Op'!$A$45:$B$66</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IF(_epmOfflineCondition_,"Non-Operating Income &amp; Expenses Department",IF(_xll.EVDES(B6,$B$1)="#NODATA","",_xll.EVDES(B6,$B$1)&amp;" Department"))</f>
        <v>Non-Operating Income &amp; Expenses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549</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08"/>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544</v>
      </c>
      <c r="I33" s="59" t="str">
        <f>IF(_epmOfflineCondition_,"B1",_xll.EVPRO($B$1,$H33,"STYLE"))</f>
        <v>B1</v>
      </c>
      <c r="J33" s="59" t="str">
        <f>IF(_epmOfflineCondition_,"Y",_xll.EVPRO($B$1,$H33,"CALC"))</f>
        <v>Y</v>
      </c>
      <c r="K33" s="11"/>
      <c r="L33" s="11"/>
      <c r="M33" s="11"/>
      <c r="N33" s="105" t="str">
        <f>IF(_epmOfflineCondition_,"Income",IF(_xll.EVDES(H33,$B$1)="#NODATA","",_xll.EVDES(H33,$B$1)))</f>
        <v>Income</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35">
      <c r="A34" s="11"/>
      <c r="B34" s="11"/>
      <c r="C34" s="11"/>
      <c r="D34" s="11"/>
      <c r="E34" s="11"/>
      <c r="F34" s="11"/>
      <c r="G34" s="11"/>
      <c r="H34" s="88" t="s">
        <v>522</v>
      </c>
      <c r="I34" s="122" t="str">
        <f>IF(_epmOfflineCondition_,"N",_xll.EVPRO($B$1,$H34,"STYLE"))</f>
        <v>N</v>
      </c>
      <c r="J34" s="122" t="str">
        <f>IF(_epmOfflineCondition_,"N",_xll.EVPRO($B$1,$H34,"CALC"))</f>
        <v>N</v>
      </c>
      <c r="K34" s="179" t="str">
        <f t="shared" ref="K34:K63" si="0">IF(AND(I34&gt;="T4"),"&gt;","")</f>
        <v/>
      </c>
      <c r="L34" s="90" t="str">
        <f>IF(_epmOfflineCondition_,"804100",_xll.EVPRO($B$1,H34,"JDEID"))</f>
        <v>804100</v>
      </c>
      <c r="M34" s="90" t="str">
        <f>IF(_epmOfflineCondition_,"790300",IF(AND(I34="N",J34="N"),_xll.EVPRO($B$1,H34,"PSFTID"),""))</f>
        <v>790300</v>
      </c>
      <c r="N34" s="90" t="str">
        <f>IF(_epmOfflineCondition_,"Cost Recovery Income (CAM)",IF(_xll.EVDES(H34,$B$1)="#NODATA","",_xll.EVDES(H34,$B$1)))</f>
        <v>Cost Recovery Income (CAM)</v>
      </c>
      <c r="O34" s="143"/>
      <c r="P34" s="143"/>
      <c r="Q34" s="143"/>
      <c r="R34" s="143"/>
      <c r="S34" s="143"/>
      <c r="T34" s="143"/>
      <c r="U34" s="143"/>
      <c r="V34" s="143"/>
      <c r="W34" s="143"/>
      <c r="X34" s="143"/>
      <c r="Y34" s="143"/>
      <c r="Z34" s="143"/>
      <c r="AA34" s="143">
        <f t="shared" ref="AA34:AA66" si="1">IF($I34="B1","",SUM(O34:Z34))</f>
        <v>0</v>
      </c>
      <c r="AB34" s="144" t="str">
        <f t="shared" ref="AB34:AB66" si="2">IF(AA34=0,"",IFERROR(AA34/AA$19,""))</f>
        <v/>
      </c>
      <c r="AC34" s="140"/>
      <c r="AD34" s="143"/>
      <c r="AE34" s="144" t="str">
        <f t="shared" ref="AE34:AE66" si="3">IF(AD34=0,"",IFERROR(AD34/AD$19,""))</f>
        <v/>
      </c>
      <c r="AF34" s="145">
        <f t="shared" ref="AF34:AF66" si="4">IF(AND($AA34="",AD34=""),"",$AA34-AD34)</f>
        <v>0</v>
      </c>
      <c r="AG34" s="143"/>
      <c r="AH34" s="144" t="str">
        <f t="shared" ref="AH34:AH66" si="5">IF(AG34=0,"",IFERROR(AG34/AG$19,""))</f>
        <v/>
      </c>
      <c r="AI34" s="145">
        <f t="shared" ref="AI34:AI66" si="6">IF(AND($AA34="",AG34=""),"",$AA34-AG34)</f>
        <v>0</v>
      </c>
      <c r="AJ34" s="440">
        <f t="shared" ref="AJ34:AJ66" si="7">IFERROR(AA34/AA$21,0)</f>
        <v>0</v>
      </c>
      <c r="AK34" s="441">
        <f t="shared" ref="AK34:AK66" si="8">IFERROR(AD34/AD$21,0)</f>
        <v>0</v>
      </c>
      <c r="AL34" s="442">
        <f t="shared" ref="AL34:AL66" si="9">IFERROR(AG34/AG$21,0)</f>
        <v>0</v>
      </c>
      <c r="AM34" s="443">
        <f t="shared" ref="AM34:AM66" si="10">+IFERROR(ROUND(($AB34-AE34)*100,2)&amp;" pts.",0)</f>
        <v>0</v>
      </c>
      <c r="AN34" s="444">
        <f t="shared" ref="AN34:AN66" si="11">+IFERROR(ROUND(($AB34-AH34)*100,2)&amp;" pts.",0)</f>
        <v>0</v>
      </c>
      <c r="AO34" s="11"/>
    </row>
    <row r="35" spans="1:41" x14ac:dyDescent="0.35">
      <c r="A35" s="97" t="s">
        <v>92</v>
      </c>
      <c r="B35" s="98" t="s">
        <v>93</v>
      </c>
      <c r="C35" s="98" t="s">
        <v>94</v>
      </c>
      <c r="D35" s="98" t="s">
        <v>95</v>
      </c>
      <c r="E35" s="98" t="s">
        <v>96</v>
      </c>
      <c r="F35" s="99" t="s">
        <v>97</v>
      </c>
      <c r="G35" s="11"/>
      <c r="H35" s="88" t="s">
        <v>523</v>
      </c>
      <c r="I35" s="122" t="str">
        <f>IF(_epmOfflineCondition_,"N",_xll.EVPRO($B$1,$H35,"STYLE"))</f>
        <v>N</v>
      </c>
      <c r="J35" s="122" t="str">
        <f>IF(_epmOfflineCondition_,"N",_xll.EVPRO($B$1,$H35,"CALC"))</f>
        <v>N</v>
      </c>
      <c r="K35" s="179" t="str">
        <f t="shared" si="0"/>
        <v/>
      </c>
      <c r="L35" s="90" t="str">
        <f>IF(_epmOfflineCondition_,"804110",_xll.EVPRO($B$1,H35,"JDEID"))</f>
        <v>804110</v>
      </c>
      <c r="M35" s="90" t="str">
        <f>IF(_epmOfflineCondition_,"890040",IF(AND(I35="N",J35="N"),_xll.EVPRO($B$1,H35,"PSFTID"),""))</f>
        <v>890040</v>
      </c>
      <c r="N35" s="90" t="str">
        <f>IF(_epmOfflineCondition_,"Interest Income (Restricted &amp; FF&amp;E Accts)",IF(_xll.EVDES(H35,$B$1)="#NODATA","",_xll.EVDES(H35,$B$1)))</f>
        <v>Interest Income (Restricted &amp; FF&amp;E Accts)</v>
      </c>
      <c r="O35" s="143"/>
      <c r="P35" s="143"/>
      <c r="Q35" s="143"/>
      <c r="R35" s="143"/>
      <c r="S35" s="143"/>
      <c r="T35" s="143"/>
      <c r="U35" s="143"/>
      <c r="V35" s="143"/>
      <c r="W35" s="143"/>
      <c r="X35" s="143"/>
      <c r="Y35" s="143"/>
      <c r="Z35" s="143"/>
      <c r="AA35" s="143">
        <f t="shared" si="1"/>
        <v>0</v>
      </c>
      <c r="AB35" s="144" t="str">
        <f t="shared" si="2"/>
        <v/>
      </c>
      <c r="AC35" s="140"/>
      <c r="AD35" s="143"/>
      <c r="AE35" s="144" t="str">
        <f t="shared" si="3"/>
        <v/>
      </c>
      <c r="AF35" s="145">
        <f t="shared" si="4"/>
        <v>0</v>
      </c>
      <c r="AG35" s="143"/>
      <c r="AH35" s="144" t="str">
        <f t="shared" si="5"/>
        <v/>
      </c>
      <c r="AI35" s="145">
        <f t="shared" si="6"/>
        <v>0</v>
      </c>
      <c r="AJ35" s="440">
        <f t="shared" si="7"/>
        <v>0</v>
      </c>
      <c r="AK35" s="441">
        <f t="shared" si="8"/>
        <v>0</v>
      </c>
      <c r="AL35" s="442">
        <f t="shared" si="9"/>
        <v>0</v>
      </c>
      <c r="AM35" s="443">
        <f t="shared" si="10"/>
        <v>0</v>
      </c>
      <c r="AN35" s="444">
        <f t="shared" si="11"/>
        <v>0</v>
      </c>
      <c r="AO35" s="11"/>
    </row>
    <row r="36" spans="1:41" x14ac:dyDescent="0.35">
      <c r="A36" s="11"/>
      <c r="B36" s="11"/>
      <c r="C36" s="11"/>
      <c r="D36" s="11"/>
      <c r="E36" s="11"/>
      <c r="F36" s="11"/>
      <c r="G36" s="11"/>
      <c r="H36" s="88" t="s">
        <v>524</v>
      </c>
      <c r="I36" s="122" t="str">
        <f>IF(_epmOfflineCondition_,"N",_xll.EVPRO($B$1,$H36,"STYLE"))</f>
        <v>N</v>
      </c>
      <c r="J36" s="122" t="str">
        <f>IF(_epmOfflineCondition_,"N",_xll.EVPRO($B$1,$H36,"CALC"))</f>
        <v>N</v>
      </c>
      <c r="K36" s="179" t="str">
        <f t="shared" si="0"/>
        <v/>
      </c>
      <c r="L36" s="90" t="str">
        <f>IF(_epmOfflineCondition_,"804120",_xll.EVPRO($B$1,H36,"JDEID"))</f>
        <v>804120</v>
      </c>
      <c r="M36" s="90" t="str">
        <f>IF(_epmOfflineCondition_,"890309",IF(AND(I36="N",J36="N"),_xll.EVPRO($B$1,H36,"PSFTID"),""))</f>
        <v>890309</v>
      </c>
      <c r="N36" s="90" t="str">
        <f>IF(_epmOfflineCondition_,"Other Income",IF(_xll.EVDES(H36,$B$1)="#NODATA","",_xll.EVDES(H36,$B$1)))</f>
        <v>Other Income</v>
      </c>
      <c r="O36" s="217"/>
      <c r="P36" s="217"/>
      <c r="Q36" s="217"/>
      <c r="R36" s="217"/>
      <c r="S36" s="217"/>
      <c r="T36" s="217"/>
      <c r="U36" s="217"/>
      <c r="V36" s="217"/>
      <c r="W36" s="217"/>
      <c r="X36" s="217"/>
      <c r="Y36" s="217"/>
      <c r="Z36" s="217"/>
      <c r="AA36" s="217">
        <f t="shared" si="1"/>
        <v>0</v>
      </c>
      <c r="AB36" s="219" t="str">
        <f t="shared" si="2"/>
        <v/>
      </c>
      <c r="AC36" s="140"/>
      <c r="AD36" s="217"/>
      <c r="AE36" s="219" t="str">
        <f t="shared" si="3"/>
        <v/>
      </c>
      <c r="AF36" s="220">
        <f t="shared" si="4"/>
        <v>0</v>
      </c>
      <c r="AG36" s="217"/>
      <c r="AH36" s="219" t="str">
        <f t="shared" si="5"/>
        <v/>
      </c>
      <c r="AI36" s="220">
        <f t="shared" si="6"/>
        <v>0</v>
      </c>
      <c r="AJ36" s="449">
        <f t="shared" si="7"/>
        <v>0</v>
      </c>
      <c r="AK36" s="450">
        <f t="shared" si="8"/>
        <v>0</v>
      </c>
      <c r="AL36" s="451">
        <f t="shared" si="9"/>
        <v>0</v>
      </c>
      <c r="AM36" s="452">
        <f t="shared" si="10"/>
        <v>0</v>
      </c>
      <c r="AN36" s="453">
        <f t="shared" si="11"/>
        <v>0</v>
      </c>
      <c r="AO36" s="11"/>
    </row>
    <row r="37" spans="1:41" x14ac:dyDescent="0.35">
      <c r="A37" s="11" t="s">
        <v>100</v>
      </c>
      <c r="B37" s="11"/>
      <c r="C37" s="105" t="s">
        <v>101</v>
      </c>
      <c r="D37" s="11" t="s">
        <v>551</v>
      </c>
      <c r="E37" s="11"/>
      <c r="F37" s="11" t="s">
        <v>98</v>
      </c>
      <c r="G37" s="11"/>
      <c r="H37" s="88" t="s">
        <v>525</v>
      </c>
      <c r="I37" s="188" t="str">
        <f>IF(_epmOfflineCondition_,"T3",_xll.EVPRO($B$1,$H37,"STYLE"))</f>
        <v>T3</v>
      </c>
      <c r="J37" s="188" t="str">
        <f>IF(_epmOfflineCondition_,"Y",_xll.EVPRO($B$1,$H37,"CALC"))</f>
        <v>Y</v>
      </c>
      <c r="K37" s="189" t="str">
        <f t="shared" si="0"/>
        <v/>
      </c>
      <c r="L37" s="190" t="str">
        <f>IF(_epmOfflineCondition_,"804000",_xll.EVPRO($B$1,H37,"JDEID"))</f>
        <v>804000</v>
      </c>
      <c r="M37" s="190" t="str">
        <f>IF(_epmOfflineCondition_,"",IF(AND(I37="N",J37="N"),_xll.EVPRO($B$1,H37,"PSFTID"),""))</f>
        <v/>
      </c>
      <c r="N37" s="190" t="str">
        <f>IF(_epmOfflineCondition_,"Total Income ",IF(_xll.EVDES(H37,$B$1)="#NODATA","",_xll.EVDES(H37,$B$1)))</f>
        <v xml:space="preserve">Total Income </v>
      </c>
      <c r="O37" s="154"/>
      <c r="P37" s="154"/>
      <c r="Q37" s="154"/>
      <c r="R37" s="154"/>
      <c r="S37" s="154"/>
      <c r="T37" s="154"/>
      <c r="U37" s="154"/>
      <c r="V37" s="154"/>
      <c r="W37" s="154"/>
      <c r="X37" s="154"/>
      <c r="Y37" s="154"/>
      <c r="Z37" s="154"/>
      <c r="AA37" s="154">
        <f t="shared" si="1"/>
        <v>0</v>
      </c>
      <c r="AB37" s="155" t="str">
        <f t="shared" si="2"/>
        <v/>
      </c>
      <c r="AC37" s="240"/>
      <c r="AD37" s="154"/>
      <c r="AE37" s="155" t="str">
        <f t="shared" si="3"/>
        <v/>
      </c>
      <c r="AF37" s="156">
        <f t="shared" si="4"/>
        <v>0</v>
      </c>
      <c r="AG37" s="154"/>
      <c r="AH37" s="155" t="str">
        <f t="shared" si="5"/>
        <v/>
      </c>
      <c r="AI37" s="156">
        <f t="shared" si="6"/>
        <v>0</v>
      </c>
      <c r="AJ37" s="246">
        <f t="shared" si="7"/>
        <v>0</v>
      </c>
      <c r="AK37" s="247">
        <f t="shared" si="8"/>
        <v>0</v>
      </c>
      <c r="AL37" s="249">
        <f t="shared" si="9"/>
        <v>0</v>
      </c>
      <c r="AM37" s="433">
        <f t="shared" si="10"/>
        <v>0</v>
      </c>
      <c r="AN37" s="617">
        <f t="shared" si="11"/>
        <v>0</v>
      </c>
      <c r="AO37" s="11"/>
    </row>
    <row r="38" spans="1:41" x14ac:dyDescent="0.35">
      <c r="A38" s="11" t="s">
        <v>105</v>
      </c>
      <c r="B38" s="11"/>
      <c r="C38" s="104" t="s">
        <v>101</v>
      </c>
      <c r="D38" s="11" t="s">
        <v>106</v>
      </c>
      <c r="E38" s="11"/>
      <c r="F38" s="11" t="s">
        <v>98</v>
      </c>
      <c r="G38" s="11"/>
      <c r="H38" s="88" t="s">
        <v>547</v>
      </c>
      <c r="I38" s="610" t="str">
        <f>IF(_epmOfflineCondition_,"B1",_xll.EVPRO($B$1,$H38,"STYLE"))</f>
        <v>B1</v>
      </c>
      <c r="J38" s="610" t="str">
        <f>IF(_epmOfflineCondition_,"Y",_xll.EVPRO($B$1,$H38,"CALC"))</f>
        <v>Y</v>
      </c>
      <c r="K38" s="611" t="str">
        <f t="shared" si="0"/>
        <v/>
      </c>
      <c r="L38" s="611" t="str">
        <f>IF(_epmOfflineCondition_,"",_xll.EVPRO($B$1,H38,"JDEID"))</f>
        <v/>
      </c>
      <c r="M38" s="611" t="str">
        <f>IF(_epmOfflineCondition_,"",IF(AND(I38="N",J38="N"),_xll.EVPRO($B$1,H38,"PSFTID"),""))</f>
        <v/>
      </c>
      <c r="N38" s="611" t="str">
        <f>IF(_epmOfflineCondition_,"Rent",IF(_xll.EVDES(H38,$B$1)="#NODATA","",_xll.EVDES(H38,$B$1)))</f>
        <v>Rent</v>
      </c>
      <c r="O38" s="143"/>
      <c r="P38" s="143"/>
      <c r="Q38" s="143"/>
      <c r="R38" s="143"/>
      <c r="S38" s="143"/>
      <c r="T38" s="143"/>
      <c r="U38" s="143"/>
      <c r="V38" s="143"/>
      <c r="W38" s="143"/>
      <c r="X38" s="143"/>
      <c r="Y38" s="143"/>
      <c r="Z38" s="143"/>
      <c r="AA38" s="143" t="str">
        <f t="shared" si="1"/>
        <v/>
      </c>
      <c r="AB38" s="144" t="str">
        <f t="shared" si="2"/>
        <v/>
      </c>
      <c r="AC38" s="140"/>
      <c r="AD38" s="143"/>
      <c r="AE38" s="144" t="str">
        <f t="shared" si="3"/>
        <v/>
      </c>
      <c r="AF38" s="145" t="str">
        <f t="shared" si="4"/>
        <v/>
      </c>
      <c r="AG38" s="143"/>
      <c r="AH38" s="144" t="str">
        <f t="shared" si="5"/>
        <v/>
      </c>
      <c r="AI38" s="145" t="str">
        <f t="shared" si="6"/>
        <v/>
      </c>
      <c r="AJ38" s="440">
        <f t="shared" si="7"/>
        <v>0</v>
      </c>
      <c r="AK38" s="441">
        <f t="shared" si="8"/>
        <v>0</v>
      </c>
      <c r="AL38" s="442">
        <f t="shared" si="9"/>
        <v>0</v>
      </c>
      <c r="AM38" s="443">
        <f t="shared" si="10"/>
        <v>0</v>
      </c>
      <c r="AN38" s="444">
        <f t="shared" si="11"/>
        <v>0</v>
      </c>
      <c r="AO38" s="11"/>
    </row>
    <row r="39" spans="1:41" x14ac:dyDescent="0.35">
      <c r="A39" s="11" t="s">
        <v>102</v>
      </c>
      <c r="B39" s="11"/>
      <c r="C39" s="104" t="s">
        <v>101</v>
      </c>
      <c r="D39" s="11" t="s">
        <v>106</v>
      </c>
      <c r="E39" s="11"/>
      <c r="F39" s="11" t="s">
        <v>98</v>
      </c>
      <c r="G39" s="11"/>
      <c r="H39" s="88" t="s">
        <v>526</v>
      </c>
      <c r="I39" s="122" t="str">
        <f>IF(_epmOfflineCondition_,"T4",_xll.EVPRO($B$1,$H39,"STYLE"))</f>
        <v>T4</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IF(_epmOfflineCondition_,"Land &amp; Buildings",IF(_xll.EVDES(H39,$B$1)="#NODATA","",_xll.EVDES(H39,$B$1)))</f>
        <v>Land &amp; Buildings</v>
      </c>
      <c r="O39" s="143"/>
      <c r="P39" s="143"/>
      <c r="Q39" s="143"/>
      <c r="R39" s="143"/>
      <c r="S39" s="143"/>
      <c r="T39" s="143"/>
      <c r="U39" s="143"/>
      <c r="V39" s="143"/>
      <c r="W39" s="143"/>
      <c r="X39" s="143"/>
      <c r="Y39" s="143"/>
      <c r="Z39" s="143"/>
      <c r="AA39" s="143">
        <f t="shared" si="1"/>
        <v>0</v>
      </c>
      <c r="AB39" s="144" t="str">
        <f t="shared" si="2"/>
        <v/>
      </c>
      <c r="AC39" s="140"/>
      <c r="AD39" s="143"/>
      <c r="AE39" s="144" t="str">
        <f t="shared" si="3"/>
        <v/>
      </c>
      <c r="AF39" s="145">
        <f t="shared" si="4"/>
        <v>0</v>
      </c>
      <c r="AG39" s="143"/>
      <c r="AH39" s="144" t="str">
        <f t="shared" si="5"/>
        <v/>
      </c>
      <c r="AI39" s="145">
        <f t="shared" si="6"/>
        <v>0</v>
      </c>
      <c r="AJ39" s="440">
        <f t="shared" si="7"/>
        <v>0</v>
      </c>
      <c r="AK39" s="441">
        <f t="shared" si="8"/>
        <v>0</v>
      </c>
      <c r="AL39" s="442">
        <f t="shared" si="9"/>
        <v>0</v>
      </c>
      <c r="AM39" s="443">
        <f t="shared" si="10"/>
        <v>0</v>
      </c>
      <c r="AN39" s="444">
        <f t="shared" si="11"/>
        <v>0</v>
      </c>
      <c r="AO39" s="11"/>
    </row>
    <row r="40" spans="1:41" x14ac:dyDescent="0.35">
      <c r="A40" s="11" t="s">
        <v>108</v>
      </c>
      <c r="B40" s="11"/>
      <c r="C40" s="106" t="s">
        <v>101</v>
      </c>
      <c r="D40" s="11" t="s">
        <v>106</v>
      </c>
      <c r="E40" s="11"/>
      <c r="F40" s="11" t="s">
        <v>98</v>
      </c>
      <c r="G40" s="11"/>
      <c r="H40" s="88" t="s">
        <v>527</v>
      </c>
      <c r="I40" s="122" t="str">
        <f>IF(_epmOfflineCondition_,"T4",_xll.EVPRO($B$1,$H40,"STYLE"))</f>
        <v>T4</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IF(_epmOfflineCondition_,"Other Property &amp; Equipment",IF(_xll.EVDES(H40,$B$1)="#NODATA","",_xll.EVDES(H40,$B$1)))</f>
        <v>Other Property &amp; Equipment</v>
      </c>
      <c r="O40" s="217">
        <v>970.13</v>
      </c>
      <c r="P40" s="217">
        <v>1033.1500000000001</v>
      </c>
      <c r="Q40" s="217">
        <v>615.44000000000005</v>
      </c>
      <c r="R40" s="217">
        <v>110.18</v>
      </c>
      <c r="S40" s="217"/>
      <c r="T40" s="217">
        <v>386.94</v>
      </c>
      <c r="U40" s="217">
        <v>458.52</v>
      </c>
      <c r="V40" s="217">
        <v>664.16</v>
      </c>
      <c r="W40" s="217">
        <v>732.22</v>
      </c>
      <c r="X40" s="217">
        <v>1226</v>
      </c>
      <c r="Y40" s="217">
        <v>780.24</v>
      </c>
      <c r="Z40" s="217">
        <v>444.57</v>
      </c>
      <c r="AA40" s="217">
        <f t="shared" si="1"/>
        <v>7421.55</v>
      </c>
      <c r="AB40" s="219">
        <f t="shared" si="2"/>
        <v>1.4235676577942188E-3</v>
      </c>
      <c r="AC40" s="140"/>
      <c r="AD40" s="217">
        <v>12846</v>
      </c>
      <c r="AE40" s="219">
        <f t="shared" si="3"/>
        <v>9.9030577461652752E-4</v>
      </c>
      <c r="AF40" s="220">
        <f t="shared" si="4"/>
        <v>-5424.45</v>
      </c>
      <c r="AG40" s="217">
        <v>10719.06</v>
      </c>
      <c r="AH40" s="219">
        <f t="shared" si="5"/>
        <v>1.2782104728076219E-3</v>
      </c>
      <c r="AI40" s="220">
        <f t="shared" si="6"/>
        <v>-3297.5099999999993</v>
      </c>
      <c r="AJ40" s="449">
        <f t="shared" si="7"/>
        <v>0.1536171137605564</v>
      </c>
      <c r="AK40" s="450">
        <f t="shared" si="8"/>
        <v>0.26589667163437658</v>
      </c>
      <c r="AL40" s="451">
        <f t="shared" si="9"/>
        <v>0.2224794520547945</v>
      </c>
      <c r="AM40" s="452" t="str">
        <f t="shared" si="10"/>
        <v>0.04 pts.</v>
      </c>
      <c r="AN40" s="453" t="str">
        <f t="shared" si="11"/>
        <v>0.01 pts.</v>
      </c>
      <c r="AO40" s="11"/>
    </row>
    <row r="41" spans="1:41" x14ac:dyDescent="0.35">
      <c r="A41" s="11" t="s">
        <v>108</v>
      </c>
      <c r="B41" s="11"/>
      <c r="C41" s="109" t="s">
        <v>101</v>
      </c>
      <c r="D41" s="11" t="s">
        <v>107</v>
      </c>
      <c r="E41" s="11"/>
      <c r="F41" s="11" t="s">
        <v>99</v>
      </c>
      <c r="G41" s="11"/>
      <c r="H41" s="88" t="s">
        <v>520</v>
      </c>
      <c r="I41" s="188" t="str">
        <f>IF(_epmOfflineCondition_,"T3",_xll.EVPRO($B$1,$H41,"STYLE"))</f>
        <v>T3</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IF(_epmOfflineCondition_,"Total Rent",IF(_xll.EVDES(H41,$B$1)="#NODATA","",_xll.EVDES(H41,$B$1)))</f>
        <v>Total Rent</v>
      </c>
      <c r="O41" s="154">
        <v>970.13</v>
      </c>
      <c r="P41" s="154">
        <v>1033.1500000000001</v>
      </c>
      <c r="Q41" s="154">
        <v>615.44000000000005</v>
      </c>
      <c r="R41" s="154">
        <v>110.18</v>
      </c>
      <c r="S41" s="154"/>
      <c r="T41" s="154">
        <v>386.94</v>
      </c>
      <c r="U41" s="154">
        <v>458.52</v>
      </c>
      <c r="V41" s="154">
        <v>664.16</v>
      </c>
      <c r="W41" s="154">
        <v>732.22</v>
      </c>
      <c r="X41" s="154">
        <v>1226</v>
      </c>
      <c r="Y41" s="154">
        <v>780.24</v>
      </c>
      <c r="Z41" s="154">
        <v>444.57</v>
      </c>
      <c r="AA41" s="154">
        <f t="shared" si="1"/>
        <v>7421.55</v>
      </c>
      <c r="AB41" s="155">
        <f t="shared" si="2"/>
        <v>1.4235676577942188E-3</v>
      </c>
      <c r="AC41" s="240"/>
      <c r="AD41" s="154">
        <v>12846</v>
      </c>
      <c r="AE41" s="155">
        <f t="shared" si="3"/>
        <v>9.9030577461652752E-4</v>
      </c>
      <c r="AF41" s="156">
        <f t="shared" si="4"/>
        <v>-5424.45</v>
      </c>
      <c r="AG41" s="154">
        <v>10719.06</v>
      </c>
      <c r="AH41" s="155">
        <f t="shared" si="5"/>
        <v>1.2782104728076219E-3</v>
      </c>
      <c r="AI41" s="156">
        <f t="shared" si="6"/>
        <v>-3297.5099999999993</v>
      </c>
      <c r="AJ41" s="246">
        <f t="shared" si="7"/>
        <v>0.1536171137605564</v>
      </c>
      <c r="AK41" s="247">
        <f t="shared" si="8"/>
        <v>0.26589667163437658</v>
      </c>
      <c r="AL41" s="249">
        <f t="shared" si="9"/>
        <v>0.2224794520547945</v>
      </c>
      <c r="AM41" s="433" t="str">
        <f t="shared" si="10"/>
        <v>0.04 pts.</v>
      </c>
      <c r="AN41" s="617" t="str">
        <f t="shared" si="11"/>
        <v>0.01 pts.</v>
      </c>
      <c r="AO41" s="11"/>
    </row>
    <row r="42" spans="1:41" x14ac:dyDescent="0.35">
      <c r="A42" s="11"/>
      <c r="B42" s="11"/>
      <c r="C42" s="11"/>
      <c r="D42" s="11"/>
      <c r="E42" s="11"/>
      <c r="F42" s="11"/>
      <c r="G42" s="11"/>
      <c r="H42" s="185" t="s">
        <v>546</v>
      </c>
      <c r="I42" s="610" t="str">
        <f>IF(_epmOfflineCondition_,"B1",_xll.EVPRO($B$1,$H42,"STYLE"))</f>
        <v>B1</v>
      </c>
      <c r="J42" s="610" t="str">
        <f>IF(_epmOfflineCondition_,"Y",_xll.EVPRO($B$1,$H42,"CALC"))</f>
        <v>Y</v>
      </c>
      <c r="K42" s="611" t="str">
        <f t="shared" si="0"/>
        <v/>
      </c>
      <c r="L42" s="611" t="str">
        <f>IF(_epmOfflineCondition_,"",_xll.EVPRO($B$1,H42,"JDEID"))</f>
        <v/>
      </c>
      <c r="M42" s="611" t="str">
        <f>IF(_epmOfflineCondition_,"",IF(AND(I42="N",J42="N"),_xll.EVPRO($B$1,H42,"PSFTID"),""))</f>
        <v/>
      </c>
      <c r="N42" s="611" t="str">
        <f>IF(_epmOfflineCondition_,"Property &amp; Other Taxes",IF(_xll.EVDES(H42,$B$1)="#NODATA","",_xll.EVDES(H42,$B$1)))</f>
        <v>Property &amp; Other Taxes</v>
      </c>
      <c r="O42" s="143"/>
      <c r="P42" s="143"/>
      <c r="Q42" s="143"/>
      <c r="R42" s="143"/>
      <c r="S42" s="143"/>
      <c r="T42" s="143"/>
      <c r="U42" s="143"/>
      <c r="V42" s="143"/>
      <c r="W42" s="143"/>
      <c r="X42" s="143"/>
      <c r="Y42" s="143"/>
      <c r="Z42" s="143"/>
      <c r="AA42" s="143" t="str">
        <f t="shared" si="1"/>
        <v/>
      </c>
      <c r="AB42" s="144" t="str">
        <f t="shared" si="2"/>
        <v/>
      </c>
      <c r="AC42" s="140"/>
      <c r="AD42" s="143"/>
      <c r="AE42" s="144" t="str">
        <f t="shared" si="3"/>
        <v/>
      </c>
      <c r="AF42" s="145" t="str">
        <f t="shared" si="4"/>
        <v/>
      </c>
      <c r="AG42" s="143"/>
      <c r="AH42" s="144" t="str">
        <f t="shared" si="5"/>
        <v/>
      </c>
      <c r="AI42" s="145" t="str">
        <f t="shared" si="6"/>
        <v/>
      </c>
      <c r="AJ42" s="440">
        <f t="shared" si="7"/>
        <v>0</v>
      </c>
      <c r="AK42" s="441">
        <f t="shared" si="8"/>
        <v>0</v>
      </c>
      <c r="AL42" s="442">
        <f t="shared" si="9"/>
        <v>0</v>
      </c>
      <c r="AM42" s="443">
        <f t="shared" si="10"/>
        <v>0</v>
      </c>
      <c r="AN42" s="444">
        <f t="shared" si="11"/>
        <v>0</v>
      </c>
      <c r="AO42" s="11"/>
    </row>
    <row r="43" spans="1:41" x14ac:dyDescent="0.35">
      <c r="A43" s="11"/>
      <c r="B43" s="11"/>
      <c r="C43" s="208"/>
      <c r="D43" s="11"/>
      <c r="E43" s="11"/>
      <c r="F43" s="11"/>
      <c r="G43" s="11"/>
      <c r="H43" s="185" t="s">
        <v>528</v>
      </c>
      <c r="I43" s="122" t="str">
        <f>IF(_epmOfflineCondition_,"N",_xll.EVPRO($B$1,$H43,"STYLE"))</f>
        <v>N</v>
      </c>
      <c r="J43" s="122" t="str">
        <f>IF(_epmOfflineCondition_,"N",_xll.EVPRO($B$1,$H43,"CALC"))</f>
        <v>N</v>
      </c>
      <c r="K43" s="179" t="str">
        <f t="shared" si="0"/>
        <v/>
      </c>
      <c r="L43" s="90" t="str">
        <f>IF(_epmOfflineCondition_,"752100",_xll.EVPRO($B$1,H43,"JDEID"))</f>
        <v>752100</v>
      </c>
      <c r="M43" s="90" t="str">
        <f>IF(_epmOfflineCondition_,"790145",IF(AND(I43="N",J43="N"),_xll.EVPRO($B$1,H43,"PSFTID"),""))</f>
        <v>790145</v>
      </c>
      <c r="N43" s="90" t="str">
        <f>IF(_epmOfflineCondition_,"Real Estate Taxes",IF(_xll.EVDES(H43,$B$1)="#NODATA","",_xll.EVDES(H43,$B$1)))</f>
        <v>Real Estate Taxes</v>
      </c>
      <c r="O43" s="143">
        <v>35152.21</v>
      </c>
      <c r="P43" s="143">
        <v>36206.78</v>
      </c>
      <c r="Q43" s="143">
        <v>36206.78</v>
      </c>
      <c r="R43" s="143">
        <v>36206.78</v>
      </c>
      <c r="S43" s="143">
        <v>36206.78</v>
      </c>
      <c r="T43" s="143">
        <v>36206.78</v>
      </c>
      <c r="U43" s="143">
        <v>36206.78</v>
      </c>
      <c r="V43" s="143">
        <v>36206.78</v>
      </c>
      <c r="W43" s="143">
        <v>36206.78</v>
      </c>
      <c r="X43" s="143">
        <v>36206.78</v>
      </c>
      <c r="Y43" s="143">
        <v>36206.78</v>
      </c>
      <c r="Z43" s="143">
        <v>36206.78</v>
      </c>
      <c r="AA43" s="143">
        <f t="shared" si="1"/>
        <v>433426.79000000004</v>
      </c>
      <c r="AB43" s="144">
        <f t="shared" si="2"/>
        <v>8.3137937528624986E-2</v>
      </c>
      <c r="AC43" s="140"/>
      <c r="AD43" s="143">
        <v>421826.44</v>
      </c>
      <c r="AE43" s="144">
        <f t="shared" si="3"/>
        <v>3.2518850958892426E-2</v>
      </c>
      <c r="AF43" s="145">
        <f t="shared" si="4"/>
        <v>11600.350000000035</v>
      </c>
      <c r="AG43" s="143">
        <v>419026.53</v>
      </c>
      <c r="AH43" s="144">
        <f t="shared" si="5"/>
        <v>4.9967450413584517E-2</v>
      </c>
      <c r="AI43" s="145">
        <f t="shared" si="6"/>
        <v>14400.260000000009</v>
      </c>
      <c r="AJ43" s="440">
        <f t="shared" si="7"/>
        <v>8.97141062261964</v>
      </c>
      <c r="AK43" s="441">
        <f t="shared" si="8"/>
        <v>8.731297400231826</v>
      </c>
      <c r="AL43" s="442">
        <f t="shared" si="9"/>
        <v>8.6971052303860521</v>
      </c>
      <c r="AM43" s="443" t="str">
        <f t="shared" si="10"/>
        <v>5.06 pts.</v>
      </c>
      <c r="AN43" s="444" t="str">
        <f t="shared" si="11"/>
        <v>3.32 pts.</v>
      </c>
      <c r="AO43" s="11"/>
    </row>
    <row r="44" spans="1:41" x14ac:dyDescent="0.35">
      <c r="A44" s="62" t="s">
        <v>23</v>
      </c>
      <c r="B44" s="63" t="s">
        <v>24</v>
      </c>
      <c r="C44" s="11"/>
      <c r="D44" s="11"/>
      <c r="E44" s="11"/>
      <c r="F44" s="11"/>
      <c r="G44" s="11"/>
      <c r="H44" s="185" t="s">
        <v>529</v>
      </c>
      <c r="I44" s="122" t="str">
        <f>IF(_epmOfflineCondition_,"N",_xll.EVPRO($B$1,$H44,"STYLE"))</f>
        <v>N</v>
      </c>
      <c r="J44" s="122" t="str">
        <f>IF(_epmOfflineCondition_,"N",_xll.EVPRO($B$1,$H44,"CALC"))</f>
        <v>N</v>
      </c>
      <c r="K44" s="179" t="str">
        <f t="shared" si="0"/>
        <v/>
      </c>
      <c r="L44" s="90" t="str">
        <f>IF(_epmOfflineCondition_,"752200",_xll.EVPRO($B$1,H44,"JDEID"))</f>
        <v>752200</v>
      </c>
      <c r="M44" s="90" t="str">
        <f>IF(_epmOfflineCondition_,"790150",IF(AND(I44="N",J44="N"),_xll.EVPRO($B$1,H44,"PSFTID"),""))</f>
        <v>790150</v>
      </c>
      <c r="N44" s="90" t="str">
        <f>IF(_epmOfflineCondition_,"Personal Property Taxes",IF(_xll.EVDES(H44,$B$1)="#NODATA","",_xll.EVDES(H44,$B$1)))</f>
        <v>Personal Property Taxes</v>
      </c>
      <c r="O44" s="143">
        <v>8967</v>
      </c>
      <c r="P44" s="143">
        <v>8967</v>
      </c>
      <c r="Q44" s="143">
        <v>8967</v>
      </c>
      <c r="R44" s="143">
        <v>8967</v>
      </c>
      <c r="S44" s="143">
        <v>8967</v>
      </c>
      <c r="T44" s="143">
        <v>8967</v>
      </c>
      <c r="U44" s="143">
        <v>8967</v>
      </c>
      <c r="V44" s="143">
        <v>8967</v>
      </c>
      <c r="W44" s="143">
        <v>8967</v>
      </c>
      <c r="X44" s="143">
        <v>8967</v>
      </c>
      <c r="Y44" s="143">
        <v>8967</v>
      </c>
      <c r="Z44" s="143">
        <v>8967</v>
      </c>
      <c r="AA44" s="143">
        <f t="shared" si="1"/>
        <v>107604</v>
      </c>
      <c r="AB44" s="144">
        <f t="shared" si="2"/>
        <v>2.0640105402414469E-2</v>
      </c>
      <c r="AC44" s="140"/>
      <c r="AD44" s="143">
        <v>107606.28</v>
      </c>
      <c r="AE44" s="144">
        <f t="shared" si="3"/>
        <v>8.2954320776119361E-3</v>
      </c>
      <c r="AF44" s="145">
        <f t="shared" si="4"/>
        <v>-2.2799999999988358</v>
      </c>
      <c r="AG44" s="143">
        <v>108356.28</v>
      </c>
      <c r="AH44" s="144">
        <f t="shared" si="5"/>
        <v>1.2921107997387372E-2</v>
      </c>
      <c r="AI44" s="145">
        <f t="shared" si="6"/>
        <v>-752.27999999999884</v>
      </c>
      <c r="AJ44" s="440">
        <f t="shared" si="7"/>
        <v>2.2272727272727271</v>
      </c>
      <c r="AK44" s="441">
        <f t="shared" si="8"/>
        <v>2.2273199205166416</v>
      </c>
      <c r="AL44" s="442">
        <f t="shared" si="9"/>
        <v>2.2489887920298881</v>
      </c>
      <c r="AM44" s="443" t="str">
        <f t="shared" si="10"/>
        <v>1.23 pts.</v>
      </c>
      <c r="AN44" s="444" t="str">
        <f t="shared" si="11"/>
        <v>0.77 pts.</v>
      </c>
      <c r="AO44" s="11"/>
    </row>
    <row r="45" spans="1:41" x14ac:dyDescent="0.35">
      <c r="A45" s="65" t="s">
        <v>25</v>
      </c>
      <c r="B45" s="66"/>
      <c r="C45" s="11"/>
      <c r="D45" s="11"/>
      <c r="E45" s="11"/>
      <c r="F45" s="11"/>
      <c r="G45" s="11"/>
      <c r="H45" s="185" t="s">
        <v>530</v>
      </c>
      <c r="I45" s="122" t="str">
        <f>IF(_epmOfflineCondition_,"N",_xll.EVPRO($B$1,$H45,"STYLE"))</f>
        <v>N</v>
      </c>
      <c r="J45" s="122" t="str">
        <f>IF(_epmOfflineCondition_,"N",_xll.EVPRO($B$1,$H45,"CALC"))</f>
        <v>N</v>
      </c>
      <c r="K45" s="179" t="str">
        <f t="shared" si="0"/>
        <v/>
      </c>
      <c r="L45" s="90" t="str">
        <f>IF(_epmOfflineCondition_,"752300",_xll.EVPRO($B$1,H45,"JDEID"))</f>
        <v>752300</v>
      </c>
      <c r="M45" s="90" t="str">
        <f>IF(_epmOfflineCondition_,"790160",IF(AND(I45="N",J45="N"),_xll.EVPRO($B$1,H45,"PSFTID"),""))</f>
        <v>790160</v>
      </c>
      <c r="N45" s="90" t="str">
        <f>IF(_epmOfflineCondition_,"Business &amp; Occupation Taxes",IF(_xll.EVDES(H45,$B$1)="#NODATA","",_xll.EVDES(H45,$B$1)))</f>
        <v>Business &amp; Occupation Taxes</v>
      </c>
      <c r="O45" s="143"/>
      <c r="P45" s="143"/>
      <c r="Q45" s="143"/>
      <c r="R45" s="143">
        <v>16589.2</v>
      </c>
      <c r="S45" s="143"/>
      <c r="T45" s="143"/>
      <c r="U45" s="143"/>
      <c r="V45" s="143"/>
      <c r="W45" s="143"/>
      <c r="X45" s="143">
        <v>528</v>
      </c>
      <c r="Y45" s="143"/>
      <c r="Z45" s="143"/>
      <c r="AA45" s="143">
        <f t="shared" si="1"/>
        <v>17117.2</v>
      </c>
      <c r="AB45" s="144">
        <f t="shared" si="2"/>
        <v>3.2833427399930207E-3</v>
      </c>
      <c r="AC45" s="140"/>
      <c r="AD45" s="143">
        <v>20019.2</v>
      </c>
      <c r="AE45" s="144">
        <f t="shared" si="3"/>
        <v>1.5432920257825928E-3</v>
      </c>
      <c r="AF45" s="145">
        <f t="shared" si="4"/>
        <v>-2902</v>
      </c>
      <c r="AG45" s="143">
        <v>20019.2</v>
      </c>
      <c r="AH45" s="144">
        <f t="shared" si="5"/>
        <v>2.3872196906473465E-3</v>
      </c>
      <c r="AI45" s="145">
        <f t="shared" si="6"/>
        <v>-2902</v>
      </c>
      <c r="AJ45" s="440">
        <f t="shared" si="7"/>
        <v>0.35430534856764367</v>
      </c>
      <c r="AK45" s="441">
        <f t="shared" si="8"/>
        <v>0.41437324060274883</v>
      </c>
      <c r="AL45" s="442">
        <f t="shared" si="9"/>
        <v>0.41550850975508513</v>
      </c>
      <c r="AM45" s="443" t="str">
        <f t="shared" si="10"/>
        <v>0.17 pts.</v>
      </c>
      <c r="AN45" s="444" t="str">
        <f t="shared" si="11"/>
        <v>0.09 pts.</v>
      </c>
      <c r="AO45" s="11"/>
    </row>
    <row r="46" spans="1:41" x14ac:dyDescent="0.35">
      <c r="A46" s="65" t="s">
        <v>26</v>
      </c>
      <c r="B46" s="66"/>
      <c r="C46" s="11"/>
      <c r="D46" s="11"/>
      <c r="E46" s="11"/>
      <c r="F46" s="11"/>
      <c r="G46" s="11"/>
      <c r="H46" s="88" t="s">
        <v>531</v>
      </c>
      <c r="I46" s="122" t="str">
        <f>IF(_epmOfflineCondition_,"N",_xll.EVPRO($B$1,$H46,"STYLE"))</f>
        <v>N</v>
      </c>
      <c r="J46" s="122" t="str">
        <f>IF(_epmOfflineCondition_,"N",_xll.EVPRO($B$1,$H46,"CALC"))</f>
        <v>N</v>
      </c>
      <c r="K46" s="179" t="str">
        <f t="shared" si="0"/>
        <v/>
      </c>
      <c r="L46" s="90" t="str">
        <f>IF(_epmOfflineCondition_,"752400",_xll.EVPRO($B$1,H46,"JDEID"))</f>
        <v>752400</v>
      </c>
      <c r="M46" s="90" t="str">
        <f>IF(_epmOfflineCondition_,"790160",IF(AND(I46="N",J46="N"),_xll.EVPRO($B$1,H46,"PSFTID"),""))</f>
        <v>790160</v>
      </c>
      <c r="N46" s="90" t="str">
        <f>IF(_epmOfflineCondition_,"Other Taxes &amp; Assesments",IF(_xll.EVDES(H46,$B$1)="#NODATA","",_xll.EVDES(H46,$B$1)))</f>
        <v>Other Taxes &amp; Assesments</v>
      </c>
      <c r="O46" s="217"/>
      <c r="P46" s="217"/>
      <c r="Q46" s="217"/>
      <c r="R46" s="217"/>
      <c r="S46" s="217"/>
      <c r="T46" s="217"/>
      <c r="U46" s="217"/>
      <c r="V46" s="217"/>
      <c r="W46" s="217"/>
      <c r="X46" s="217"/>
      <c r="Y46" s="217"/>
      <c r="Z46" s="217"/>
      <c r="AA46" s="217">
        <f t="shared" si="1"/>
        <v>0</v>
      </c>
      <c r="AB46" s="219" t="str">
        <f t="shared" si="2"/>
        <v/>
      </c>
      <c r="AC46" s="140"/>
      <c r="AD46" s="217"/>
      <c r="AE46" s="219" t="str">
        <f t="shared" si="3"/>
        <v/>
      </c>
      <c r="AF46" s="220">
        <f t="shared" si="4"/>
        <v>0</v>
      </c>
      <c r="AG46" s="217"/>
      <c r="AH46" s="219" t="str">
        <f t="shared" si="5"/>
        <v/>
      </c>
      <c r="AI46" s="220">
        <f t="shared" si="6"/>
        <v>0</v>
      </c>
      <c r="AJ46" s="449">
        <f t="shared" si="7"/>
        <v>0</v>
      </c>
      <c r="AK46" s="450">
        <f t="shared" si="8"/>
        <v>0</v>
      </c>
      <c r="AL46" s="451">
        <f t="shared" si="9"/>
        <v>0</v>
      </c>
      <c r="AM46" s="452">
        <f t="shared" si="10"/>
        <v>0</v>
      </c>
      <c r="AN46" s="453">
        <f t="shared" si="11"/>
        <v>0</v>
      </c>
      <c r="AO46" s="11"/>
    </row>
    <row r="47" spans="1:41" x14ac:dyDescent="0.35">
      <c r="A47" s="65" t="s">
        <v>27</v>
      </c>
      <c r="B47" s="66"/>
      <c r="C47" s="11"/>
      <c r="D47" s="11"/>
      <c r="E47" s="11"/>
      <c r="F47" s="11"/>
      <c r="G47" s="11"/>
      <c r="H47" s="185" t="s">
        <v>521</v>
      </c>
      <c r="I47" s="188" t="str">
        <f>IF(_epmOfflineCondition_,"T3",_xll.EVPRO($B$1,$H47,"STYLE"))</f>
        <v>T3</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Property &amp; Other Taxes",IF(_xll.EVDES(H47,$B$1)="#NODATA","",_xll.EVDES(H47,$B$1)))</f>
        <v>Total Property &amp; Other Taxes</v>
      </c>
      <c r="O47" s="154">
        <v>44119.21</v>
      </c>
      <c r="P47" s="154">
        <v>45173.78</v>
      </c>
      <c r="Q47" s="154">
        <v>45173.78</v>
      </c>
      <c r="R47" s="154">
        <v>61762.98</v>
      </c>
      <c r="S47" s="154">
        <v>45173.78</v>
      </c>
      <c r="T47" s="154">
        <v>45173.78</v>
      </c>
      <c r="U47" s="154">
        <v>45173.78</v>
      </c>
      <c r="V47" s="154">
        <v>45173.78</v>
      </c>
      <c r="W47" s="154">
        <v>45173.78</v>
      </c>
      <c r="X47" s="154">
        <v>45701.78</v>
      </c>
      <c r="Y47" s="154">
        <v>45173.78</v>
      </c>
      <c r="Z47" s="154">
        <v>45173.78</v>
      </c>
      <c r="AA47" s="154">
        <f t="shared" si="1"/>
        <v>558147.99000000011</v>
      </c>
      <c r="AB47" s="155">
        <f t="shared" si="2"/>
        <v>0.10706138567103249</v>
      </c>
      <c r="AC47" s="240"/>
      <c r="AD47" s="154">
        <v>549451.92000000004</v>
      </c>
      <c r="AE47" s="155">
        <f t="shared" si="3"/>
        <v>4.2357575062286962E-2</v>
      </c>
      <c r="AF47" s="156">
        <f t="shared" si="4"/>
        <v>8696.0700000000652</v>
      </c>
      <c r="AG47" s="154">
        <v>547402.01</v>
      </c>
      <c r="AH47" s="155">
        <f t="shared" si="5"/>
        <v>6.5275778101619233E-2</v>
      </c>
      <c r="AI47" s="156">
        <f t="shared" si="6"/>
        <v>10745.980000000098</v>
      </c>
      <c r="AJ47" s="246">
        <f t="shared" si="7"/>
        <v>11.552988698460013</v>
      </c>
      <c r="AK47" s="247">
        <f t="shared" si="8"/>
        <v>11.372990561351218</v>
      </c>
      <c r="AL47" s="249">
        <f t="shared" si="9"/>
        <v>11.361602532171025</v>
      </c>
      <c r="AM47" s="433" t="str">
        <f t="shared" si="10"/>
        <v>6.47 pts.</v>
      </c>
      <c r="AN47" s="617" t="str">
        <f t="shared" si="11"/>
        <v>4.18 pts.</v>
      </c>
      <c r="AO47" s="11"/>
    </row>
    <row r="48" spans="1:41" x14ac:dyDescent="0.35">
      <c r="A48" s="65" t="s">
        <v>28</v>
      </c>
      <c r="B48" s="66"/>
      <c r="C48" s="11"/>
      <c r="D48" s="11"/>
      <c r="E48" s="11"/>
      <c r="F48" s="11"/>
      <c r="G48" s="11"/>
      <c r="H48" s="185" t="s">
        <v>550</v>
      </c>
      <c r="I48" s="610" t="str">
        <f>IF(_epmOfflineCondition_,"B1",_xll.EVPRO($B$1,$H48,"STYLE"))</f>
        <v>B1</v>
      </c>
      <c r="J48" s="610" t="str">
        <f>IF(_epmOfflineCondition_,"Y",_xll.EVPRO($B$1,$H48,"CALC"))</f>
        <v>Y</v>
      </c>
      <c r="K48" s="611" t="str">
        <f t="shared" si="0"/>
        <v/>
      </c>
      <c r="L48" s="611" t="str">
        <f>IF(_epmOfflineCondition_,"",_xll.EVPRO($B$1,H48,"JDEID"))</f>
        <v/>
      </c>
      <c r="M48" s="611" t="str">
        <f>IF(_epmOfflineCondition_,"",IF(AND(I48="N",J48="N"),_xll.EVPRO($B$1,H48,"PSFTID"),""))</f>
        <v/>
      </c>
      <c r="N48" s="611" t="str">
        <f>IF(_epmOfflineCondition_,"Insurance",IF(_xll.EVDES(H48,$B$1)="#NODATA","",_xll.EVDES(H48,$B$1)))</f>
        <v>Insurance</v>
      </c>
      <c r="O48" s="143"/>
      <c r="P48" s="143"/>
      <c r="Q48" s="143"/>
      <c r="R48" s="143"/>
      <c r="S48" s="143"/>
      <c r="T48" s="143"/>
      <c r="U48" s="143"/>
      <c r="V48" s="143"/>
      <c r="W48" s="143"/>
      <c r="X48" s="143"/>
      <c r="Y48" s="143"/>
      <c r="Z48" s="143"/>
      <c r="AA48" s="143" t="str">
        <f t="shared" si="1"/>
        <v/>
      </c>
      <c r="AB48" s="144" t="str">
        <f t="shared" si="2"/>
        <v/>
      </c>
      <c r="AC48" s="140"/>
      <c r="AD48" s="143"/>
      <c r="AE48" s="144" t="str">
        <f t="shared" si="3"/>
        <v/>
      </c>
      <c r="AF48" s="145" t="str">
        <f t="shared" si="4"/>
        <v/>
      </c>
      <c r="AG48" s="143"/>
      <c r="AH48" s="144" t="str">
        <f t="shared" si="5"/>
        <v/>
      </c>
      <c r="AI48" s="145" t="str">
        <f t="shared" si="6"/>
        <v/>
      </c>
      <c r="AJ48" s="440">
        <f t="shared" si="7"/>
        <v>0</v>
      </c>
      <c r="AK48" s="441">
        <f t="shared" si="8"/>
        <v>0</v>
      </c>
      <c r="AL48" s="442">
        <f t="shared" si="9"/>
        <v>0</v>
      </c>
      <c r="AM48" s="443">
        <f t="shared" si="10"/>
        <v>0</v>
      </c>
      <c r="AN48" s="444">
        <f t="shared" si="11"/>
        <v>0</v>
      </c>
      <c r="AO48" s="11"/>
    </row>
    <row r="49" spans="1:41" x14ac:dyDescent="0.35">
      <c r="A49" s="65" t="s">
        <v>29</v>
      </c>
      <c r="B49" s="66"/>
      <c r="C49" s="11"/>
      <c r="D49" s="11"/>
      <c r="E49" s="11"/>
      <c r="F49" s="11"/>
      <c r="G49" s="11"/>
      <c r="H49" s="185" t="s">
        <v>532</v>
      </c>
      <c r="I49" s="122" t="str">
        <f>IF(_epmOfflineCondition_,"T4",_xll.EVPRO($B$1,$H49,"STYLE"))</f>
        <v>T4</v>
      </c>
      <c r="J49" s="122" t="str">
        <f>IF(_epmOfflineCondition_,"Y",_xll.EVPRO($B$1,$H49,"CALC"))</f>
        <v>Y</v>
      </c>
      <c r="K49" s="179" t="str">
        <f t="shared" si="0"/>
        <v>&gt;</v>
      </c>
      <c r="L49" s="90" t="str">
        <f>IF(_epmOfflineCondition_,"751100",_xll.EVPRO($B$1,H49,"JDEID"))</f>
        <v>751100</v>
      </c>
      <c r="M49" s="90" t="str">
        <f>IF(_epmOfflineCondition_,"",IF(AND(I49="N",J49="N"),_xll.EVPRO($B$1,H49,"PSFTID"),""))</f>
        <v/>
      </c>
      <c r="N49" s="90" t="str">
        <f>IF(_epmOfflineCondition_,"Earthquake - Insurance",IF(_xll.EVDES(H49,$B$1)="#NODATA","",_xll.EVDES(H49,$B$1)))</f>
        <v>Earthquake - Insurance</v>
      </c>
      <c r="O49" s="143"/>
      <c r="P49" s="143"/>
      <c r="Q49" s="143"/>
      <c r="R49" s="143"/>
      <c r="S49" s="143"/>
      <c r="T49" s="143"/>
      <c r="U49" s="143"/>
      <c r="V49" s="143"/>
      <c r="W49" s="143"/>
      <c r="X49" s="143"/>
      <c r="Y49" s="143"/>
      <c r="Z49" s="143"/>
      <c r="AA49" s="143">
        <f t="shared" si="1"/>
        <v>0</v>
      </c>
      <c r="AB49" s="144" t="str">
        <f t="shared" si="2"/>
        <v/>
      </c>
      <c r="AC49" s="140"/>
      <c r="AD49" s="143"/>
      <c r="AE49" s="144" t="str">
        <f t="shared" si="3"/>
        <v/>
      </c>
      <c r="AF49" s="145">
        <f t="shared" si="4"/>
        <v>0</v>
      </c>
      <c r="AG49" s="143"/>
      <c r="AH49" s="144" t="str">
        <f t="shared" si="5"/>
        <v/>
      </c>
      <c r="AI49" s="145">
        <f t="shared" si="6"/>
        <v>0</v>
      </c>
      <c r="AJ49" s="440">
        <f t="shared" si="7"/>
        <v>0</v>
      </c>
      <c r="AK49" s="441">
        <f t="shared" si="8"/>
        <v>0</v>
      </c>
      <c r="AL49" s="442">
        <f t="shared" si="9"/>
        <v>0</v>
      </c>
      <c r="AM49" s="443">
        <f t="shared" si="10"/>
        <v>0</v>
      </c>
      <c r="AN49" s="444">
        <f t="shared" si="11"/>
        <v>0</v>
      </c>
      <c r="AO49" s="11"/>
    </row>
    <row r="50" spans="1:41" x14ac:dyDescent="0.35">
      <c r="A50" s="65" t="s">
        <v>30</v>
      </c>
      <c r="B50" s="66" t="s">
        <v>78</v>
      </c>
      <c r="C50" s="11"/>
      <c r="D50" s="11"/>
      <c r="E50" s="11"/>
      <c r="F50" s="11"/>
      <c r="G50" s="11"/>
      <c r="H50" s="88" t="s">
        <v>533</v>
      </c>
      <c r="I50" s="122" t="str">
        <f>IF(_epmOfflineCondition_,"T4",_xll.EVPRO($B$1,$H50,"STYLE"))</f>
        <v>T4</v>
      </c>
      <c r="J50" s="122" t="str">
        <f>IF(_epmOfflineCondition_,"Y",_xll.EVPRO($B$1,$H50,"CALC"))</f>
        <v>Y</v>
      </c>
      <c r="K50" s="179" t="str">
        <f t="shared" si="0"/>
        <v>&gt;</v>
      </c>
      <c r="L50" s="90" t="str">
        <f>IF(_epmOfflineCondition_,"751200",_xll.EVPRO($B$1,H50,"JDEID"))</f>
        <v>751200</v>
      </c>
      <c r="M50" s="90" t="str">
        <f>IF(_epmOfflineCondition_,"",IF(AND(I50="N",J50="N"),_xll.EVPRO($B$1,H50,"PSFTID"),""))</f>
        <v/>
      </c>
      <c r="N50" s="90" t="str">
        <f>IF(_epmOfflineCondition_,"Property Insurance",IF(_xll.EVDES(H50,$B$1)="#NODATA","",_xll.EVDES(H50,$B$1)))</f>
        <v>Property Insurance</v>
      </c>
      <c r="O50" s="143">
        <v>51053.19</v>
      </c>
      <c r="P50" s="143">
        <v>51053.19</v>
      </c>
      <c r="Q50" s="143">
        <v>51053.19</v>
      </c>
      <c r="R50" s="143">
        <v>51053.19</v>
      </c>
      <c r="S50" s="143">
        <v>51053.19</v>
      </c>
      <c r="T50" s="143">
        <v>51053.19</v>
      </c>
      <c r="U50" s="143">
        <v>51053.22</v>
      </c>
      <c r="V50" s="143">
        <v>59591.58</v>
      </c>
      <c r="W50" s="143">
        <v>59591.58</v>
      </c>
      <c r="X50" s="143">
        <v>59591.58</v>
      </c>
      <c r="Y50" s="143">
        <v>59591.58</v>
      </c>
      <c r="Z50" s="143">
        <v>59591.58</v>
      </c>
      <c r="AA50" s="143">
        <f t="shared" si="1"/>
        <v>655330.25999999989</v>
      </c>
      <c r="AB50" s="144">
        <f t="shared" si="2"/>
        <v>0.12570244265818814</v>
      </c>
      <c r="AC50" s="140"/>
      <c r="AD50" s="143">
        <v>638164.88</v>
      </c>
      <c r="AE50" s="144">
        <f t="shared" si="3"/>
        <v>4.9196509872447711E-2</v>
      </c>
      <c r="AF50" s="145">
        <f t="shared" si="4"/>
        <v>17165.379999999888</v>
      </c>
      <c r="AG50" s="143">
        <v>550346.39</v>
      </c>
      <c r="AH50" s="144">
        <f t="shared" si="5"/>
        <v>6.562688513450507E-2</v>
      </c>
      <c r="AI50" s="145">
        <f t="shared" si="6"/>
        <v>104983.86999999988</v>
      </c>
      <c r="AJ50" s="440">
        <f t="shared" si="7"/>
        <v>13.564544212617982</v>
      </c>
      <c r="AK50" s="441">
        <f t="shared" si="8"/>
        <v>13.209241596290777</v>
      </c>
      <c r="AL50" s="442">
        <f t="shared" si="9"/>
        <v>11.422714611872147</v>
      </c>
      <c r="AM50" s="443" t="str">
        <f t="shared" si="10"/>
        <v>7.65 pts.</v>
      </c>
      <c r="AN50" s="444" t="str">
        <f t="shared" si="11"/>
        <v>6.01 pts.</v>
      </c>
      <c r="AO50" s="11"/>
    </row>
    <row r="51" spans="1:41" x14ac:dyDescent="0.35">
      <c r="A51" s="65" t="s">
        <v>31</v>
      </c>
      <c r="B51" s="66" t="s">
        <v>78</v>
      </c>
      <c r="C51" s="11"/>
      <c r="D51" s="11"/>
      <c r="E51" s="11"/>
      <c r="F51" s="11"/>
      <c r="G51" s="11"/>
      <c r="H51" s="88" t="s">
        <v>534</v>
      </c>
      <c r="I51" s="122" t="str">
        <f>IF(_epmOfflineCondition_,"T4",_xll.EVPRO($B$1,$H51,"STYLE"))</f>
        <v>T4</v>
      </c>
      <c r="J51" s="122" t="str">
        <f>IF(_epmOfflineCondition_,"Y",_xll.EVPRO($B$1,$H51,"CALC"))</f>
        <v>Y</v>
      </c>
      <c r="K51" s="179" t="str">
        <f t="shared" si="0"/>
        <v>&gt;</v>
      </c>
      <c r="L51" s="90" t="str">
        <f>IF(_epmOfflineCondition_,"751300",_xll.EVPRO($B$1,H51,"JDEID"))</f>
        <v>751300</v>
      </c>
      <c r="M51" s="90" t="str">
        <f>IF(_epmOfflineCondition_,"",IF(AND(I51="N",J51="N"),_xll.EVPRO($B$1,H51,"PSFTID"),""))</f>
        <v/>
      </c>
      <c r="N51" s="90" t="str">
        <f>IF(_epmOfflineCondition_,"Liability Insurance",IF(_xll.EVDES(H51,$B$1)="#NODATA","",_xll.EVDES(H51,$B$1)))</f>
        <v>Liability Insurance</v>
      </c>
      <c r="O51" s="143">
        <v>5305.34</v>
      </c>
      <c r="P51" s="143">
        <v>5305.34</v>
      </c>
      <c r="Q51" s="143">
        <v>5305.34</v>
      </c>
      <c r="R51" s="143">
        <v>5305.34</v>
      </c>
      <c r="S51" s="143">
        <v>5305.34</v>
      </c>
      <c r="T51" s="143">
        <v>5305.34</v>
      </c>
      <c r="U51" s="143">
        <v>2913</v>
      </c>
      <c r="V51" s="143">
        <v>4109.17</v>
      </c>
      <c r="W51" s="143">
        <v>109.49</v>
      </c>
      <c r="X51" s="143">
        <v>4609</v>
      </c>
      <c r="Y51" s="143">
        <v>4609</v>
      </c>
      <c r="Z51" s="143">
        <v>4609.22</v>
      </c>
      <c r="AA51" s="143">
        <f t="shared" si="1"/>
        <v>52790.92</v>
      </c>
      <c r="AB51" s="144">
        <f t="shared" si="2"/>
        <v>1.0126111976231646E-2</v>
      </c>
      <c r="AC51" s="140"/>
      <c r="AD51" s="143">
        <v>64990</v>
      </c>
      <c r="AE51" s="144">
        <f t="shared" si="3"/>
        <v>5.0101177247647609E-3</v>
      </c>
      <c r="AF51" s="145">
        <f t="shared" si="4"/>
        <v>-12199.080000000002</v>
      </c>
      <c r="AG51" s="143">
        <v>56812.66</v>
      </c>
      <c r="AH51" s="144">
        <f t="shared" si="5"/>
        <v>6.7747113086463438E-3</v>
      </c>
      <c r="AI51" s="145">
        <f t="shared" si="6"/>
        <v>-4021.7400000000052</v>
      </c>
      <c r="AJ51" s="440">
        <f t="shared" si="7"/>
        <v>1.0927082298393773</v>
      </c>
      <c r="AK51" s="441">
        <f t="shared" si="8"/>
        <v>1.3452144394767345</v>
      </c>
      <c r="AL51" s="442">
        <f t="shared" si="9"/>
        <v>1.1791751764217517</v>
      </c>
      <c r="AM51" s="443" t="str">
        <f t="shared" si="10"/>
        <v>0.51 pts.</v>
      </c>
      <c r="AN51" s="444" t="str">
        <f t="shared" si="11"/>
        <v>0.34 pts.</v>
      </c>
      <c r="AO51" s="11"/>
    </row>
    <row r="52" spans="1:41" x14ac:dyDescent="0.35">
      <c r="A52" s="65" t="s">
        <v>32</v>
      </c>
      <c r="B52" s="66"/>
      <c r="C52" s="11"/>
      <c r="D52" s="11"/>
      <c r="E52" s="11"/>
      <c r="F52" s="11"/>
      <c r="G52" s="11"/>
      <c r="H52" s="88" t="s">
        <v>535</v>
      </c>
      <c r="I52" s="122" t="str">
        <f>IF(_epmOfflineCondition_,"T4",_xll.EVPRO($B$1,$H52,"STYLE"))</f>
        <v>T4</v>
      </c>
      <c r="J52" s="122" t="str">
        <f>IF(_epmOfflineCondition_,"Y",_xll.EVPRO($B$1,$H52,"CALC"))</f>
        <v>Y</v>
      </c>
      <c r="K52" s="179" t="str">
        <f t="shared" si="0"/>
        <v>&gt;</v>
      </c>
      <c r="L52" s="90" t="str">
        <f>IF(_epmOfflineCondition_,"751400",_xll.EVPRO($B$1,H52,"JDEID"))</f>
        <v>751400</v>
      </c>
      <c r="M52" s="90" t="str">
        <f>IF(_epmOfflineCondition_,"",IF(AND(I52="N",J52="N"),_xll.EVPRO($B$1,H52,"PSFTID"),""))</f>
        <v/>
      </c>
      <c r="N52" s="90" t="str">
        <f>IF(_epmOfflineCondition_,"Flood Insurance",IF(_xll.EVDES(H52,$B$1)="#NODATA","",_xll.EVDES(H52,$B$1)))</f>
        <v>Flood Insurance</v>
      </c>
      <c r="O52" s="143">
        <v>2713.92</v>
      </c>
      <c r="P52" s="143">
        <v>2713.92</v>
      </c>
      <c r="Q52" s="143">
        <v>2713.92</v>
      </c>
      <c r="R52" s="143">
        <v>2713.92</v>
      </c>
      <c r="S52" s="143">
        <v>2713.88</v>
      </c>
      <c r="T52" s="143">
        <v>2794.42</v>
      </c>
      <c r="U52" s="143">
        <v>2794.41</v>
      </c>
      <c r="V52" s="143">
        <v>2818.39</v>
      </c>
      <c r="W52" s="143">
        <v>3377.68</v>
      </c>
      <c r="X52" s="143">
        <v>3377.56</v>
      </c>
      <c r="Y52" s="143">
        <v>3377.56</v>
      </c>
      <c r="Z52" s="143">
        <v>3377.56</v>
      </c>
      <c r="AA52" s="143">
        <f t="shared" si="1"/>
        <v>35487.14</v>
      </c>
      <c r="AB52" s="144">
        <f t="shared" si="2"/>
        <v>6.8069803169978687E-3</v>
      </c>
      <c r="AC52" s="140"/>
      <c r="AD52" s="143">
        <v>33248</v>
      </c>
      <c r="AE52" s="144">
        <f t="shared" si="3"/>
        <v>2.5631080799042739E-3</v>
      </c>
      <c r="AF52" s="145">
        <f t="shared" si="4"/>
        <v>2239.1399999999994</v>
      </c>
      <c r="AG52" s="143">
        <v>32653.02</v>
      </c>
      <c r="AH52" s="144">
        <f t="shared" si="5"/>
        <v>3.8937586068924644E-3</v>
      </c>
      <c r="AI52" s="145">
        <f t="shared" si="6"/>
        <v>2834.119999999999</v>
      </c>
      <c r="AJ52" s="440">
        <f t="shared" si="7"/>
        <v>0.73454090081139256</v>
      </c>
      <c r="AK52" s="441">
        <f t="shared" si="8"/>
        <v>0.68819340950488495</v>
      </c>
      <c r="AL52" s="442">
        <f t="shared" si="9"/>
        <v>0.67772976338729762</v>
      </c>
      <c r="AM52" s="443" t="str">
        <f t="shared" si="10"/>
        <v>0.42 pts.</v>
      </c>
      <c r="AN52" s="444" t="str">
        <f t="shared" si="11"/>
        <v>0.29 pts.</v>
      </c>
      <c r="AO52" s="11"/>
    </row>
    <row r="53" spans="1:41" x14ac:dyDescent="0.35">
      <c r="A53" s="65" t="s">
        <v>33</v>
      </c>
      <c r="B53" s="66"/>
      <c r="C53" s="11"/>
      <c r="D53" s="11"/>
      <c r="E53" s="11"/>
      <c r="F53" s="11"/>
      <c r="G53" s="11"/>
      <c r="H53" s="88" t="s">
        <v>536</v>
      </c>
      <c r="I53" s="122" t="str">
        <f>IF(_epmOfflineCondition_,"T4",_xll.EVPRO($B$1,$H53,"STYLE"))</f>
        <v>T4</v>
      </c>
      <c r="J53" s="122" t="str">
        <f>IF(_epmOfflineCondition_,"Y",_xll.EVPRO($B$1,$H53,"CALC"))</f>
        <v>Y</v>
      </c>
      <c r="K53" s="179" t="str">
        <f t="shared" si="0"/>
        <v>&gt;</v>
      </c>
      <c r="L53" s="90" t="str">
        <f>IF(_epmOfflineCondition_,"751500",_xll.EVPRO($B$1,H53,"JDEID"))</f>
        <v>751500</v>
      </c>
      <c r="M53" s="90" t="str">
        <f>IF(_epmOfflineCondition_,"",IF(AND(I53="N",J53="N"),_xll.EVPRO($B$1,H53,"PSFTID"),""))</f>
        <v/>
      </c>
      <c r="N53" s="90" t="str">
        <f>IF(_epmOfflineCondition_,"Other Insurance",IF(_xll.EVDES(H53,$B$1)="#NODATA","",_xll.EVDES(H53,$B$1)))</f>
        <v>Other Insurance</v>
      </c>
      <c r="O53" s="217">
        <v>1421.89</v>
      </c>
      <c r="P53" s="217">
        <v>1745.6</v>
      </c>
      <c r="Q53" s="217">
        <v>1745.61</v>
      </c>
      <c r="R53" s="217">
        <v>741.61</v>
      </c>
      <c r="S53" s="217">
        <v>741.6</v>
      </c>
      <c r="T53" s="217">
        <v>741.6</v>
      </c>
      <c r="U53" s="217">
        <v>694.06</v>
      </c>
      <c r="V53" s="217">
        <v>717.83</v>
      </c>
      <c r="W53" s="217">
        <v>717.66</v>
      </c>
      <c r="X53" s="217">
        <v>717.85</v>
      </c>
      <c r="Y53" s="217">
        <v>717.85</v>
      </c>
      <c r="Z53" s="217">
        <v>717.85</v>
      </c>
      <c r="AA53" s="217">
        <f t="shared" si="1"/>
        <v>11421.01</v>
      </c>
      <c r="AB53" s="219">
        <f t="shared" si="2"/>
        <v>2.1907257183936442E-3</v>
      </c>
      <c r="AC53" s="140"/>
      <c r="AD53" s="217">
        <v>21424</v>
      </c>
      <c r="AE53" s="219">
        <f t="shared" si="3"/>
        <v>1.6515888926813393E-3</v>
      </c>
      <c r="AF53" s="220">
        <f t="shared" si="4"/>
        <v>-10002.99</v>
      </c>
      <c r="AG53" s="217">
        <v>22614.27</v>
      </c>
      <c r="AH53" s="219">
        <f t="shared" si="5"/>
        <v>2.696672725863949E-3</v>
      </c>
      <c r="AI53" s="220">
        <f t="shared" si="6"/>
        <v>-11193.26</v>
      </c>
      <c r="AJ53" s="449">
        <f t="shared" si="7"/>
        <v>0.23640110117569135</v>
      </c>
      <c r="AK53" s="450">
        <f t="shared" si="8"/>
        <v>0.4434509024672959</v>
      </c>
      <c r="AL53" s="451">
        <f t="shared" si="9"/>
        <v>0.46937048567870487</v>
      </c>
      <c r="AM53" s="452" t="str">
        <f t="shared" si="10"/>
        <v>0.05 pts.</v>
      </c>
      <c r="AN53" s="453" t="str">
        <f t="shared" si="11"/>
        <v>-0.05 pts.</v>
      </c>
      <c r="AO53" s="11"/>
    </row>
    <row r="54" spans="1:41" x14ac:dyDescent="0.35">
      <c r="A54" s="65" t="s">
        <v>34</v>
      </c>
      <c r="B54" s="66"/>
      <c r="C54" s="11"/>
      <c r="D54" s="11"/>
      <c r="E54" s="11"/>
      <c r="F54" s="11"/>
      <c r="G54" s="11"/>
      <c r="H54" s="88" t="s">
        <v>537</v>
      </c>
      <c r="I54" s="188" t="str">
        <f>IF(_epmOfflineCondition_,"T3",_xll.EVPRO($B$1,$H54,"STYLE"))</f>
        <v>T3</v>
      </c>
      <c r="J54" s="188" t="str">
        <f>IF(_epmOfflineCondition_,"Y",_xll.EVPRO($B$1,$H54,"CALC"))</f>
        <v>Y</v>
      </c>
      <c r="K54" s="189" t="str">
        <f t="shared" si="0"/>
        <v/>
      </c>
      <c r="L54" s="190" t="str">
        <f>IF(_epmOfflineCondition_,"751000",_xll.EVPRO($B$1,H54,"JDEID"))</f>
        <v>751000</v>
      </c>
      <c r="M54" s="190" t="str">
        <f>IF(_epmOfflineCondition_,"",IF(AND(I54="N",J54="N"),_xll.EVPRO($B$1,H54,"PSFTID"),""))</f>
        <v/>
      </c>
      <c r="N54" s="190" t="str">
        <f>IF(_epmOfflineCondition_,"Total Insurance",IF(_xll.EVDES(H54,$B$1)="#NODATA","",_xll.EVDES(H54,$B$1)))</f>
        <v>Total Insurance</v>
      </c>
      <c r="O54" s="154">
        <v>60494.34</v>
      </c>
      <c r="P54" s="154">
        <v>60818.05</v>
      </c>
      <c r="Q54" s="154">
        <v>60818.06</v>
      </c>
      <c r="R54" s="154">
        <v>59814.06</v>
      </c>
      <c r="S54" s="154">
        <v>59814.01</v>
      </c>
      <c r="T54" s="154">
        <v>59894.55</v>
      </c>
      <c r="U54" s="154">
        <v>57454.69</v>
      </c>
      <c r="V54" s="154">
        <v>67236.97</v>
      </c>
      <c r="W54" s="154">
        <v>63796.41</v>
      </c>
      <c r="X54" s="154">
        <v>68295.990000000005</v>
      </c>
      <c r="Y54" s="154">
        <v>68295.990000000005</v>
      </c>
      <c r="Z54" s="154">
        <v>68296.210000000006</v>
      </c>
      <c r="AA54" s="154">
        <f t="shared" si="1"/>
        <v>755029.33</v>
      </c>
      <c r="AB54" s="155">
        <f t="shared" si="2"/>
        <v>0.14482626066981133</v>
      </c>
      <c r="AC54" s="240"/>
      <c r="AD54" s="154">
        <v>757826.88</v>
      </c>
      <c r="AE54" s="155">
        <f t="shared" si="3"/>
        <v>5.842132456979808E-2</v>
      </c>
      <c r="AF54" s="156">
        <f t="shared" si="4"/>
        <v>-2797.5500000000466</v>
      </c>
      <c r="AG54" s="154">
        <v>662426.34</v>
      </c>
      <c r="AH54" s="155">
        <f t="shared" si="5"/>
        <v>7.899202777590783E-2</v>
      </c>
      <c r="AI54" s="156">
        <f t="shared" si="6"/>
        <v>92602.989999999991</v>
      </c>
      <c r="AJ54" s="246">
        <f t="shared" si="7"/>
        <v>15.628194444444443</v>
      </c>
      <c r="AK54" s="247">
        <f t="shared" si="8"/>
        <v>15.686100347739693</v>
      </c>
      <c r="AL54" s="249">
        <f t="shared" si="9"/>
        <v>13.748990037359899</v>
      </c>
      <c r="AM54" s="433" t="str">
        <f t="shared" si="10"/>
        <v>8.64 pts.</v>
      </c>
      <c r="AN54" s="617" t="str">
        <f t="shared" si="11"/>
        <v>6.58 pts.</v>
      </c>
      <c r="AO54" s="11"/>
    </row>
    <row r="55" spans="1:41" x14ac:dyDescent="0.35">
      <c r="A55" s="65" t="s">
        <v>35</v>
      </c>
      <c r="B55" s="66"/>
      <c r="C55" s="11"/>
      <c r="D55" s="11"/>
      <c r="E55" s="11"/>
      <c r="F55" s="11"/>
      <c r="G55" s="11"/>
      <c r="H55" s="88" t="s">
        <v>545</v>
      </c>
      <c r="I55" s="610" t="str">
        <f>IF(_epmOfflineCondition_,"B1",_xll.EVPRO($B$1,$H55,"STYLE"))</f>
        <v>B1</v>
      </c>
      <c r="J55" s="610" t="str">
        <f>IF(_epmOfflineCondition_,"Y",_xll.EVPRO($B$1,$H55,"CALC"))</f>
        <v>Y</v>
      </c>
      <c r="K55" s="611" t="str">
        <f t="shared" si="0"/>
        <v/>
      </c>
      <c r="L55" s="611" t="str">
        <f>IF(_epmOfflineCondition_,"",_xll.EVPRO($B$1,H55,"JDEID"))</f>
        <v/>
      </c>
      <c r="M55" s="611" t="str">
        <f>IF(_epmOfflineCondition_,"",IF(AND(I55="N",J55="N"),_xll.EVPRO($B$1,H55,"PSFTID"),""))</f>
        <v/>
      </c>
      <c r="N55" s="611" t="str">
        <f>IF(_epmOfflineCondition_,"Other",IF(_xll.EVDES(H55,$B$1)="#NODATA","",_xll.EVDES(H55,$B$1)))</f>
        <v>Other</v>
      </c>
      <c r="O55" s="143"/>
      <c r="P55" s="143"/>
      <c r="Q55" s="143"/>
      <c r="R55" s="143"/>
      <c r="S55" s="143"/>
      <c r="T55" s="143"/>
      <c r="U55" s="143"/>
      <c r="V55" s="143"/>
      <c r="W55" s="143"/>
      <c r="X55" s="143"/>
      <c r="Y55" s="143"/>
      <c r="Z55" s="143"/>
      <c r="AA55" s="143" t="str">
        <f t="shared" si="1"/>
        <v/>
      </c>
      <c r="AB55" s="144" t="str">
        <f t="shared" si="2"/>
        <v/>
      </c>
      <c r="AC55" s="140"/>
      <c r="AD55" s="143"/>
      <c r="AE55" s="144" t="str">
        <f t="shared" si="3"/>
        <v/>
      </c>
      <c r="AF55" s="145" t="str">
        <f t="shared" si="4"/>
        <v/>
      </c>
      <c r="AG55" s="143"/>
      <c r="AH55" s="144" t="str">
        <f t="shared" si="5"/>
        <v/>
      </c>
      <c r="AI55" s="145" t="str">
        <f t="shared" si="6"/>
        <v/>
      </c>
      <c r="AJ55" s="440">
        <f t="shared" si="7"/>
        <v>0</v>
      </c>
      <c r="AK55" s="441">
        <f t="shared" si="8"/>
        <v>0</v>
      </c>
      <c r="AL55" s="442">
        <f t="shared" si="9"/>
        <v>0</v>
      </c>
      <c r="AM55" s="443">
        <f t="shared" si="10"/>
        <v>0</v>
      </c>
      <c r="AN55" s="444">
        <f t="shared" si="11"/>
        <v>0</v>
      </c>
      <c r="AO55" s="11"/>
    </row>
    <row r="56" spans="1:41" x14ac:dyDescent="0.35">
      <c r="A56" s="65" t="s">
        <v>36</v>
      </c>
      <c r="B56" s="66"/>
      <c r="C56" s="11"/>
      <c r="D56" s="11"/>
      <c r="E56" s="11"/>
      <c r="F56" s="11"/>
      <c r="G56" s="11"/>
      <c r="H56" s="88" t="s">
        <v>538</v>
      </c>
      <c r="I56" s="122" t="str">
        <f>IF(_epmOfflineCondition_,"N",_xll.EVPRO($B$1,$H56,"STYLE"))</f>
        <v>N</v>
      </c>
      <c r="J56" s="122" t="str">
        <f>IF(_epmOfflineCondition_,"N",_xll.EVPRO($B$1,$H56,"CALC"))</f>
        <v>N</v>
      </c>
      <c r="K56" s="179" t="str">
        <f t="shared" si="0"/>
        <v/>
      </c>
      <c r="L56" s="90" t="str">
        <f>IF(_epmOfflineCondition_,"801290",_xll.EVPRO($B$1,H56,"JDEID"))</f>
        <v>801290</v>
      </c>
      <c r="M56" s="90" t="str">
        <f>IF(_epmOfflineCondition_,"690850",IF(AND(I56="N",J56="N"),_xll.EVPRO($B$1,H56,"PSFTID"),""))</f>
        <v>690850</v>
      </c>
      <c r="N56" s="90" t="str">
        <f>IF(_epmOfflineCondition_,"Cost Recovery Expense (CAM)",IF(_xll.EVDES(H56,$B$1)="#NODATA","",_xll.EVDES(H56,$B$1)))</f>
        <v>Cost Recovery Expense (CAM)</v>
      </c>
      <c r="O56" s="143"/>
      <c r="P56" s="143"/>
      <c r="Q56" s="143"/>
      <c r="R56" s="143"/>
      <c r="S56" s="143"/>
      <c r="T56" s="143"/>
      <c r="U56" s="143"/>
      <c r="V56" s="143"/>
      <c r="W56" s="143"/>
      <c r="X56" s="143"/>
      <c r="Y56" s="143"/>
      <c r="Z56" s="143"/>
      <c r="AA56" s="143">
        <f t="shared" si="1"/>
        <v>0</v>
      </c>
      <c r="AB56" s="144" t="str">
        <f t="shared" si="2"/>
        <v/>
      </c>
      <c r="AC56" s="140"/>
      <c r="AD56" s="143"/>
      <c r="AE56" s="144" t="str">
        <f t="shared" si="3"/>
        <v/>
      </c>
      <c r="AF56" s="145">
        <f t="shared" si="4"/>
        <v>0</v>
      </c>
      <c r="AG56" s="143"/>
      <c r="AH56" s="144" t="str">
        <f t="shared" si="5"/>
        <v/>
      </c>
      <c r="AI56" s="145">
        <f t="shared" si="6"/>
        <v>0</v>
      </c>
      <c r="AJ56" s="440">
        <f t="shared" si="7"/>
        <v>0</v>
      </c>
      <c r="AK56" s="441">
        <f t="shared" si="8"/>
        <v>0</v>
      </c>
      <c r="AL56" s="442">
        <f t="shared" si="9"/>
        <v>0</v>
      </c>
      <c r="AM56" s="443">
        <f t="shared" si="10"/>
        <v>0</v>
      </c>
      <c r="AN56" s="444">
        <f t="shared" si="11"/>
        <v>0</v>
      </c>
      <c r="AO56" s="11"/>
    </row>
    <row r="57" spans="1:41" x14ac:dyDescent="0.35">
      <c r="A57" s="65" t="s">
        <v>37</v>
      </c>
      <c r="B57" s="66"/>
      <c r="C57" s="11"/>
      <c r="D57" s="11"/>
      <c r="E57" s="11"/>
      <c r="F57" s="11"/>
      <c r="G57" s="11"/>
      <c r="H57" s="88" t="s">
        <v>539</v>
      </c>
      <c r="I57" s="122" t="str">
        <f>IF(_epmOfflineCondition_,"N",_xll.EVPRO($B$1,$H57,"STYLE"))</f>
        <v>N</v>
      </c>
      <c r="J57" s="122" t="str">
        <f>IF(_epmOfflineCondition_,"N",_xll.EVPRO($B$1,$H57,"CALC"))</f>
        <v>N</v>
      </c>
      <c r="K57" s="179" t="str">
        <f t="shared" si="0"/>
        <v/>
      </c>
      <c r="L57" s="90" t="str">
        <f>IF(_epmOfflineCondition_,"801300",_xll.EVPRO($B$1,H57,"JDEID"))</f>
        <v>801300</v>
      </c>
      <c r="M57" s="90" t="str">
        <f>IF(_epmOfflineCondition_,"790095",IF(AND(I57="N",J57="N"),_xll.EVPRO($B$1,H57,"PSFTID"),""))</f>
        <v>790095</v>
      </c>
      <c r="N57" s="90" t="str">
        <f>IF(_epmOfflineCondition_,"Gain/Loss on Fixed Assets",IF(_xll.EVDES(H57,$B$1)="#NODATA","",_xll.EVDES(H57,$B$1)))</f>
        <v>Gain/Loss on Fixed Assets</v>
      </c>
      <c r="O57" s="143"/>
      <c r="P57" s="143"/>
      <c r="Q57" s="143"/>
      <c r="R57" s="143"/>
      <c r="S57" s="143"/>
      <c r="T57" s="143"/>
      <c r="U57" s="143"/>
      <c r="V57" s="143"/>
      <c r="W57" s="143"/>
      <c r="X57" s="143"/>
      <c r="Y57" s="143"/>
      <c r="Z57" s="143"/>
      <c r="AA57" s="143">
        <f t="shared" si="1"/>
        <v>0</v>
      </c>
      <c r="AB57" s="144" t="str">
        <f t="shared" si="2"/>
        <v/>
      </c>
      <c r="AC57" s="140"/>
      <c r="AD57" s="143"/>
      <c r="AE57" s="144" t="str">
        <f t="shared" si="3"/>
        <v/>
      </c>
      <c r="AF57" s="145">
        <f t="shared" si="4"/>
        <v>0</v>
      </c>
      <c r="AG57" s="143"/>
      <c r="AH57" s="144" t="str">
        <f t="shared" si="5"/>
        <v/>
      </c>
      <c r="AI57" s="145">
        <f t="shared" si="6"/>
        <v>0</v>
      </c>
      <c r="AJ57" s="440">
        <f t="shared" si="7"/>
        <v>0</v>
      </c>
      <c r="AK57" s="441">
        <f t="shared" si="8"/>
        <v>0</v>
      </c>
      <c r="AL57" s="442">
        <f t="shared" si="9"/>
        <v>0</v>
      </c>
      <c r="AM57" s="443">
        <f t="shared" si="10"/>
        <v>0</v>
      </c>
      <c r="AN57" s="444">
        <f t="shared" si="11"/>
        <v>0</v>
      </c>
      <c r="AO57" s="11"/>
    </row>
    <row r="58" spans="1:41" x14ac:dyDescent="0.35">
      <c r="A58" s="65" t="s">
        <v>38</v>
      </c>
      <c r="B58" s="66"/>
      <c r="C58" s="11"/>
      <c r="D58" s="11"/>
      <c r="E58" s="11"/>
      <c r="F58" s="11"/>
      <c r="G58" s="11"/>
      <c r="H58" s="88" t="s">
        <v>786</v>
      </c>
      <c r="I58" s="122" t="str">
        <f>IF(_epmOfflineCondition_,"N",_xll.EVPRO($B$1,$H58,"STYLE"))</f>
        <v>N</v>
      </c>
      <c r="J58" s="122" t="str">
        <f>IF(_epmOfflineCondition_,"N",_xll.EVPRO($B$1,$H58,"CALC"))</f>
        <v>N</v>
      </c>
      <c r="K58" s="179" t="str">
        <f t="shared" si="0"/>
        <v/>
      </c>
      <c r="L58" s="90" t="str">
        <f>IF(_epmOfflineCondition_,"801310",_xll.EVPRO($B$1,H58,"JDEID"))</f>
        <v>801310</v>
      </c>
      <c r="M58" s="90" t="str">
        <f>IF(_epmOfflineCondition_,"790083",IF(AND(I58="N",J58="N"),_xll.EVPRO($B$1,H58,"PSFTID"),""))</f>
        <v>790083</v>
      </c>
      <c r="N58" s="90" t="str">
        <f>IF(_epmOfflineCondition_,"Lease Asset Impairment",IF(_xll.EVDES(H58,$B$1)="#NODATA","",_xll.EVDES(H58,$B$1)))</f>
        <v>Lease Asset Impairment</v>
      </c>
      <c r="O58" s="143"/>
      <c r="P58" s="143"/>
      <c r="Q58" s="143"/>
      <c r="R58" s="143"/>
      <c r="S58" s="143"/>
      <c r="T58" s="143"/>
      <c r="U58" s="143"/>
      <c r="V58" s="143"/>
      <c r="W58" s="143"/>
      <c r="X58" s="143"/>
      <c r="Y58" s="143"/>
      <c r="Z58" s="143"/>
      <c r="AA58" s="143">
        <f t="shared" si="1"/>
        <v>0</v>
      </c>
      <c r="AB58" s="144" t="str">
        <f t="shared" si="2"/>
        <v/>
      </c>
      <c r="AC58" s="140"/>
      <c r="AD58" s="143"/>
      <c r="AE58" s="144" t="str">
        <f t="shared" si="3"/>
        <v/>
      </c>
      <c r="AF58" s="145">
        <f t="shared" si="4"/>
        <v>0</v>
      </c>
      <c r="AG58" s="143"/>
      <c r="AH58" s="144" t="str">
        <f t="shared" si="5"/>
        <v/>
      </c>
      <c r="AI58" s="145">
        <f t="shared" si="6"/>
        <v>0</v>
      </c>
      <c r="AJ58" s="440">
        <f t="shared" si="7"/>
        <v>0</v>
      </c>
      <c r="AK58" s="441">
        <f t="shared" si="8"/>
        <v>0</v>
      </c>
      <c r="AL58" s="442">
        <f t="shared" si="9"/>
        <v>0</v>
      </c>
      <c r="AM58" s="443">
        <f t="shared" si="10"/>
        <v>0</v>
      </c>
      <c r="AN58" s="444">
        <f t="shared" si="11"/>
        <v>0</v>
      </c>
      <c r="AO58" s="11"/>
    </row>
    <row r="59" spans="1:41" x14ac:dyDescent="0.35">
      <c r="A59" s="65" t="s">
        <v>39</v>
      </c>
      <c r="B59" s="66"/>
      <c r="C59" s="11"/>
      <c r="D59" s="11"/>
      <c r="E59" s="11"/>
      <c r="F59" s="11"/>
      <c r="G59" s="11"/>
      <c r="H59" s="88" t="s">
        <v>801</v>
      </c>
      <c r="I59" s="122" t="str">
        <f>IF(_epmOfflineCondition_,"N",_xll.EVPRO($B$1,$H59,"STYLE"))</f>
        <v>N</v>
      </c>
      <c r="J59" s="122" t="str">
        <f>IF(_epmOfflineCondition_,"N",_xll.EVPRO($B$1,$H59,"CALC"))</f>
        <v>N</v>
      </c>
      <c r="K59" s="179" t="str">
        <f t="shared" si="0"/>
        <v/>
      </c>
      <c r="L59" s="90" t="str">
        <f>IF(_epmOfflineCondition_,"801315",_xll.EVPRO($B$1,H59,"JDEID"))</f>
        <v>801315</v>
      </c>
      <c r="M59" s="90" t="str">
        <f>IF(_epmOfflineCondition_,"790082",IF(AND(I59="N",J59="N"),_xll.EVPRO($B$1,H59,"PSFTID"),""))</f>
        <v>790082</v>
      </c>
      <c r="N59" s="90" t="str">
        <f>IF(_epmOfflineCondition_,"Gain/Loss Disposal - Other Lease",IF(_xll.EVDES(H59,$B$1)="#NODATA","",_xll.EVDES(H59,$B$1)))</f>
        <v>Gain/Loss Disposal - Other Lease</v>
      </c>
      <c r="O59" s="143"/>
      <c r="P59" s="143"/>
      <c r="Q59" s="143"/>
      <c r="R59" s="143"/>
      <c r="S59" s="143"/>
      <c r="T59" s="143"/>
      <c r="U59" s="143"/>
      <c r="V59" s="143"/>
      <c r="W59" s="143"/>
      <c r="X59" s="143"/>
      <c r="Y59" s="143"/>
      <c r="Z59" s="143"/>
      <c r="AA59" s="143">
        <f t="shared" si="1"/>
        <v>0</v>
      </c>
      <c r="AB59" s="144" t="str">
        <f t="shared" si="2"/>
        <v/>
      </c>
      <c r="AC59" s="140"/>
      <c r="AD59" s="143"/>
      <c r="AE59" s="144" t="str">
        <f t="shared" si="3"/>
        <v/>
      </c>
      <c r="AF59" s="145">
        <f t="shared" si="4"/>
        <v>0</v>
      </c>
      <c r="AG59" s="143"/>
      <c r="AH59" s="144" t="str">
        <f t="shared" si="5"/>
        <v/>
      </c>
      <c r="AI59" s="145">
        <f t="shared" si="6"/>
        <v>0</v>
      </c>
      <c r="AJ59" s="440">
        <f t="shared" si="7"/>
        <v>0</v>
      </c>
      <c r="AK59" s="441">
        <f t="shared" si="8"/>
        <v>0</v>
      </c>
      <c r="AL59" s="442">
        <f t="shared" si="9"/>
        <v>0</v>
      </c>
      <c r="AM59" s="443">
        <f t="shared" si="10"/>
        <v>0</v>
      </c>
      <c r="AN59" s="444">
        <f t="shared" si="11"/>
        <v>0</v>
      </c>
      <c r="AO59" s="11"/>
    </row>
    <row r="60" spans="1:41" x14ac:dyDescent="0.35">
      <c r="A60" s="65" t="s">
        <v>40</v>
      </c>
      <c r="B60" s="66"/>
      <c r="C60" s="11"/>
      <c r="D60" s="11"/>
      <c r="E60" s="11"/>
      <c r="F60" s="11"/>
      <c r="G60" s="11"/>
      <c r="H60" s="88" t="s">
        <v>769</v>
      </c>
      <c r="I60" s="122" t="str">
        <f>IF(_epmOfflineCondition_,"T4",_xll.EVPRO($B$1,$H60,"STYLE"))</f>
        <v>T4</v>
      </c>
      <c r="J60" s="122" t="str">
        <f>IF(_epmOfflineCondition_,"Y",_xll.EVPRO($B$1,$H60,"CALC"))</f>
        <v>Y</v>
      </c>
      <c r="K60" s="179" t="str">
        <f t="shared" si="0"/>
        <v>&gt;</v>
      </c>
      <c r="L60" s="90" t="str">
        <f>IF(_epmOfflineCondition_,"",_xll.EVPRO($B$1,H60,"JDEID"))</f>
        <v/>
      </c>
      <c r="M60" s="90" t="str">
        <f>IF(_epmOfflineCondition_,"",IF(AND(I60="N",J60="N"),_xll.EVPRO($B$1,H60,"PSFTID"),""))</f>
        <v/>
      </c>
      <c r="N60" s="90" t="str">
        <f>IF(_epmOfflineCondition_,"Owner's Expense",IF(_xll.EVDES(H60,$B$1)="#NODATA","",_xll.EVDES(H60,$B$1)))</f>
        <v>Owner's Expense</v>
      </c>
      <c r="O60" s="143"/>
      <c r="P60" s="143">
        <v>3280.7</v>
      </c>
      <c r="Q60" s="143">
        <v>6137</v>
      </c>
      <c r="R60" s="143">
        <v>10484</v>
      </c>
      <c r="S60" s="143">
        <v>1567.5</v>
      </c>
      <c r="T60" s="143">
        <v>1209.5</v>
      </c>
      <c r="U60" s="143">
        <v>3275.13</v>
      </c>
      <c r="V60" s="143">
        <v>2800</v>
      </c>
      <c r="W60" s="143">
        <v>4752</v>
      </c>
      <c r="X60" s="143">
        <v>801.15</v>
      </c>
      <c r="Y60" s="143">
        <v>420</v>
      </c>
      <c r="Z60" s="143"/>
      <c r="AA60" s="143">
        <f t="shared" si="1"/>
        <v>34726.980000000003</v>
      </c>
      <c r="AB60" s="144">
        <f t="shared" si="2"/>
        <v>6.6611699147572515E-3</v>
      </c>
      <c r="AC60" s="140"/>
      <c r="AD60" s="143"/>
      <c r="AE60" s="144" t="str">
        <f t="shared" si="3"/>
        <v/>
      </c>
      <c r="AF60" s="145">
        <f t="shared" si="4"/>
        <v>34726.980000000003</v>
      </c>
      <c r="AG60" s="143">
        <v>2450</v>
      </c>
      <c r="AH60" s="144">
        <f t="shared" si="5"/>
        <v>2.9215394431775493E-4</v>
      </c>
      <c r="AI60" s="145">
        <f t="shared" si="6"/>
        <v>32276.980000000003</v>
      </c>
      <c r="AJ60" s="440">
        <f t="shared" si="7"/>
        <v>0.71880650769995036</v>
      </c>
      <c r="AK60" s="441">
        <f t="shared" si="8"/>
        <v>0</v>
      </c>
      <c r="AL60" s="442">
        <f t="shared" si="9"/>
        <v>5.0850975508509755E-2</v>
      </c>
      <c r="AM60" s="443">
        <f t="shared" si="10"/>
        <v>0</v>
      </c>
      <c r="AN60" s="444" t="str">
        <f t="shared" si="11"/>
        <v>0.64 pts.</v>
      </c>
      <c r="AO60" s="11"/>
    </row>
    <row r="61" spans="1:41" x14ac:dyDescent="0.35">
      <c r="A61" s="65" t="s">
        <v>41</v>
      </c>
      <c r="B61" s="66"/>
      <c r="C61" s="11"/>
      <c r="D61" s="11"/>
      <c r="E61" s="11"/>
      <c r="F61" s="11"/>
      <c r="G61" s="11"/>
      <c r="H61" s="88" t="s">
        <v>540</v>
      </c>
      <c r="I61" s="122" t="str">
        <f>IF(_epmOfflineCondition_,"N",_xll.EVPRO($B$1,$H61,"STYLE"))</f>
        <v>N</v>
      </c>
      <c r="J61" s="122" t="str">
        <f>IF(_epmOfflineCondition_,"N",_xll.EVPRO($B$1,$H61,"CALC"))</f>
        <v>N</v>
      </c>
      <c r="K61" s="179" t="str">
        <f t="shared" si="0"/>
        <v/>
      </c>
      <c r="L61" s="90" t="str">
        <f>IF(_epmOfflineCondition_,"801360",_xll.EVPRO($B$1,H61,"JDEID"))</f>
        <v>801360</v>
      </c>
      <c r="M61" s="90" t="str">
        <f>IF(_epmOfflineCondition_,"890125",IF(AND(I61="N",J61="N"),_xll.EVPRO($B$1,H61,"PSFTID"),""))</f>
        <v>890125</v>
      </c>
      <c r="N61" s="90" t="str">
        <f>IF(_epmOfflineCondition_,"Unrealized Foreign Exchange Gain/Loss",IF(_xll.EVDES(H61,$B$1)="#NODATA","",_xll.EVDES(H61,$B$1)))</f>
        <v>Unrealized Foreign Exchange Gain/Loss</v>
      </c>
      <c r="O61" s="143"/>
      <c r="P61" s="143"/>
      <c r="Q61" s="143"/>
      <c r="R61" s="143"/>
      <c r="S61" s="143"/>
      <c r="T61" s="143"/>
      <c r="U61" s="143"/>
      <c r="V61" s="143"/>
      <c r="W61" s="143"/>
      <c r="X61" s="143"/>
      <c r="Y61" s="143"/>
      <c r="Z61" s="143"/>
      <c r="AA61" s="143">
        <f t="shared" si="1"/>
        <v>0</v>
      </c>
      <c r="AB61" s="144" t="str">
        <f t="shared" si="2"/>
        <v/>
      </c>
      <c r="AC61" s="140"/>
      <c r="AD61" s="143"/>
      <c r="AE61" s="144" t="str">
        <f t="shared" si="3"/>
        <v/>
      </c>
      <c r="AF61" s="145">
        <f t="shared" si="4"/>
        <v>0</v>
      </c>
      <c r="AG61" s="143"/>
      <c r="AH61" s="144" t="str">
        <f t="shared" si="5"/>
        <v/>
      </c>
      <c r="AI61" s="145">
        <f t="shared" si="6"/>
        <v>0</v>
      </c>
      <c r="AJ61" s="440">
        <f t="shared" si="7"/>
        <v>0</v>
      </c>
      <c r="AK61" s="441">
        <f t="shared" si="8"/>
        <v>0</v>
      </c>
      <c r="AL61" s="442">
        <f t="shared" si="9"/>
        <v>0</v>
      </c>
      <c r="AM61" s="443">
        <f t="shared" si="10"/>
        <v>0</v>
      </c>
      <c r="AN61" s="444">
        <f t="shared" si="11"/>
        <v>0</v>
      </c>
      <c r="AO61" s="11"/>
    </row>
    <row r="62" spans="1:41" x14ac:dyDescent="0.35">
      <c r="A62" s="65" t="s">
        <v>42</v>
      </c>
      <c r="B62" s="66"/>
      <c r="C62" s="11"/>
      <c r="D62" s="11"/>
      <c r="E62" s="11"/>
      <c r="F62" s="11"/>
      <c r="G62" s="11"/>
      <c r="H62" s="88" t="s">
        <v>541</v>
      </c>
      <c r="I62" s="122" t="str">
        <f>IF(_epmOfflineCondition_,"T4",_xll.EVPRO($B$1,$H62,"STYLE"))</f>
        <v>T4</v>
      </c>
      <c r="J62" s="122" t="str">
        <f>IF(_epmOfflineCondition_,"Y",_xll.EVPRO($B$1,$H62,"CALC"))</f>
        <v>Y</v>
      </c>
      <c r="K62" s="179" t="str">
        <f t="shared" si="0"/>
        <v>&gt;</v>
      </c>
      <c r="L62" s="90" t="str">
        <f>IF(_epmOfflineCondition_,"",_xll.EVPRO($B$1,H62,"JDEID"))</f>
        <v/>
      </c>
      <c r="M62" s="90" t="str">
        <f>IF(_epmOfflineCondition_,"",IF(AND(I62="N",J62="N"),_xll.EVPRO($B$1,H62,"PSFTID"),""))</f>
        <v/>
      </c>
      <c r="N62" s="90" t="str">
        <f>IF(_epmOfflineCondition_,"Miscellaneous Other",IF(_xll.EVDES(H62,$B$1)="#NODATA","",_xll.EVDES(H62,$B$1)))</f>
        <v>Miscellaneous Other</v>
      </c>
      <c r="O62" s="217"/>
      <c r="P62" s="217"/>
      <c r="Q62" s="217"/>
      <c r="R62" s="217"/>
      <c r="S62" s="217"/>
      <c r="T62" s="217"/>
      <c r="U62" s="217"/>
      <c r="V62" s="217"/>
      <c r="W62" s="217"/>
      <c r="X62" s="217"/>
      <c r="Y62" s="217"/>
      <c r="Z62" s="217"/>
      <c r="AA62" s="217">
        <f t="shared" si="1"/>
        <v>0</v>
      </c>
      <c r="AB62" s="219" t="str">
        <f t="shared" si="2"/>
        <v/>
      </c>
      <c r="AC62" s="140"/>
      <c r="AD62" s="217"/>
      <c r="AE62" s="219" t="str">
        <f t="shared" si="3"/>
        <v/>
      </c>
      <c r="AF62" s="220">
        <f t="shared" si="4"/>
        <v>0</v>
      </c>
      <c r="AG62" s="217"/>
      <c r="AH62" s="219" t="str">
        <f t="shared" si="5"/>
        <v/>
      </c>
      <c r="AI62" s="220">
        <f t="shared" si="6"/>
        <v>0</v>
      </c>
      <c r="AJ62" s="449">
        <f t="shared" si="7"/>
        <v>0</v>
      </c>
      <c r="AK62" s="450">
        <f t="shared" si="8"/>
        <v>0</v>
      </c>
      <c r="AL62" s="451">
        <f t="shared" si="9"/>
        <v>0</v>
      </c>
      <c r="AM62" s="452">
        <f t="shared" si="10"/>
        <v>0</v>
      </c>
      <c r="AN62" s="453">
        <f t="shared" si="11"/>
        <v>0</v>
      </c>
      <c r="AO62" s="11"/>
    </row>
    <row r="63" spans="1:41" x14ac:dyDescent="0.35">
      <c r="A63" s="65" t="s">
        <v>43</v>
      </c>
      <c r="B63" s="66"/>
      <c r="C63" s="11"/>
      <c r="D63" s="11"/>
      <c r="E63" s="11"/>
      <c r="F63" s="11"/>
      <c r="G63" s="11"/>
      <c r="H63" s="88" t="s">
        <v>542</v>
      </c>
      <c r="I63" s="188" t="str">
        <f>IF(_epmOfflineCondition_,"T3",_xll.EVPRO($B$1,$H63,"STYLE"))</f>
        <v>T3</v>
      </c>
      <c r="J63" s="188" t="str">
        <f>IF(_epmOfflineCondition_,"Y",_xll.EVPRO($B$1,$H63,"CALC"))</f>
        <v>Y</v>
      </c>
      <c r="K63" s="189" t="str">
        <f t="shared" si="0"/>
        <v/>
      </c>
      <c r="L63" s="190" t="str">
        <f>IF(_epmOfflineCondition_,"801000",_xll.EVPRO($B$1,H63,"JDEID"))</f>
        <v>801000</v>
      </c>
      <c r="M63" s="190" t="str">
        <f>IF(_epmOfflineCondition_,"",IF(AND(I63="N",J63="N"),_xll.EVPRO($B$1,H63,"PSFTID"),""))</f>
        <v/>
      </c>
      <c r="N63" s="190" t="str">
        <f>IF(_epmOfflineCondition_,"Total Other",IF(_xll.EVDES(H63,$B$1)="#NODATA","",_xll.EVDES(H63,$B$1)))</f>
        <v>Total Other</v>
      </c>
      <c r="O63" s="154"/>
      <c r="P63" s="154">
        <v>3280.7</v>
      </c>
      <c r="Q63" s="154">
        <v>6137</v>
      </c>
      <c r="R63" s="154">
        <v>10484</v>
      </c>
      <c r="S63" s="154">
        <v>1567.5</v>
      </c>
      <c r="T63" s="154">
        <v>1209.5</v>
      </c>
      <c r="U63" s="154">
        <v>3275.13</v>
      </c>
      <c r="V63" s="154">
        <v>2800</v>
      </c>
      <c r="W63" s="154">
        <v>4752</v>
      </c>
      <c r="X63" s="154">
        <v>801.15</v>
      </c>
      <c r="Y63" s="154">
        <v>420</v>
      </c>
      <c r="Z63" s="154"/>
      <c r="AA63" s="154">
        <f t="shared" si="1"/>
        <v>34726.980000000003</v>
      </c>
      <c r="AB63" s="155">
        <f t="shared" si="2"/>
        <v>6.6611699147572515E-3</v>
      </c>
      <c r="AC63" s="240"/>
      <c r="AD63" s="154"/>
      <c r="AE63" s="155" t="str">
        <f t="shared" si="3"/>
        <v/>
      </c>
      <c r="AF63" s="156">
        <f t="shared" si="4"/>
        <v>34726.980000000003</v>
      </c>
      <c r="AG63" s="154">
        <v>2450</v>
      </c>
      <c r="AH63" s="155">
        <f t="shared" si="5"/>
        <v>2.9215394431775493E-4</v>
      </c>
      <c r="AI63" s="156">
        <f t="shared" si="6"/>
        <v>32276.980000000003</v>
      </c>
      <c r="AJ63" s="246">
        <f t="shared" si="7"/>
        <v>0.71880650769995036</v>
      </c>
      <c r="AK63" s="247">
        <f t="shared" si="8"/>
        <v>0</v>
      </c>
      <c r="AL63" s="249">
        <f t="shared" si="9"/>
        <v>5.0850975508509755E-2</v>
      </c>
      <c r="AM63" s="433">
        <f t="shared" si="10"/>
        <v>0</v>
      </c>
      <c r="AN63" s="617" t="str">
        <f t="shared" si="11"/>
        <v>0.64 pts.</v>
      </c>
      <c r="AO63" s="11"/>
    </row>
    <row r="64" spans="1:41" x14ac:dyDescent="0.35">
      <c r="A64" s="65" t="s">
        <v>44</v>
      </c>
      <c r="B64" s="66"/>
      <c r="C64" s="11"/>
      <c r="D64" s="11"/>
      <c r="E64" s="11"/>
      <c r="F64" s="11"/>
      <c r="G64" s="11"/>
      <c r="H64" s="88"/>
      <c r="I64" s="89"/>
      <c r="J64" s="89"/>
      <c r="K64" s="265"/>
      <c r="L64" s="106"/>
      <c r="M64" s="106"/>
      <c r="N64" s="90" t="str">
        <f>N20</f>
        <v>Net Income-Development &amp; Renovation Projects</v>
      </c>
      <c r="O64" s="91">
        <f t="shared" ref="O64:Z64" si="12">O$20</f>
        <v>0</v>
      </c>
      <c r="P64" s="91">
        <f t="shared" si="12"/>
        <v>0</v>
      </c>
      <c r="Q64" s="91">
        <f t="shared" si="12"/>
        <v>0</v>
      </c>
      <c r="R64" s="91">
        <f t="shared" si="12"/>
        <v>0</v>
      </c>
      <c r="S64" s="91">
        <f t="shared" si="12"/>
        <v>0</v>
      </c>
      <c r="T64" s="91">
        <f t="shared" si="12"/>
        <v>0</v>
      </c>
      <c r="U64" s="91">
        <f t="shared" si="12"/>
        <v>0</v>
      </c>
      <c r="V64" s="91">
        <f t="shared" si="12"/>
        <v>0</v>
      </c>
      <c r="W64" s="91">
        <f t="shared" si="12"/>
        <v>0</v>
      </c>
      <c r="X64" s="91">
        <f t="shared" si="12"/>
        <v>0</v>
      </c>
      <c r="Y64" s="91">
        <f t="shared" si="12"/>
        <v>0</v>
      </c>
      <c r="Z64" s="91">
        <f t="shared" si="12"/>
        <v>0</v>
      </c>
      <c r="AA64" s="91">
        <f t="shared" si="1"/>
        <v>0</v>
      </c>
      <c r="AB64" s="100" t="str">
        <f t="shared" si="2"/>
        <v/>
      </c>
      <c r="AC64" s="11"/>
      <c r="AD64" s="91">
        <f>AD$20</f>
        <v>0</v>
      </c>
      <c r="AE64" s="100" t="str">
        <f t="shared" si="3"/>
        <v/>
      </c>
      <c r="AF64" s="92">
        <f t="shared" si="4"/>
        <v>0</v>
      </c>
      <c r="AG64" s="91">
        <f>AG$20</f>
        <v>0</v>
      </c>
      <c r="AH64" s="100" t="str">
        <f t="shared" si="5"/>
        <v/>
      </c>
      <c r="AI64" s="92">
        <f t="shared" si="6"/>
        <v>0</v>
      </c>
      <c r="AJ64" s="402">
        <f t="shared" si="7"/>
        <v>0</v>
      </c>
      <c r="AK64" s="403">
        <f t="shared" si="8"/>
        <v>0</v>
      </c>
      <c r="AL64" s="404">
        <f t="shared" si="9"/>
        <v>0</v>
      </c>
      <c r="AM64" s="405">
        <f t="shared" si="10"/>
        <v>0</v>
      </c>
      <c r="AN64" s="406">
        <f t="shared" si="11"/>
        <v>0</v>
      </c>
      <c r="AO64" s="11"/>
    </row>
    <row r="65" spans="1:41" x14ac:dyDescent="0.35">
      <c r="A65" s="65" t="s">
        <v>45</v>
      </c>
      <c r="B65" s="66"/>
      <c r="C65" s="11"/>
      <c r="D65" s="11"/>
      <c r="E65" s="11"/>
      <c r="F65" s="11"/>
      <c r="G65" s="11"/>
      <c r="H65" s="88"/>
      <c r="I65" s="89"/>
      <c r="J65" s="89"/>
      <c r="K65" s="265"/>
      <c r="L65" s="106"/>
      <c r="M65" s="106"/>
      <c r="N65" s="106" t="s">
        <v>588</v>
      </c>
      <c r="O65" s="112">
        <f t="shared" ref="O65:Z65" si="13">O63-O64</f>
        <v>0</v>
      </c>
      <c r="P65" s="112">
        <f t="shared" si="13"/>
        <v>3280.7</v>
      </c>
      <c r="Q65" s="112">
        <f t="shared" si="13"/>
        <v>6137</v>
      </c>
      <c r="R65" s="112">
        <f t="shared" si="13"/>
        <v>10484</v>
      </c>
      <c r="S65" s="112">
        <f t="shared" si="13"/>
        <v>1567.5</v>
      </c>
      <c r="T65" s="112">
        <f t="shared" si="13"/>
        <v>1209.5</v>
      </c>
      <c r="U65" s="112">
        <f t="shared" si="13"/>
        <v>3275.13</v>
      </c>
      <c r="V65" s="112">
        <f t="shared" si="13"/>
        <v>2800</v>
      </c>
      <c r="W65" s="112">
        <f t="shared" si="13"/>
        <v>4752</v>
      </c>
      <c r="X65" s="112">
        <f t="shared" si="13"/>
        <v>801.15</v>
      </c>
      <c r="Y65" s="112">
        <f t="shared" si="13"/>
        <v>420</v>
      </c>
      <c r="Z65" s="112">
        <f t="shared" si="13"/>
        <v>0</v>
      </c>
      <c r="AA65" s="112">
        <f t="shared" si="1"/>
        <v>34726.980000000003</v>
      </c>
      <c r="AB65" s="113">
        <f t="shared" si="2"/>
        <v>6.6611699147572515E-3</v>
      </c>
      <c r="AC65" s="11"/>
      <c r="AD65" s="112">
        <f>AD63-AD64</f>
        <v>0</v>
      </c>
      <c r="AE65" s="113" t="str">
        <f t="shared" si="3"/>
        <v/>
      </c>
      <c r="AF65" s="114">
        <f t="shared" si="4"/>
        <v>34726.980000000003</v>
      </c>
      <c r="AG65" s="112">
        <f>AG63-AG64</f>
        <v>2450</v>
      </c>
      <c r="AH65" s="113">
        <f t="shared" si="5"/>
        <v>2.9215394431775493E-4</v>
      </c>
      <c r="AI65" s="114">
        <f t="shared" si="6"/>
        <v>32276.980000000003</v>
      </c>
      <c r="AJ65" s="388">
        <f t="shared" si="7"/>
        <v>0.71880650769995036</v>
      </c>
      <c r="AK65" s="389">
        <f t="shared" si="8"/>
        <v>0</v>
      </c>
      <c r="AL65" s="390">
        <f t="shared" si="9"/>
        <v>5.0850975508509755E-2</v>
      </c>
      <c r="AM65" s="391">
        <f t="shared" si="10"/>
        <v>0</v>
      </c>
      <c r="AN65" s="544" t="str">
        <f t="shared" si="11"/>
        <v>0.64 pts.</v>
      </c>
      <c r="AO65" s="11"/>
    </row>
    <row r="66" spans="1:41" x14ac:dyDescent="0.35">
      <c r="A66" s="65" t="s">
        <v>46</v>
      </c>
      <c r="B66" s="66"/>
      <c r="C66" s="11"/>
      <c r="D66" s="11"/>
      <c r="E66" s="11"/>
      <c r="F66" s="11"/>
      <c r="G66" s="11"/>
      <c r="H66" s="88" t="s">
        <v>543</v>
      </c>
      <c r="I66" s="136" t="str">
        <f>IF(_epmOfflineCondition_,"T2",_xll.EVPRO($B$1,$H66,"STYLE"))</f>
        <v>T2</v>
      </c>
      <c r="J66" s="136" t="str">
        <f>IF(_epmOfflineCondition_,"Y",_xll.EVPRO($B$1,$H66,"CALC"))</f>
        <v>Y</v>
      </c>
      <c r="K66" s="104"/>
      <c r="L66" s="59"/>
      <c r="M66" s="59"/>
      <c r="N66" s="106" t="str">
        <f>IF(_epmOfflineCondition_,"Total Non-Operating Income &amp; Expense",IF(_xll.EVDES(H66,$B$1)="#NODATA","",_xll.EVDES(H66,$B$1)))</f>
        <v>Total Non-Operating Income &amp; Expense</v>
      </c>
      <c r="O66" s="112">
        <f t="shared" ref="O66:Z66" si="14">O37+O41+O47+O54+O63-O64</f>
        <v>105583.67999999999</v>
      </c>
      <c r="P66" s="112">
        <f t="shared" si="14"/>
        <v>110305.68000000001</v>
      </c>
      <c r="Q66" s="112">
        <f t="shared" si="14"/>
        <v>112744.28</v>
      </c>
      <c r="R66" s="112">
        <f t="shared" si="14"/>
        <v>132171.22</v>
      </c>
      <c r="S66" s="112">
        <f t="shared" si="14"/>
        <v>106555.29000000001</v>
      </c>
      <c r="T66" s="112">
        <f t="shared" si="14"/>
        <v>106664.77</v>
      </c>
      <c r="U66" s="112">
        <f t="shared" si="14"/>
        <v>106362.12</v>
      </c>
      <c r="V66" s="112">
        <f t="shared" si="14"/>
        <v>115874.91</v>
      </c>
      <c r="W66" s="112">
        <f t="shared" si="14"/>
        <v>114454.41</v>
      </c>
      <c r="X66" s="112">
        <f t="shared" si="14"/>
        <v>116024.92</v>
      </c>
      <c r="Y66" s="112">
        <f t="shared" si="14"/>
        <v>114670.01000000001</v>
      </c>
      <c r="Z66" s="112">
        <f t="shared" si="14"/>
        <v>113914.56</v>
      </c>
      <c r="AA66" s="112">
        <f t="shared" si="1"/>
        <v>1355325.85</v>
      </c>
      <c r="AB66" s="113">
        <f t="shared" si="2"/>
        <v>0.25997238391339528</v>
      </c>
      <c r="AC66" s="11"/>
      <c r="AD66" s="112">
        <f>AD37+AD41+AD47+AD54+AD63-AD64</f>
        <v>1320124.8</v>
      </c>
      <c r="AE66" s="113">
        <f t="shared" si="3"/>
        <v>0.10176920540670158</v>
      </c>
      <c r="AF66" s="114">
        <f t="shared" si="4"/>
        <v>35201.050000000047</v>
      </c>
      <c r="AG66" s="112">
        <f>AG37+AG41+AG47+AG54+AG63-AG64</f>
        <v>1222997.4100000001</v>
      </c>
      <c r="AH66" s="113">
        <f t="shared" si="5"/>
        <v>0.14583817029465246</v>
      </c>
      <c r="AI66" s="114">
        <f t="shared" si="6"/>
        <v>132328.43999999994</v>
      </c>
      <c r="AJ66" s="612">
        <f t="shared" si="7"/>
        <v>28.053606764364964</v>
      </c>
      <c r="AK66" s="613">
        <f t="shared" si="8"/>
        <v>27.324987580725285</v>
      </c>
      <c r="AL66" s="614">
        <f t="shared" si="9"/>
        <v>25.383922997094235</v>
      </c>
      <c r="AM66" s="615" t="str">
        <f t="shared" si="10"/>
        <v>15.82 pts.</v>
      </c>
      <c r="AN66" s="616" t="str">
        <f t="shared" si="11"/>
        <v>11.41 pts.</v>
      </c>
      <c r="AO66" s="11"/>
    </row>
    <row r="67" spans="1:41" x14ac:dyDescent="0.35">
      <c r="A67" s="11"/>
      <c r="B67" s="11"/>
      <c r="C67" s="11"/>
      <c r="D67" s="11"/>
      <c r="E67" s="11"/>
      <c r="F67" s="11"/>
      <c r="G67" s="11"/>
      <c r="H67" s="11"/>
      <c r="I67" s="59"/>
      <c r="J67" s="59"/>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c r="B80" s="11"/>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sheetData>
  <sheetProtection algorithmName="SHA-512" hashValue="LtkUq0+mZRpADniQBqoIwVPg4HrzlPMxjdCnT9HiHVNMslNYtAchf3UF6i332Tuz3quUEWy0vbStmfeigni8Rw==" saltValue="cdieHB73MkjM69/vUoxmUA==" spinCount="100000" sheet="1" scenarios="1"/>
  <mergeCells count="2">
    <mergeCell ref="AD31:AE31"/>
    <mergeCell ref="AG31:AH31"/>
  </mergeCells>
  <dataValidations disablePrompts="1" count="2">
    <dataValidation type="list" allowBlank="1" sqref="B28" xr:uid="{00000000-0002-0000-2D00-000000000000}">
      <formula1>"ACCOUNT,BUSINESSUNIT,CATEGORY,DATASRC,DEPARTMENT,INTCO,MEASURES,RPTCURRENCY,TIME"</formula1>
    </dataValidation>
    <dataValidation type="list" allowBlank="1" sqref="B29" xr:uid="{00000000-0002-0000-2D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2467"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2467" r:id="rId7" name="FPMExcelClientSheetOptionstb1"/>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0">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554</v>
      </c>
      <c r="C2" s="11" t="str">
        <f>IF(_epmOfflineCondition_,"POD Allocation Out Account",_xll.EVDES(B2,$B$1))</f>
        <v>POD Allocation Out Account</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552</v>
      </c>
      <c r="C6" s="11" t="str">
        <f>IF(_epmOfflineCondition_,"House Laundry",_xll.EVDES(B6,$B$1))</f>
        <v>House Laundry</v>
      </c>
      <c r="D6" s="11"/>
      <c r="E6" s="58" t="str">
        <f>IF(_epmOfflineCondition_,"D1228",_xll.EVPRO($B$1,$B$6,$F$6))</f>
        <v>D1228</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IF(_epmOfflineCondition_,"'Laundry'!$B$2:$B$10",_xll.EVRNG($B$2:$B$10))</f>
        <v>'Laundry'!$B$2:$B$10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IF(_epmOfflineCondition_,"'Laundry'!$O$16:$AN$18",_xll.EVRNG($O$16:$AN$18))</f>
        <v>'Laundry'!$O$16:$AN$18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IF(_epmOfflineCondition_,"'Laundry'!$H$35:$H$36,'Laundry'!$H$38:$H$39,'Laundry'!$H$42:$H$43",_xll.EVRNG(H35:H36,H38:H39,H42:H43))</f>
        <v>'Laundry'!$H$35:$H$36,'Laundry'!$H$38:$H$39,'Laundry'!$H$42:$H$43</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IF(_epmOfflineCondition_,"'Laundry'!$A$36:$F$42",_xll.EVRNG(A36:F42))</f>
        <v>'Laundry'!$A$36:$F$42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IF(_epmOfflineCondition_,"'Laundry'!$A$81:$B$102",_xll.EVRNG($A$81:$B$102))</f>
        <v>'Laundry'!$A$81:$B$102</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IF(_epmOfflineCondition_,"House Laundry Department",IF(_xll.EVDES(B6,$B$1)="#NODATA","",_xll.EVDES(B6,$B$1)&amp;" Department"))</f>
        <v>House Laundry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746</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hidden="1" x14ac:dyDescent="0.35">
      <c r="A35" s="97" t="s">
        <v>92</v>
      </c>
      <c r="B35" s="98" t="s">
        <v>93</v>
      </c>
      <c r="C35" s="98" t="s">
        <v>94</v>
      </c>
      <c r="D35" s="98" t="s">
        <v>95</v>
      </c>
      <c r="E35" s="98" t="s">
        <v>96</v>
      </c>
      <c r="F35" s="99" t="s">
        <v>97</v>
      </c>
      <c r="G35" s="11"/>
      <c r="H35" s="88" t="s">
        <v>667</v>
      </c>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216"/>
      <c r="P35" s="216"/>
      <c r="Q35" s="216"/>
      <c r="R35" s="216"/>
      <c r="S35" s="216"/>
      <c r="T35" s="216"/>
      <c r="U35" s="216"/>
      <c r="V35" s="216"/>
      <c r="W35" s="216"/>
      <c r="X35" s="216"/>
      <c r="Y35" s="216"/>
      <c r="Z35" s="216"/>
      <c r="AA35" s="217">
        <f>IF($I35="B1","",SUM(O35:Z35))</f>
        <v>0</v>
      </c>
      <c r="AB35" s="218" t="str">
        <f>IF(AA35=0,"",IFERROR(AA35/AA$19,""))</f>
        <v/>
      </c>
      <c r="AC35" s="140"/>
      <c r="AD35" s="217"/>
      <c r="AE35" s="219" t="str">
        <f>IF(AD35=0,"",IFERROR(AD35/AD$19,""))</f>
        <v/>
      </c>
      <c r="AF35" s="220">
        <f>IF(AND($AA35="",AD35=""),"",$AA35-AD35)</f>
        <v>0</v>
      </c>
      <c r="AG35" s="217"/>
      <c r="AH35" s="219" t="str">
        <f>IF(AG35=0,"",IFERROR(AG35/AG$19,""))</f>
        <v/>
      </c>
      <c r="AI35" s="220">
        <f>IF(AND($AA35="",AG35=""),"",$AA35-AG35)</f>
        <v>0</v>
      </c>
      <c r="AJ35" s="440">
        <f>IFERROR(AA35/AA$20,0)</f>
        <v>0</v>
      </c>
      <c r="AK35" s="441">
        <f>IFERROR(AD35/AD$20,0)</f>
        <v>0</v>
      </c>
      <c r="AL35" s="442">
        <f>IFERROR(AG35/AG$20,0)</f>
        <v>0</v>
      </c>
      <c r="AM35" s="443">
        <f>+IFERROR(ROUND(($AB35-AE35)*100,2)&amp;" pts.",0)</f>
        <v>0</v>
      </c>
      <c r="AN35" s="444">
        <f>+IFERROR(ROUND(($AB35-AH35)*100,2)&amp;" pts.",0)</f>
        <v>0</v>
      </c>
      <c r="AO35" s="11"/>
    </row>
    <row r="36" spans="1:41" hidden="1" x14ac:dyDescent="0.35">
      <c r="A36" s="11"/>
      <c r="B36" s="11"/>
      <c r="C36" s="11"/>
      <c r="D36" s="11"/>
      <c r="E36" s="11"/>
      <c r="F36" s="11"/>
      <c r="G36" s="11"/>
      <c r="H36" s="88"/>
      <c r="I36" s="122" t="str">
        <f>IF(_epmOfflineCondition_,"",_xll.EVPRO($B$1,$H36,"STYLE"))</f>
        <v/>
      </c>
      <c r="J36" s="122" t="str">
        <f>IF(_epmOfflineCondition_,"",_xll.EVPRO($B$1,$H36,"CALC"))</f>
        <v/>
      </c>
      <c r="K36" s="179" t="str">
        <f>IF(AND(I36&gt;="T3"),"&gt;","")</f>
        <v/>
      </c>
      <c r="L36" s="90" t="str">
        <f>IF(_epmOfflineCondition_,"",_xll.EVPRO($B$1,H36,"JDEID"))</f>
        <v/>
      </c>
      <c r="M36" s="90" t="str">
        <f>IF(_epmOfflineCondition_,"",IF(AND(I36="N",J36="N"),_xll.EVPRO($B$1,H36,"PSFTID"),""))</f>
        <v/>
      </c>
      <c r="N36" s="90" t="str">
        <f>IF(_epmOfflineCondition_,"",IF(_xll.EVDES(H36,$B$1)="#NODATA","",_xll.EVDES(H36,$B$1)))</f>
        <v/>
      </c>
      <c r="O36" s="216"/>
      <c r="P36" s="216"/>
      <c r="Q36" s="216"/>
      <c r="R36" s="216"/>
      <c r="S36" s="216"/>
      <c r="T36" s="216"/>
      <c r="U36" s="216"/>
      <c r="V36" s="216"/>
      <c r="W36" s="216"/>
      <c r="X36" s="216"/>
      <c r="Y36" s="216"/>
      <c r="Z36" s="216"/>
      <c r="AA36" s="217">
        <f>IF($I36="B1","",SUM(O36:Z36))</f>
        <v>0</v>
      </c>
      <c r="AB36" s="218" t="str">
        <f>IF(AA36=0,"",IFERROR(AA36/AA$19,""))</f>
        <v/>
      </c>
      <c r="AC36" s="140"/>
      <c r="AD36" s="217"/>
      <c r="AE36" s="219" t="str">
        <f>IF(AD36=0,"",IFERROR(AD36/AD$19,""))</f>
        <v/>
      </c>
      <c r="AF36" s="220">
        <f>IF(AND($AA36="",AD36=""),"",$AA36-AD36)</f>
        <v>0</v>
      </c>
      <c r="AG36" s="217"/>
      <c r="AH36" s="219" t="str">
        <f>IF(AG36=0,"",IFERROR(AG36/AG$19,""))</f>
        <v/>
      </c>
      <c r="AI36" s="220">
        <f>IF(AND($AA36="",AG36=""),"",$AA36-AG36)</f>
        <v>0</v>
      </c>
      <c r="AJ36" s="440">
        <f>IFERROR(AA36/AA$20,0)</f>
        <v>0</v>
      </c>
      <c r="AK36" s="441">
        <f>IFERROR(AD36/AD$20,0)</f>
        <v>0</v>
      </c>
      <c r="AL36" s="442">
        <f>IFERROR(AG36/AG$20,0)</f>
        <v>0</v>
      </c>
      <c r="AM36" s="443">
        <f>+IFERROR(ROUND(($AB36-AE36)*100,2)&amp;" pts.",0)</f>
        <v>0</v>
      </c>
      <c r="AN36" s="444">
        <f>+IFERROR(ROUND(($AB36-AH36)*100,2)&amp;" pts.",0)</f>
        <v>0</v>
      </c>
      <c r="AO36" s="11"/>
    </row>
    <row r="37" spans="1:41" x14ac:dyDescent="0.3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IF(AND(I37&gt;="T3"),"&gt;","")</f>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91" t="str">
        <f>IF($I37="B1","",SUM(O37:Z37))</f>
        <v/>
      </c>
      <c r="AB37" s="198" t="str">
        <f>IF(AA37=0,"",IFERROR(AA37/AA$19,""))</f>
        <v/>
      </c>
      <c r="AC37" s="11"/>
      <c r="AD37" s="91"/>
      <c r="AE37" s="100" t="str">
        <f>IF(AD37=0,"",IFERROR(AD37/AD$19,""))</f>
        <v/>
      </c>
      <c r="AF37" s="92" t="str">
        <f>IF(AND($AA37="",AD37=""),"",$AA37-AD37)</f>
        <v/>
      </c>
      <c r="AG37" s="91"/>
      <c r="AH37" s="100" t="str">
        <f>IF(AG37=0,"",IFERROR(AG37/AG$19,""))</f>
        <v/>
      </c>
      <c r="AI37" s="92" t="str">
        <f>IF(AND($AA37="",AG37=""),"",$AA37-AG37)</f>
        <v/>
      </c>
      <c r="AJ37" s="397">
        <f>IFERROR(AA37/AA$20,0)</f>
        <v>0</v>
      </c>
      <c r="AK37" s="398">
        <f>IFERROR(AD37/AD$20,0)</f>
        <v>0</v>
      </c>
      <c r="AL37" s="399">
        <f>IFERROR(AG37/AG$20,0)</f>
        <v>0</v>
      </c>
      <c r="AM37" s="400">
        <f>+IFERROR(ROUND(($AB37-AE37)*100,2)&amp;" pts.",0)</f>
        <v>0</v>
      </c>
      <c r="AN37" s="401">
        <f>+IFERROR(ROUND(($AB37-AH37)*100,2)&amp;" pts.",0)</f>
        <v>0</v>
      </c>
      <c r="AO37" s="11"/>
    </row>
    <row r="38" spans="1:41" hidden="1" x14ac:dyDescent="0.35">
      <c r="A38" s="11" t="s">
        <v>100</v>
      </c>
      <c r="B38" s="11"/>
      <c r="C38" s="53" t="s">
        <v>101</v>
      </c>
      <c r="D38" s="11" t="s">
        <v>106</v>
      </c>
      <c r="E38" s="11"/>
      <c r="F38" s="11" t="s">
        <v>98</v>
      </c>
      <c r="G38" s="11"/>
      <c r="H38" s="88" t="s">
        <v>667</v>
      </c>
      <c r="I38" s="122" t="str">
        <f>IF(_epmOfflineCondition_,"",_xll.EVPRO($B$1,$H38,"STYLE"))</f>
        <v/>
      </c>
      <c r="J38" s="122" t="str">
        <f>IF(_epmOfflineCondition_,"",_xll.EVPRO($B$1,$H38,"CALC"))</f>
        <v/>
      </c>
      <c r="K38" s="179" t="str">
        <f>IF(AND(I38&gt;="T3"),"&gt;","")</f>
        <v/>
      </c>
      <c r="L38" s="90" t="str">
        <f>IF(_epmOfflineCondition_,"",_xll.EVPRO($B$1,H38,"JDEID"))</f>
        <v/>
      </c>
      <c r="M38" s="90" t="str">
        <f>IF(_epmOfflineCondition_,"",IF(AND(I38="N",J38="N"),_xll.EVPRO($B$1,H38,"PSFTID"),""))</f>
        <v/>
      </c>
      <c r="N38" s="90" t="str">
        <f>IF(_epmOfflineCondition_,"",IF(_xll.EVDES(H38,$B$1)="#NODATA","",_xll.EVDES(H38,$B$1)))</f>
        <v/>
      </c>
      <c r="O38" s="216"/>
      <c r="P38" s="216"/>
      <c r="Q38" s="216"/>
      <c r="R38" s="216"/>
      <c r="S38" s="216"/>
      <c r="T38" s="216"/>
      <c r="U38" s="216"/>
      <c r="V38" s="216"/>
      <c r="W38" s="216"/>
      <c r="X38" s="216"/>
      <c r="Y38" s="216"/>
      <c r="Z38" s="216"/>
      <c r="AA38" s="217">
        <f>IF($I38="B1","",SUM(O38:Z38))</f>
        <v>0</v>
      </c>
      <c r="AB38" s="218" t="str">
        <f>IF(AA38=0,"",IFERROR(AA38/AA$19,""))</f>
        <v/>
      </c>
      <c r="AC38" s="140"/>
      <c r="AD38" s="217"/>
      <c r="AE38" s="219" t="str">
        <f>IF(AD38=0,"",IFERROR(AD38/AD$19,""))</f>
        <v/>
      </c>
      <c r="AF38" s="220">
        <f>IF(AND($AA38="",AD38=""),"",$AA38-AD38)</f>
        <v>0</v>
      </c>
      <c r="AG38" s="217"/>
      <c r="AH38" s="219" t="str">
        <f>IF(AG38=0,"",IFERROR(AG38/AG$19,""))</f>
        <v/>
      </c>
      <c r="AI38" s="220">
        <f>IF(AND($AA38="",AG38=""),"",$AA38-AG38)</f>
        <v>0</v>
      </c>
      <c r="AJ38" s="449">
        <f>IFERROR(AA38/AA$20,0)</f>
        <v>0</v>
      </c>
      <c r="AK38" s="450">
        <f>IFERROR(AD38/AD$20,0)</f>
        <v>0</v>
      </c>
      <c r="AL38" s="451">
        <f>IFERROR(AG38/AG$20,0)</f>
        <v>0</v>
      </c>
      <c r="AM38" s="452">
        <f>+IFERROR(ROUND(($AB38-AE38)*100,2)&amp;" pts.",0)</f>
        <v>0</v>
      </c>
      <c r="AN38" s="453">
        <f>+IFERROR(ROUND(($AB38-AH38)*100,2)&amp;" pts.",0)</f>
        <v>0</v>
      </c>
      <c r="AO38" s="11"/>
    </row>
    <row r="39" spans="1:41" hidden="1" x14ac:dyDescent="0.35">
      <c r="A39" s="11" t="s">
        <v>109</v>
      </c>
      <c r="B39" s="11"/>
      <c r="C39" s="106" t="s">
        <v>101</v>
      </c>
      <c r="D39" s="11" t="s">
        <v>106</v>
      </c>
      <c r="E39" s="11"/>
      <c r="F39" s="11" t="s">
        <v>98</v>
      </c>
      <c r="G39" s="11"/>
      <c r="H39" s="88"/>
      <c r="I39" s="122" t="str">
        <f>IF(_epmOfflineCondition_,"",_xll.EVPRO($B$1,$H39,"STYLE"))</f>
        <v/>
      </c>
      <c r="J39" s="122" t="str">
        <f>IF(_epmOfflineCondition_,"",_xll.EVPRO($B$1,$H39,"CALC"))</f>
        <v/>
      </c>
      <c r="K39" s="179" t="str">
        <f>IF(AND(I39&gt;="T3"),"&gt;","")</f>
        <v/>
      </c>
      <c r="L39" s="90" t="str">
        <f>IF(_epmOfflineCondition_,"",_xll.EVPRO($B$1,H39,"JDEID"))</f>
        <v/>
      </c>
      <c r="M39" s="90" t="str">
        <f>IF(_epmOfflineCondition_,"",IF(AND(I39="N",J39="N"),_xll.EVPRO($B$1,H39,"PSFTID"),""))</f>
        <v/>
      </c>
      <c r="N39" s="90" t="str">
        <f>IF(_epmOfflineCondition_,"",IF(_xll.EVDES(H39,$B$1)="#NODATA","",_xll.EVDES(H39,$B$1)))</f>
        <v/>
      </c>
      <c r="O39" s="216"/>
      <c r="P39" s="216"/>
      <c r="Q39" s="216"/>
      <c r="R39" s="216"/>
      <c r="S39" s="216"/>
      <c r="T39" s="216"/>
      <c r="U39" s="216"/>
      <c r="V39" s="216"/>
      <c r="W39" s="216"/>
      <c r="X39" s="216"/>
      <c r="Y39" s="216"/>
      <c r="Z39" s="216"/>
      <c r="AA39" s="217">
        <f>IF($I39="B1","",SUM(O39:Z39))</f>
        <v>0</v>
      </c>
      <c r="AB39" s="218" t="str">
        <f>IF(AA39=0,"",IFERROR(AA39/AA$19,""))</f>
        <v/>
      </c>
      <c r="AC39" s="140"/>
      <c r="AD39" s="217"/>
      <c r="AE39" s="219" t="str">
        <f>IF(AD39=0,"",IFERROR(AD39/AD$19,""))</f>
        <v/>
      </c>
      <c r="AF39" s="220">
        <f>IF(AND($AA39="",AD39=""),"",$AA39-AD39)</f>
        <v>0</v>
      </c>
      <c r="AG39" s="217"/>
      <c r="AH39" s="219" t="str">
        <f>IF(AG39=0,"",IFERROR(AG39/AG$19,""))</f>
        <v/>
      </c>
      <c r="AI39" s="220">
        <f>IF(AND($AA39="",AG39=""),"",$AA39-AG39)</f>
        <v>0</v>
      </c>
      <c r="AJ39" s="449">
        <f>IFERROR(AA39/AA$20,0)</f>
        <v>0</v>
      </c>
      <c r="AK39" s="450">
        <f>IFERROR(AD39/AD$20,0)</f>
        <v>0</v>
      </c>
      <c r="AL39" s="451">
        <f>IFERROR(AG39/AG$20,0)</f>
        <v>0</v>
      </c>
      <c r="AM39" s="452">
        <f>+IFERROR(ROUND(($AB39-AE39)*100,2)&amp;" pts.",0)</f>
        <v>0</v>
      </c>
      <c r="AN39" s="453">
        <f>+IFERROR(ROUND(($AB39-AH39)*100,2)&amp;" pts.",0)</f>
        <v>0</v>
      </c>
      <c r="AO39" s="11"/>
    </row>
    <row r="40" spans="1:41" x14ac:dyDescent="0.35">
      <c r="A40" s="11" t="s">
        <v>109</v>
      </c>
      <c r="B40" s="11"/>
      <c r="C40" s="196" t="s">
        <v>101</v>
      </c>
      <c r="D40" s="11" t="s">
        <v>107</v>
      </c>
      <c r="E40" s="11"/>
      <c r="F40" s="11" t="s">
        <v>99</v>
      </c>
      <c r="G40" s="11"/>
      <c r="H40" s="106"/>
      <c r="I40" s="106"/>
      <c r="J40" s="106"/>
      <c r="K40" s="106"/>
      <c r="L40" s="106"/>
      <c r="M40" s="106"/>
      <c r="N40" s="106"/>
      <c r="O40" s="129"/>
      <c r="P40" s="130"/>
      <c r="Q40" s="130"/>
      <c r="R40" s="130"/>
      <c r="S40" s="130"/>
      <c r="T40" s="130"/>
      <c r="U40" s="130"/>
      <c r="V40" s="130"/>
      <c r="W40" s="130"/>
      <c r="X40" s="130"/>
      <c r="Y40" s="130"/>
      <c r="Z40" s="130"/>
      <c r="AA40" s="130"/>
      <c r="AB40" s="131"/>
      <c r="AC40" s="11"/>
      <c r="AD40" s="129"/>
      <c r="AE40" s="130"/>
      <c r="AF40" s="131"/>
      <c r="AG40" s="129"/>
      <c r="AH40" s="130"/>
      <c r="AI40" s="131"/>
      <c r="AJ40" s="11"/>
      <c r="AK40" s="11"/>
      <c r="AL40" s="11"/>
      <c r="AM40" s="11"/>
      <c r="AN40" s="11"/>
      <c r="AO40" s="11"/>
    </row>
    <row r="41" spans="1:41" x14ac:dyDescent="0.35">
      <c r="A41" s="11" t="s">
        <v>110</v>
      </c>
      <c r="B41" s="11"/>
      <c r="C41" s="106" t="s">
        <v>101</v>
      </c>
      <c r="D41" s="11" t="s">
        <v>106</v>
      </c>
      <c r="E41" s="11"/>
      <c r="F41" s="11" t="s">
        <v>98</v>
      </c>
      <c r="G41" s="11"/>
      <c r="H41" s="11" t="s">
        <v>82</v>
      </c>
      <c r="I41" s="59" t="str">
        <f>IF(_epmOfflineCondition_,"B1",_xll.EVPRO($B$1,$H41,"STYLE"))</f>
        <v>B1</v>
      </c>
      <c r="J41" s="59" t="str">
        <f>IF(_epmOfflineCondition_,"Y",_xll.EVPRO($B$1,$H41,"CALC"))</f>
        <v>Y</v>
      </c>
      <c r="K41" s="11"/>
      <c r="L41" s="11"/>
      <c r="M41" s="11"/>
      <c r="N41" s="105" t="str">
        <f>IF(_epmOfflineCondition_,"Other Expenses",IF(_xll.EVDES(H41,$B$1)="#NODATA","",_xll.EVDES(H41,$B$1)))</f>
        <v>Other Expenses</v>
      </c>
      <c r="O41" s="119"/>
      <c r="P41" s="120"/>
      <c r="Q41" s="120"/>
      <c r="R41" s="120"/>
      <c r="S41" s="120"/>
      <c r="T41" s="120"/>
      <c r="U41" s="120"/>
      <c r="V41" s="120"/>
      <c r="W41" s="120"/>
      <c r="X41" s="120"/>
      <c r="Y41" s="120"/>
      <c r="Z41" s="120"/>
      <c r="AA41" s="120"/>
      <c r="AB41" s="121"/>
      <c r="AC41" s="11"/>
      <c r="AD41" s="119"/>
      <c r="AE41" s="120"/>
      <c r="AF41" s="121"/>
      <c r="AG41" s="119"/>
      <c r="AH41" s="120"/>
      <c r="AI41" s="121"/>
      <c r="AJ41" s="11"/>
      <c r="AK41" s="11"/>
      <c r="AL41" s="11"/>
      <c r="AM41" s="11"/>
      <c r="AN41" s="11"/>
      <c r="AO41" s="11"/>
    </row>
    <row r="42" spans="1:41" hidden="1" x14ac:dyDescent="0.35">
      <c r="A42" s="11" t="s">
        <v>110</v>
      </c>
      <c r="B42" s="11"/>
      <c r="C42" s="109" t="s">
        <v>101</v>
      </c>
      <c r="D42" s="11" t="s">
        <v>107</v>
      </c>
      <c r="E42" s="11"/>
      <c r="F42" s="11" t="s">
        <v>99</v>
      </c>
      <c r="G42" s="11"/>
      <c r="H42" s="88" t="s">
        <v>667</v>
      </c>
      <c r="I42" s="122" t="str">
        <f>IF(_epmOfflineCondition_,"",_xll.EVPRO($B$1,$H42,"STYLE"))</f>
        <v/>
      </c>
      <c r="J42" s="122" t="str">
        <f>IF(_epmOfflineCondition_,"",_xll.EVPRO($B$1,$H42,"CALC"))</f>
        <v/>
      </c>
      <c r="K42" s="179" t="str">
        <f>IF(AND(I42&gt;="T3"),"&gt;","")</f>
        <v/>
      </c>
      <c r="L42" s="90" t="str">
        <f>IF(_epmOfflineCondition_,"",_xll.EVPRO($B$1,H42,"JDEID"))</f>
        <v/>
      </c>
      <c r="M42" s="90" t="str">
        <f>IF(_epmOfflineCondition_,"",IF(AND(I42="N",J42="N"),_xll.EVPRO($B$1,H42,"PSFTID"),""))</f>
        <v/>
      </c>
      <c r="N42" s="90" t="str">
        <f>IF(_epmOfflineCondition_,"",IF(_xll.EVDES(H42,$B$1)="#NODATA","",_xll.EVDES(H42,$B$1)))</f>
        <v/>
      </c>
      <c r="O42" s="143"/>
      <c r="P42" s="143"/>
      <c r="Q42" s="143"/>
      <c r="R42" s="143"/>
      <c r="S42" s="143"/>
      <c r="T42" s="143"/>
      <c r="U42" s="143"/>
      <c r="V42" s="143"/>
      <c r="W42" s="143"/>
      <c r="X42" s="143"/>
      <c r="Y42" s="143"/>
      <c r="Z42" s="143"/>
      <c r="AA42" s="143">
        <f>IF($I42="B1","",SUM(O42:Z42))</f>
        <v>0</v>
      </c>
      <c r="AB42" s="144" t="str">
        <f>IF(AA42=0,"",IFERROR(AA42/AA$19,""))</f>
        <v/>
      </c>
      <c r="AC42" s="140"/>
      <c r="AD42" s="143"/>
      <c r="AE42" s="144" t="str">
        <f>IF(AD42=0,"",IFERROR(AD42/AD$19,""))</f>
        <v/>
      </c>
      <c r="AF42" s="145">
        <f>IF(AND($AA42="",AD42=""),"",$AA42-AD42)</f>
        <v>0</v>
      </c>
      <c r="AG42" s="143"/>
      <c r="AH42" s="144" t="str">
        <f>IF(AG42=0,"",IFERROR(AG42/AG$19,""))</f>
        <v/>
      </c>
      <c r="AI42" s="145">
        <f>IF(AND($AA42="",AG42=""),"",$AA42-AG42)</f>
        <v>0</v>
      </c>
      <c r="AJ42" s="440">
        <f>IFERROR(AA42/AA$20,0)</f>
        <v>0</v>
      </c>
      <c r="AK42" s="441">
        <f>IFERROR(AD42/AD$20,0)</f>
        <v>0</v>
      </c>
      <c r="AL42" s="442">
        <f>IFERROR(AG42/AG$20,0)</f>
        <v>0</v>
      </c>
      <c r="AM42" s="443">
        <f>+IFERROR(ROUND(($AB42-AE42)*100,2)&amp;" pts.",0)</f>
        <v>0</v>
      </c>
      <c r="AN42" s="444">
        <f>+IFERROR(ROUND(($AB42-AH42)*100,2)&amp;" pts.",0)</f>
        <v>0</v>
      </c>
      <c r="AO42" s="11"/>
    </row>
    <row r="43" spans="1:41" hidden="1" x14ac:dyDescent="0.35">
      <c r="A43" s="11"/>
      <c r="B43" s="11"/>
      <c r="C43" s="208"/>
      <c r="D43" s="11"/>
      <c r="E43" s="11"/>
      <c r="F43" s="11"/>
      <c r="G43" s="11"/>
      <c r="H43" s="88"/>
      <c r="I43" s="122" t="str">
        <f>IF(_epmOfflineCondition_,"",_xll.EVPRO($B$1,$H43,"STYLE"))</f>
        <v/>
      </c>
      <c r="J43" s="122" t="str">
        <f>IF(_epmOfflineCondition_,"",_xll.EVPRO($B$1,$H43,"CALC"))</f>
        <v/>
      </c>
      <c r="K43" s="179" t="str">
        <f>IF(AND(I43&gt;="T3"),"&gt;","")</f>
        <v/>
      </c>
      <c r="L43" s="90" t="str">
        <f>IF(_epmOfflineCondition_,"",_xll.EVPRO($B$1,H43,"JDEID"))</f>
        <v/>
      </c>
      <c r="M43" s="90" t="str">
        <f>IF(_epmOfflineCondition_,"",IF(AND(I43="N",J43="N"),_xll.EVPRO($B$1,H43,"PSFTID"),""))</f>
        <v/>
      </c>
      <c r="N43" s="90" t="str">
        <f>IF(_epmOfflineCondition_,"",IF(_xll.EVDES(H43,$B$1)="#NODATA","",_xll.EVDES(H43,$B$1)))</f>
        <v/>
      </c>
      <c r="O43" s="143"/>
      <c r="P43" s="143"/>
      <c r="Q43" s="143"/>
      <c r="R43" s="143"/>
      <c r="S43" s="143"/>
      <c r="T43" s="143"/>
      <c r="U43" s="143"/>
      <c r="V43" s="143"/>
      <c r="W43" s="143"/>
      <c r="X43" s="143"/>
      <c r="Y43" s="143"/>
      <c r="Z43" s="143"/>
      <c r="AA43" s="143">
        <f>IF($I43="B1","",SUM(O43:Z43))</f>
        <v>0</v>
      </c>
      <c r="AB43" s="144" t="str">
        <f>IF(AA43=0,"",IFERROR(AA43/AA$19,""))</f>
        <v/>
      </c>
      <c r="AC43" s="140"/>
      <c r="AD43" s="143"/>
      <c r="AE43" s="144" t="str">
        <f>IF(AD43=0,"",IFERROR(AD43/AD$19,""))</f>
        <v/>
      </c>
      <c r="AF43" s="145">
        <f>IF(AND($AA43="",AD43=""),"",$AA43-AD43)</f>
        <v>0</v>
      </c>
      <c r="AG43" s="143"/>
      <c r="AH43" s="144" t="str">
        <f>IF(AG43=0,"",IFERROR(AG43/AG$19,""))</f>
        <v/>
      </c>
      <c r="AI43" s="145">
        <f>IF(AND($AA43="",AG43=""),"",$AA43-AG43)</f>
        <v>0</v>
      </c>
      <c r="AJ43" s="440">
        <f>IFERROR(AA43/AA$20,0)</f>
        <v>0</v>
      </c>
      <c r="AK43" s="441">
        <f>IFERROR(AD43/AD$20,0)</f>
        <v>0</v>
      </c>
      <c r="AL43" s="442">
        <f>IFERROR(AG43/AG$20,0)</f>
        <v>0</v>
      </c>
      <c r="AM43" s="443">
        <f>+IFERROR(ROUND(($AB43-AE43)*100,2)&amp;" pts.",0)</f>
        <v>0</v>
      </c>
      <c r="AN43" s="444">
        <f>+IFERROR(ROUND(($AB43-AH43)*100,2)&amp;" pts.",0)</f>
        <v>0</v>
      </c>
      <c r="AO43" s="11"/>
    </row>
    <row r="44" spans="1:41" x14ac:dyDescent="0.35">
      <c r="A44" s="11"/>
      <c r="B44" s="11"/>
      <c r="C44" s="208"/>
      <c r="D44" s="11"/>
      <c r="E44" s="11"/>
      <c r="F44" s="11"/>
      <c r="G44" s="11"/>
      <c r="H44" s="88" t="s">
        <v>79</v>
      </c>
      <c r="I44" s="136" t="str">
        <f>IF(_epmOfflineCondition_,"T3",_xll.EVPRO($B$1,$H44,"STYLE"))</f>
        <v>T3</v>
      </c>
      <c r="J44" s="136" t="str">
        <f>IF(_epmOfflineCondition_,"Y",_xll.EVPRO($B$1,$H44,"CALC"))</f>
        <v>Y</v>
      </c>
      <c r="K44" s="104"/>
      <c r="L44" s="59"/>
      <c r="M44" s="59"/>
      <c r="N44" s="106" t="str">
        <f>IF(_epmOfflineCondition_,"Total Operations Expense",IF(_xll.EVDES(H44,$B$1)="#NODATA","",_xll.EVDES(H44,$B$1)))</f>
        <v>Total Operations Expense</v>
      </c>
      <c r="O44" s="112">
        <f t="shared" ref="O44:Z44" si="0">SUM(O42:O43)</f>
        <v>0</v>
      </c>
      <c r="P44" s="112">
        <f t="shared" si="0"/>
        <v>0</v>
      </c>
      <c r="Q44" s="112">
        <f t="shared" si="0"/>
        <v>0</v>
      </c>
      <c r="R44" s="112">
        <f t="shared" si="0"/>
        <v>0</v>
      </c>
      <c r="S44" s="112">
        <f t="shared" si="0"/>
        <v>0</v>
      </c>
      <c r="T44" s="112">
        <f t="shared" si="0"/>
        <v>0</v>
      </c>
      <c r="U44" s="112">
        <f t="shared" si="0"/>
        <v>0</v>
      </c>
      <c r="V44" s="112">
        <f t="shared" si="0"/>
        <v>0</v>
      </c>
      <c r="W44" s="112">
        <f t="shared" si="0"/>
        <v>0</v>
      </c>
      <c r="X44" s="112">
        <f t="shared" si="0"/>
        <v>0</v>
      </c>
      <c r="Y44" s="112">
        <f t="shared" si="0"/>
        <v>0</v>
      </c>
      <c r="Z44" s="112">
        <f t="shared" si="0"/>
        <v>0</v>
      </c>
      <c r="AA44" s="112">
        <f>IF($I44="B1","",SUM(O44:Z44))</f>
        <v>0</v>
      </c>
      <c r="AB44" s="113" t="str">
        <f>IF(AA44=0,"",IFERROR(AA44/AA$19,""))</f>
        <v/>
      </c>
      <c r="AC44" s="11"/>
      <c r="AD44" s="112">
        <f>SUM(AD42:AD43)</f>
        <v>0</v>
      </c>
      <c r="AE44" s="113" t="str">
        <f>IF(AD44=0,"",IFERROR(AD44/AD$19,""))</f>
        <v/>
      </c>
      <c r="AF44" s="114">
        <f>IF(AND($AA44="",AD44=""),"",$AA44-AD44)</f>
        <v>0</v>
      </c>
      <c r="AG44" s="112">
        <f>SUM(AG42:AG43)</f>
        <v>0</v>
      </c>
      <c r="AH44" s="113" t="str">
        <f>IF(AG44=0,"",IFERROR(AG44/AG$19,""))</f>
        <v/>
      </c>
      <c r="AI44" s="114">
        <f>IF(AND($AA44="",AG44=""),"",$AA44-AG44)</f>
        <v>0</v>
      </c>
      <c r="AJ44" s="415">
        <f>IFERROR(AA44/AA$20,0)</f>
        <v>0</v>
      </c>
      <c r="AK44" s="416">
        <f>IFERROR(AD44/AD$20,0)</f>
        <v>0</v>
      </c>
      <c r="AL44" s="417">
        <f>IFERROR(AG44/AG$20,0)</f>
        <v>0</v>
      </c>
      <c r="AM44" s="418">
        <f>+IFERROR(ROUND(($AB44-AE44)*100,2)&amp;" pts.",0)</f>
        <v>0</v>
      </c>
      <c r="AN44" s="543">
        <f>+IFERROR(ROUND(($AB44-AH44)*100,2)&amp;" pts.",0)</f>
        <v>0</v>
      </c>
      <c r="AO44" s="11"/>
    </row>
    <row r="45" spans="1:41" x14ac:dyDescent="0.35">
      <c r="A45" s="61" t="str">
        <f>IF(_epmOfflineCondition_,"Evdre:Ok",_xll.EVDRE($B$1,A48:B55))</f>
        <v>Evdre:Ok</v>
      </c>
      <c r="B45" s="11" t="s">
        <v>740</v>
      </c>
      <c r="C45" s="208"/>
      <c r="D45" s="11"/>
      <c r="E45" s="11"/>
      <c r="F45" s="11"/>
      <c r="G45" s="11"/>
      <c r="H45" s="11"/>
      <c r="I45" s="59"/>
      <c r="J45" s="59"/>
      <c r="K45" s="11"/>
      <c r="L45" s="59"/>
      <c r="M45" s="59"/>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35">
      <c r="A46" s="11"/>
      <c r="B46" s="11"/>
      <c r="C46" s="208"/>
      <c r="D46" s="11"/>
      <c r="E46" s="11"/>
      <c r="F46" s="11"/>
      <c r="G46" s="11"/>
      <c r="H46" s="88" t="s">
        <v>80</v>
      </c>
      <c r="I46" s="136" t="str">
        <f>IF(_epmOfflineCondition_,"T3",_xll.EVPRO($B$1,$H46,"STYLE"))</f>
        <v>T3</v>
      </c>
      <c r="J46" s="136" t="str">
        <f>IF(_epmOfflineCondition_,"Y",_xll.EVPRO($B$1,$H46,"CALC"))</f>
        <v>Y</v>
      </c>
      <c r="K46" s="106"/>
      <c r="L46" s="59"/>
      <c r="M46" s="59"/>
      <c r="N46" s="106" t="str">
        <f>IF(_epmOfflineCondition_,"Total Expenses",IF(_xll.EVDES(H46,$B$1)="#NODATA","",_xll.EVDES(H46,$B$1)))</f>
        <v>Total Expenses</v>
      </c>
      <c r="O46" s="123">
        <f t="shared" ref="O46:Z46" si="1">SUMIF($H$33:$H$45,"600000",O$33:O$45)+SUMIF($H$33:$H$45,"700000",O$33:O$45)</f>
        <v>0</v>
      </c>
      <c r="P46" s="123">
        <f t="shared" si="1"/>
        <v>0</v>
      </c>
      <c r="Q46" s="123">
        <f t="shared" si="1"/>
        <v>0</v>
      </c>
      <c r="R46" s="123">
        <f t="shared" si="1"/>
        <v>0</v>
      </c>
      <c r="S46" s="123">
        <f t="shared" si="1"/>
        <v>0</v>
      </c>
      <c r="T46" s="123">
        <f t="shared" si="1"/>
        <v>0</v>
      </c>
      <c r="U46" s="123">
        <f t="shared" si="1"/>
        <v>0</v>
      </c>
      <c r="V46" s="123">
        <f t="shared" si="1"/>
        <v>0</v>
      </c>
      <c r="W46" s="123">
        <f t="shared" si="1"/>
        <v>0</v>
      </c>
      <c r="X46" s="123">
        <f t="shared" si="1"/>
        <v>0</v>
      </c>
      <c r="Y46" s="123">
        <f t="shared" si="1"/>
        <v>0</v>
      </c>
      <c r="Z46" s="123">
        <f t="shared" si="1"/>
        <v>0</v>
      </c>
      <c r="AA46" s="123">
        <f>IF($I46="B1","",SUM(O46:Z46))</f>
        <v>0</v>
      </c>
      <c r="AB46" s="124" t="str">
        <f>IF(AA46=0,"",IFERROR(AA46/AA$19,""))</f>
        <v/>
      </c>
      <c r="AC46" s="11"/>
      <c r="AD46" s="123">
        <f>SUMIF($H$33:$H$45,"600000",AD$33:AD$45)+SUMIF($H$33:$H$45,"700000",AD$33:AD$45)</f>
        <v>0</v>
      </c>
      <c r="AE46" s="124" t="str">
        <f>IF(AD46=0,"",IFERROR(AD46/AD$19,""))</f>
        <v/>
      </c>
      <c r="AF46" s="125">
        <f>IF(AND($AA46="",AD46=""),"",$AA46-AD46)</f>
        <v>0</v>
      </c>
      <c r="AG46" s="123">
        <f>SUMIF($H$33:$H$45,"600000",AG$33:AG$45)+SUMIF($H$33:$H$45,"700000",AG$33:AG$45)</f>
        <v>0</v>
      </c>
      <c r="AH46" s="124" t="str">
        <f>IF(AG46=0,"",IFERROR(AG46/AG$19,""))</f>
        <v/>
      </c>
      <c r="AI46" s="125">
        <f>IF(AND($AA46="",AG46=""),"",$AA46-AG46)</f>
        <v>0</v>
      </c>
      <c r="AJ46" s="388">
        <f>IFERROR(AA46/AA$20,0)</f>
        <v>0</v>
      </c>
      <c r="AK46" s="389">
        <f>IFERROR(AD46/AD$20,0)</f>
        <v>0</v>
      </c>
      <c r="AL46" s="390">
        <f>IFERROR(AG46/AG$20,0)</f>
        <v>0</v>
      </c>
      <c r="AM46" s="391">
        <f>+IFERROR(ROUND(($AB46-AE46)*100,2)&amp;" pts.",0)</f>
        <v>0</v>
      </c>
      <c r="AN46" s="544">
        <f>+IFERROR(ROUND(($AB46-AH46)*100,2)&amp;" pts.",0)</f>
        <v>0</v>
      </c>
      <c r="AO46" s="11"/>
    </row>
    <row r="47" spans="1:41" x14ac:dyDescent="0.35">
      <c r="A47" s="62" t="s">
        <v>0</v>
      </c>
      <c r="B47" s="63" t="s">
        <v>1</v>
      </c>
      <c r="C47" s="208"/>
      <c r="D47" s="11"/>
      <c r="E47" s="11"/>
      <c r="F47" s="11"/>
      <c r="G47" s="11"/>
      <c r="H47" s="11"/>
      <c r="I47" s="11"/>
      <c r="J47" s="11"/>
      <c r="K47" s="11"/>
      <c r="L47" s="11"/>
      <c r="M47" s="11"/>
      <c r="N47" s="11"/>
      <c r="O47" s="203"/>
      <c r="P47" s="204"/>
      <c r="Q47" s="204"/>
      <c r="R47" s="204"/>
      <c r="S47" s="204"/>
      <c r="T47" s="204"/>
      <c r="U47" s="204"/>
      <c r="V47" s="204"/>
      <c r="W47" s="204"/>
      <c r="X47" s="204"/>
      <c r="Y47" s="204"/>
      <c r="Z47" s="204"/>
      <c r="AA47" s="204"/>
      <c r="AB47" s="118"/>
      <c r="AC47" s="11"/>
      <c r="AD47" s="203"/>
      <c r="AE47" s="204"/>
      <c r="AF47" s="118"/>
      <c r="AG47" s="203"/>
      <c r="AH47" s="204"/>
      <c r="AI47" s="118"/>
      <c r="AJ47" s="11"/>
      <c r="AK47" s="11"/>
      <c r="AL47" s="11"/>
      <c r="AM47" s="11"/>
      <c r="AN47" s="11"/>
      <c r="AO47" s="11"/>
    </row>
    <row r="48" spans="1:41" x14ac:dyDescent="0.35">
      <c r="A48" s="65" t="s">
        <v>2</v>
      </c>
      <c r="B48" s="66" t="str">
        <f>IF(_epmOfflineCondition_,"'Laundry'!$B$2:$B$10",_xll.EVRNG($B$2:$B$10))</f>
        <v>'Laundry'!$B$2:$B$10</v>
      </c>
      <c r="C48" s="208"/>
      <c r="D48" s="11"/>
      <c r="E48" s="11"/>
      <c r="F48" s="11"/>
      <c r="G48" s="11"/>
      <c r="H48" s="11"/>
      <c r="I48" s="11"/>
      <c r="J48" s="11"/>
      <c r="K48" s="11"/>
      <c r="L48" s="11"/>
      <c r="M48" s="11"/>
      <c r="N48" s="105" t="s">
        <v>596</v>
      </c>
      <c r="O48" s="119"/>
      <c r="P48" s="120"/>
      <c r="Q48" s="120"/>
      <c r="R48" s="120"/>
      <c r="S48" s="120"/>
      <c r="T48" s="120"/>
      <c r="U48" s="120"/>
      <c r="V48" s="120"/>
      <c r="W48" s="120"/>
      <c r="X48" s="120"/>
      <c r="Y48" s="120"/>
      <c r="Z48" s="120"/>
      <c r="AA48" s="120"/>
      <c r="AB48" s="121"/>
      <c r="AC48" s="11"/>
      <c r="AD48" s="119"/>
      <c r="AE48" s="120"/>
      <c r="AF48" s="121"/>
      <c r="AG48" s="119"/>
      <c r="AH48" s="120"/>
      <c r="AI48" s="121"/>
      <c r="AJ48" s="11"/>
      <c r="AK48" s="11"/>
      <c r="AL48" s="11"/>
      <c r="AM48" s="11"/>
      <c r="AN48" s="11"/>
      <c r="AO48" s="11"/>
    </row>
    <row r="49" spans="1:41" x14ac:dyDescent="0.35">
      <c r="A49" s="65" t="s">
        <v>3</v>
      </c>
      <c r="B49" s="66" t="str">
        <f>IF(_epmOfflineCondition_,"'Laundry'!$O$16:$AN$18",_xll.EVRNG($O$16:$AN$18))</f>
        <v>'Laundry'!$O$16:$AN$18</v>
      </c>
      <c r="C49" s="208"/>
      <c r="D49" s="11"/>
      <c r="E49" s="11"/>
      <c r="F49" s="11"/>
      <c r="G49" s="11"/>
      <c r="H49" s="88" t="s">
        <v>592</v>
      </c>
      <c r="I49" s="122" t="str">
        <f>IF(_epmOfflineCondition_,"N",_xll.EVPRO($B$1,$H49,"STYLE"))</f>
        <v>N</v>
      </c>
      <c r="J49" s="122" t="str">
        <f>IF(_epmOfflineCondition_,"N",_xll.EVPRO($B$1,$H49,"CALC"))</f>
        <v>N</v>
      </c>
      <c r="K49" s="179" t="str">
        <f>IF(AND(I49&gt;="T3"),"&gt;","")</f>
        <v/>
      </c>
      <c r="L49" s="90" t="str">
        <f>IF(_epmOfflineCondition_,"789110",_xll.EVPRO($B$1,H49,"JDEID"))</f>
        <v>789110</v>
      </c>
      <c r="M49" s="90" t="str">
        <f>IF(_epmOfflineCondition_,"690940",IF(AND(I49="N",J49="N"),_xll.EVPRO($B$1,H49,"PSFTID"),""))</f>
        <v>690940</v>
      </c>
      <c r="N49" s="90" t="str">
        <f>IF(_epmOfflineCondition_,"Cost of Guest &amp; Outside Laundry",IF(_xll.EVDES(H49,$B$1)="#NODATA","",_xll.EVDES(H49,$B$1)))</f>
        <v>Cost of Guest &amp; Outside Laundry</v>
      </c>
      <c r="O49" s="143"/>
      <c r="P49" s="143"/>
      <c r="Q49" s="143"/>
      <c r="R49" s="143"/>
      <c r="S49" s="143"/>
      <c r="T49" s="143"/>
      <c r="U49" s="143"/>
      <c r="V49" s="143"/>
      <c r="W49" s="143"/>
      <c r="X49" s="143"/>
      <c r="Y49" s="143"/>
      <c r="Z49" s="143"/>
      <c r="AA49" s="143">
        <f>IF($I49="B1","",SUM(O49:Z49))</f>
        <v>0</v>
      </c>
      <c r="AB49" s="144" t="str">
        <f>IF(AA49=0,"",IFERROR(AA49/AA$19,""))</f>
        <v/>
      </c>
      <c r="AC49" s="140"/>
      <c r="AD49" s="143"/>
      <c r="AE49" s="144" t="str">
        <f>IF(AD49=0,"",IFERROR(AD49/AD$19,""))</f>
        <v/>
      </c>
      <c r="AF49" s="145">
        <f>IF(AND($AA49="",AD49=""),"",$AA49-AD49)</f>
        <v>0</v>
      </c>
      <c r="AG49" s="143"/>
      <c r="AH49" s="144" t="str">
        <f>IF(AG49=0,"",IFERROR(AG49/AG$19,""))</f>
        <v/>
      </c>
      <c r="AI49" s="145">
        <f>IF(AND($AA49="",AG49=""),"",$AA49-AG49)</f>
        <v>0</v>
      </c>
      <c r="AJ49" s="440">
        <f>IFERROR(AA49/AA$20,0)</f>
        <v>0</v>
      </c>
      <c r="AK49" s="441">
        <f>IFERROR(AD49/AD$20,0)</f>
        <v>0</v>
      </c>
      <c r="AL49" s="442">
        <f>IFERROR(AG49/AG$20,0)</f>
        <v>0</v>
      </c>
      <c r="AM49" s="443">
        <f>+IFERROR(ROUND(($AB49-AE49)*100,2)&amp;" pts.",0)</f>
        <v>0</v>
      </c>
      <c r="AN49" s="444">
        <f>+IFERROR(ROUND(($AB49-AH49)*100,2)&amp;" pts.",0)</f>
        <v>0</v>
      </c>
      <c r="AO49" s="11"/>
    </row>
    <row r="50" spans="1:41" x14ac:dyDescent="0.35">
      <c r="A50" s="65" t="s">
        <v>4</v>
      </c>
      <c r="B50" s="66" t="str">
        <f>IF(_epmOfflineCondition_,"'Laundry'!$H$49:$H$50",_xll.EVRNG(H49:H50))</f>
        <v>'Laundry'!$H$49:$H$50</v>
      </c>
      <c r="C50" s="208"/>
      <c r="D50" s="11"/>
      <c r="E50" s="11"/>
      <c r="F50" s="11"/>
      <c r="G50" s="11"/>
      <c r="H50" s="88" t="s">
        <v>593</v>
      </c>
      <c r="I50" s="122" t="str">
        <f>IF(_epmOfflineCondition_,"N",_xll.EVPRO($B$1,$H50,"STYLE"))</f>
        <v>N</v>
      </c>
      <c r="J50" s="122" t="str">
        <f>IF(_epmOfflineCondition_,"N",_xll.EVPRO($B$1,$H50,"CALC"))</f>
        <v>N</v>
      </c>
      <c r="K50" s="11"/>
      <c r="L50" s="90" t="str">
        <f>IF(_epmOfflineCondition_,"789115",_xll.EVPRO($B$1,H50,"JDEID"))</f>
        <v>789115</v>
      </c>
      <c r="M50" s="90" t="str">
        <f>IF(_epmOfflineCondition_,"690938",IF(AND(I50="N",J50="N"),_xll.EVPRO($B$1,H50,"PSFTID"),""))</f>
        <v>690938</v>
      </c>
      <c r="N50" s="90" t="str">
        <f>IF(_epmOfflineCondition_,"Concessionaires Laundry",IF(_xll.EVDES(H50,$B$1)="#NODATA","",_xll.EVDES(H50,$B$1)))</f>
        <v>Concessionaires Laundry</v>
      </c>
      <c r="O50" s="143"/>
      <c r="P50" s="143"/>
      <c r="Q50" s="143"/>
      <c r="R50" s="143"/>
      <c r="S50" s="143"/>
      <c r="T50" s="143"/>
      <c r="U50" s="143"/>
      <c r="V50" s="143"/>
      <c r="W50" s="143"/>
      <c r="X50" s="143"/>
      <c r="Y50" s="143"/>
      <c r="Z50" s="143"/>
      <c r="AA50" s="143">
        <f>IF($I50="B1","",SUM(O50:Z50))</f>
        <v>0</v>
      </c>
      <c r="AB50" s="144" t="str">
        <f>IF(AA50=0,"",IFERROR(AA50/AA$19,""))</f>
        <v/>
      </c>
      <c r="AC50" s="140"/>
      <c r="AD50" s="143"/>
      <c r="AE50" s="144" t="str">
        <f>IF(AD50=0,"",IFERROR(AD50/AD$19,""))</f>
        <v/>
      </c>
      <c r="AF50" s="145">
        <f>IF(AND($AA50="",AD50=""),"",$AA50-AD50)</f>
        <v>0</v>
      </c>
      <c r="AG50" s="143"/>
      <c r="AH50" s="144" t="str">
        <f>IF(AG50=0,"",IFERROR(AG50/AG$19,""))</f>
        <v/>
      </c>
      <c r="AI50" s="145">
        <f>IF(AND($AA50="",AG50=""),"",$AA50-AG50)</f>
        <v>0</v>
      </c>
      <c r="AJ50" s="449">
        <f>IFERROR(AA50/AA$20,0)</f>
        <v>0</v>
      </c>
      <c r="AK50" s="450">
        <f>IFERROR(AD50/AD$20,0)</f>
        <v>0</v>
      </c>
      <c r="AL50" s="451">
        <f>IFERROR(AG50/AG$20,0)</f>
        <v>0</v>
      </c>
      <c r="AM50" s="452">
        <f>+IFERROR(ROUND(($AB50-AE50)*100,2)&amp;" pts.",0)</f>
        <v>0</v>
      </c>
      <c r="AN50" s="453">
        <f>+IFERROR(ROUND(($AB50-AH50)*100,2)&amp;" pts.",0)</f>
        <v>0</v>
      </c>
      <c r="AO50" s="11"/>
    </row>
    <row r="51" spans="1:41" x14ac:dyDescent="0.35">
      <c r="A51" s="65" t="s">
        <v>5</v>
      </c>
      <c r="B51" s="66"/>
      <c r="C51" s="208"/>
      <c r="D51" s="11"/>
      <c r="E51" s="11"/>
      <c r="F51" s="11"/>
      <c r="G51" s="11"/>
      <c r="H51" s="11"/>
      <c r="I51" s="59"/>
      <c r="J51" s="59"/>
      <c r="K51" s="11"/>
      <c r="L51" s="59"/>
      <c r="M51" s="59"/>
      <c r="N51" s="106" t="s">
        <v>557</v>
      </c>
      <c r="O51" s="112">
        <f t="shared" ref="O51:Z51" si="2">SUM(O49:O50)</f>
        <v>0</v>
      </c>
      <c r="P51" s="112">
        <f t="shared" si="2"/>
        <v>0</v>
      </c>
      <c r="Q51" s="112">
        <f t="shared" si="2"/>
        <v>0</v>
      </c>
      <c r="R51" s="112">
        <f t="shared" si="2"/>
        <v>0</v>
      </c>
      <c r="S51" s="112">
        <f t="shared" si="2"/>
        <v>0</v>
      </c>
      <c r="T51" s="112">
        <f t="shared" si="2"/>
        <v>0</v>
      </c>
      <c r="U51" s="112">
        <f t="shared" si="2"/>
        <v>0</v>
      </c>
      <c r="V51" s="112">
        <f t="shared" si="2"/>
        <v>0</v>
      </c>
      <c r="W51" s="112">
        <f t="shared" si="2"/>
        <v>0</v>
      </c>
      <c r="X51" s="112">
        <f t="shared" si="2"/>
        <v>0</v>
      </c>
      <c r="Y51" s="112">
        <f t="shared" si="2"/>
        <v>0</v>
      </c>
      <c r="Z51" s="112">
        <f t="shared" si="2"/>
        <v>0</v>
      </c>
      <c r="AA51" s="112">
        <f>IF($I51="B1","",SUM(O51:Z51))</f>
        <v>0</v>
      </c>
      <c r="AB51" s="113" t="str">
        <f>IF(AA51=0,"",IFERROR(AA51/AA$19,""))</f>
        <v/>
      </c>
      <c r="AC51" s="11"/>
      <c r="AD51" s="112">
        <f>SUM(AD49:AD50)</f>
        <v>0</v>
      </c>
      <c r="AE51" s="113" t="str">
        <f>IF(AD51=0,"",IFERROR(AD51/AD$19,""))</f>
        <v/>
      </c>
      <c r="AF51" s="114">
        <f>IF(AND($AA51="",AD51=""),"",$AA51-AD51)</f>
        <v>0</v>
      </c>
      <c r="AG51" s="112">
        <f>SUM(AG49:AG50)</f>
        <v>0</v>
      </c>
      <c r="AH51" s="113" t="str">
        <f>IF(AG51=0,"",IFERROR(AG51/AG$19,""))</f>
        <v/>
      </c>
      <c r="AI51" s="114">
        <f>IF(AND($AA51="",AG51=""),"",$AA51-AG51)</f>
        <v>0</v>
      </c>
      <c r="AJ51" s="415">
        <f>IFERROR(AA51/AA$20,0)</f>
        <v>0</v>
      </c>
      <c r="AK51" s="416">
        <f>IFERROR(AD51/AD$20,0)</f>
        <v>0</v>
      </c>
      <c r="AL51" s="417">
        <f>IFERROR(AG51/AG$20,0)</f>
        <v>0</v>
      </c>
      <c r="AM51" s="418">
        <f>+IFERROR(ROUND(($AB51-AE51)*100,2)&amp;" pts.",0)</f>
        <v>0</v>
      </c>
      <c r="AN51" s="543">
        <f>+IFERROR(ROUND(($AB51-AH51)*100,2)&amp;" pts.",0)</f>
        <v>0</v>
      </c>
      <c r="AO51" s="11"/>
    </row>
    <row r="52" spans="1:41" x14ac:dyDescent="0.35">
      <c r="A52" s="65" t="s">
        <v>6</v>
      </c>
      <c r="B52" s="66"/>
      <c r="C52" s="208"/>
      <c r="D52" s="11"/>
      <c r="E52" s="11"/>
      <c r="F52" s="11"/>
      <c r="G52" s="11"/>
      <c r="H52" s="11"/>
      <c r="I52" s="59"/>
      <c r="J52" s="59"/>
      <c r="K52" s="11"/>
      <c r="L52" s="59"/>
      <c r="M52" s="59"/>
      <c r="N52" s="106"/>
      <c r="O52" s="119"/>
      <c r="P52" s="120"/>
      <c r="Q52" s="120"/>
      <c r="R52" s="120"/>
      <c r="S52" s="120"/>
      <c r="T52" s="120"/>
      <c r="U52" s="120"/>
      <c r="V52" s="120"/>
      <c r="W52" s="120"/>
      <c r="X52" s="120"/>
      <c r="Y52" s="120"/>
      <c r="Z52" s="120"/>
      <c r="AA52" s="120"/>
      <c r="AB52" s="121"/>
      <c r="AC52" s="11"/>
      <c r="AD52" s="119"/>
      <c r="AE52" s="120"/>
      <c r="AF52" s="121"/>
      <c r="AG52" s="119"/>
      <c r="AH52" s="120"/>
      <c r="AI52" s="121"/>
      <c r="AJ52" s="11"/>
      <c r="AK52" s="11"/>
      <c r="AL52" s="11"/>
      <c r="AM52" s="11"/>
      <c r="AN52" s="11"/>
      <c r="AO52" s="11"/>
    </row>
    <row r="53" spans="1:41" ht="15" thickBot="1" x14ac:dyDescent="0.4">
      <c r="A53" s="65" t="s">
        <v>7</v>
      </c>
      <c r="B53" s="66"/>
      <c r="C53" s="208"/>
      <c r="D53" s="11"/>
      <c r="E53" s="11"/>
      <c r="F53" s="11"/>
      <c r="G53" s="11"/>
      <c r="H53" s="11"/>
      <c r="I53" s="59"/>
      <c r="J53" s="59"/>
      <c r="K53" s="11"/>
      <c r="L53" s="59"/>
      <c r="M53" s="59"/>
      <c r="N53" s="106" t="s">
        <v>556</v>
      </c>
      <c r="O53" s="126">
        <f t="shared" ref="O53:Z53" si="3">O46+O51</f>
        <v>0</v>
      </c>
      <c r="P53" s="126">
        <f t="shared" si="3"/>
        <v>0</v>
      </c>
      <c r="Q53" s="126">
        <f t="shared" si="3"/>
        <v>0</v>
      </c>
      <c r="R53" s="126">
        <f t="shared" si="3"/>
        <v>0</v>
      </c>
      <c r="S53" s="126">
        <f t="shared" si="3"/>
        <v>0</v>
      </c>
      <c r="T53" s="126">
        <f t="shared" si="3"/>
        <v>0</v>
      </c>
      <c r="U53" s="126">
        <f t="shared" si="3"/>
        <v>0</v>
      </c>
      <c r="V53" s="126">
        <f t="shared" si="3"/>
        <v>0</v>
      </c>
      <c r="W53" s="126">
        <f t="shared" si="3"/>
        <v>0</v>
      </c>
      <c r="X53" s="126">
        <f t="shared" si="3"/>
        <v>0</v>
      </c>
      <c r="Y53" s="126">
        <f t="shared" si="3"/>
        <v>0</v>
      </c>
      <c r="Z53" s="126">
        <f t="shared" si="3"/>
        <v>0</v>
      </c>
      <c r="AA53" s="126">
        <f>IF($I53="B1","",SUM(O53:Z53))</f>
        <v>0</v>
      </c>
      <c r="AB53" s="127" t="str">
        <f>IF(AA53=0,"",IFERROR(AA53/AA$19,""))</f>
        <v/>
      </c>
      <c r="AC53" s="11"/>
      <c r="AD53" s="126">
        <f>AD46+AD51</f>
        <v>0</v>
      </c>
      <c r="AE53" s="127" t="str">
        <f>IF(AD53=0,"",IFERROR(AD53/AD$19,""))</f>
        <v/>
      </c>
      <c r="AF53" s="128">
        <f>IF(AND($AA53="",AD53=""),"",$AA53-AD53)</f>
        <v>0</v>
      </c>
      <c r="AG53" s="126">
        <f>AG46+AG51</f>
        <v>0</v>
      </c>
      <c r="AH53" s="127" t="str">
        <f>IF(AG53=0,"",IFERROR(AG53/AG$19,""))</f>
        <v/>
      </c>
      <c r="AI53" s="128">
        <f>IF(AND($AA53="",AG53=""),"",$AA53-AG53)</f>
        <v>0</v>
      </c>
      <c r="AJ53" s="419">
        <f>IFERROR(AA53/AA$20,0)</f>
        <v>0</v>
      </c>
      <c r="AK53" s="420">
        <f>IFERROR(AD53/AD$20,0)</f>
        <v>0</v>
      </c>
      <c r="AL53" s="421">
        <f>IFERROR(AG53/AG$20,0)</f>
        <v>0</v>
      </c>
      <c r="AM53" s="422">
        <f>+IFERROR(ROUND(($AB53-AE53)*100,2)&amp;" pts.",0)</f>
        <v>0</v>
      </c>
      <c r="AN53" s="545">
        <f>+IFERROR(ROUND(($AB53-AH53)*100,2)&amp;" pts.",0)</f>
        <v>0</v>
      </c>
      <c r="AO53" s="11"/>
    </row>
    <row r="54" spans="1:41" ht="15" thickTop="1" x14ac:dyDescent="0.35">
      <c r="A54" s="65" t="s">
        <v>47</v>
      </c>
      <c r="B54" s="66" t="str">
        <f>IF(_epmOfflineCondition_,"'Laundry'!$A$81:$B$102",_xll.EVRNG($A$81:$B$102))</f>
        <v>'Laundry'!$A$81:$B$102</v>
      </c>
      <c r="C54" s="208"/>
      <c r="D54" s="11"/>
      <c r="E54" s="11"/>
      <c r="F54" s="11"/>
      <c r="G54" s="11"/>
      <c r="H54" s="11"/>
      <c r="I54" s="59"/>
      <c r="J54" s="59"/>
      <c r="K54" s="11"/>
      <c r="L54" s="59"/>
      <c r="M54" s="59"/>
      <c r="N54" s="11"/>
      <c r="O54" s="129"/>
      <c r="P54" s="130"/>
      <c r="Q54" s="130"/>
      <c r="R54" s="130"/>
      <c r="S54" s="130"/>
      <c r="T54" s="130"/>
      <c r="U54" s="130"/>
      <c r="V54" s="130"/>
      <c r="W54" s="130"/>
      <c r="X54" s="130"/>
      <c r="Y54" s="130"/>
      <c r="Z54" s="130"/>
      <c r="AA54" s="130"/>
      <c r="AB54" s="131"/>
      <c r="AC54" s="11"/>
      <c r="AD54" s="129"/>
      <c r="AE54" s="130"/>
      <c r="AF54" s="131"/>
      <c r="AG54" s="129"/>
      <c r="AH54" s="130"/>
      <c r="AI54" s="131"/>
      <c r="AJ54" s="11"/>
      <c r="AK54" s="11"/>
      <c r="AL54" s="11"/>
      <c r="AM54" s="11"/>
      <c r="AN54" s="11"/>
      <c r="AO54" s="11"/>
    </row>
    <row r="55" spans="1:41" x14ac:dyDescent="0.35">
      <c r="A55" s="65" t="s">
        <v>8</v>
      </c>
      <c r="B55" s="66"/>
      <c r="C55" s="208"/>
      <c r="D55" s="11"/>
      <c r="E55" s="11"/>
      <c r="F55" s="11"/>
      <c r="G55" s="11"/>
      <c r="H55" s="11"/>
      <c r="I55" s="59"/>
      <c r="J55" s="59"/>
      <c r="K55" s="11"/>
      <c r="L55" s="59"/>
      <c r="M55" s="59"/>
      <c r="N55" s="105" t="s">
        <v>595</v>
      </c>
      <c r="O55" s="119"/>
      <c r="P55" s="120"/>
      <c r="Q55" s="120"/>
      <c r="R55" s="120"/>
      <c r="S55" s="120"/>
      <c r="T55" s="120"/>
      <c r="U55" s="120"/>
      <c r="V55" s="120"/>
      <c r="W55" s="120"/>
      <c r="X55" s="120"/>
      <c r="Y55" s="120"/>
      <c r="Z55" s="120"/>
      <c r="AA55" s="120"/>
      <c r="AB55" s="121"/>
      <c r="AC55" s="11"/>
      <c r="AD55" s="119"/>
      <c r="AE55" s="120"/>
      <c r="AF55" s="121"/>
      <c r="AG55" s="119"/>
      <c r="AH55" s="120"/>
      <c r="AI55" s="121"/>
      <c r="AJ55" s="11"/>
      <c r="AK55" s="11"/>
      <c r="AL55" s="11"/>
      <c r="AM55" s="11"/>
      <c r="AN55" s="11"/>
      <c r="AO55" s="11"/>
    </row>
    <row r="56" spans="1:41" hidden="1" x14ac:dyDescent="0.35">
      <c r="A56" s="11"/>
      <c r="B56" s="11"/>
      <c r="C56" s="208"/>
      <c r="D56" s="11"/>
      <c r="E56" s="11"/>
      <c r="F56" s="11"/>
      <c r="G56" s="11"/>
      <c r="H56" s="185" t="s">
        <v>667</v>
      </c>
      <c r="I56" s="122" t="str">
        <f>IF(_epmOfflineCondition_,"",_xll.EVPRO($B$1,$H56,"STYLE"))</f>
        <v/>
      </c>
      <c r="J56" s="122" t="str">
        <f>IF(_epmOfflineCondition_,"",_xll.EVPRO($B$1,$H56,"CALC"))</f>
        <v/>
      </c>
      <c r="K56" s="90"/>
      <c r="L56" s="90"/>
      <c r="M56" s="90"/>
      <c r="N56" s="90" t="str">
        <f>IF(_epmOfflineCondition_,"",IF(_xll.EVDES(H56,$B$1)="#NODATA","",_xll.EVDES(H56,$B$1)))</f>
        <v/>
      </c>
      <c r="O56" s="143"/>
      <c r="P56" s="143"/>
      <c r="Q56" s="143"/>
      <c r="R56" s="143"/>
      <c r="S56" s="143"/>
      <c r="T56" s="143"/>
      <c r="U56" s="143"/>
      <c r="V56" s="143"/>
      <c r="W56" s="143"/>
      <c r="X56" s="143"/>
      <c r="Y56" s="143"/>
      <c r="Z56" s="143"/>
      <c r="AA56" s="143">
        <f>IF($I56="B1","",SUM(O56:Z56))</f>
        <v>0</v>
      </c>
      <c r="AB56" s="144" t="str">
        <f>IF(AA56=0,"",IFERROR(AA56/AA$19,""))</f>
        <v/>
      </c>
      <c r="AC56" s="140"/>
      <c r="AD56" s="143"/>
      <c r="AE56" s="144" t="str">
        <f>IF(AD56=0,"",IFERROR(AD56/AD$19,""))</f>
        <v/>
      </c>
      <c r="AF56" s="145">
        <f>IF(AND($AA56="",AD56=""),"",$AA56-AD56)</f>
        <v>0</v>
      </c>
      <c r="AG56" s="143"/>
      <c r="AH56" s="144" t="str">
        <f>IF(AG56=0,"",IFERROR(AG56/AG$19,""))</f>
        <v/>
      </c>
      <c r="AI56" s="145">
        <f>IF(AND($AA56="",AG56=""),"",$AA56-AG56)</f>
        <v>0</v>
      </c>
      <c r="AJ56" s="440">
        <f>IFERROR(AA56/AA$20,0)</f>
        <v>0</v>
      </c>
      <c r="AK56" s="441">
        <f>IFERROR(AD56/AD$20,0)</f>
        <v>0</v>
      </c>
      <c r="AL56" s="442">
        <f>IFERROR(AG56/AG$20,0)</f>
        <v>0</v>
      </c>
      <c r="AM56" s="443">
        <f>+IFERROR(ROUND(($AB56-AE56)*100,2)&amp;" pts.",0)</f>
        <v>0</v>
      </c>
      <c r="AN56" s="444">
        <f>+IFERROR(ROUND(($AB56-AH56)*100,2)&amp;" pts.",0)</f>
        <v>0</v>
      </c>
      <c r="AO56" s="11"/>
    </row>
    <row r="57" spans="1:41" hidden="1" x14ac:dyDescent="0.35">
      <c r="A57" s="11"/>
      <c r="B57" s="11"/>
      <c r="C57" s="208"/>
      <c r="D57" s="11"/>
      <c r="E57" s="11"/>
      <c r="F57" s="11"/>
      <c r="G57" s="11"/>
      <c r="H57" s="185"/>
      <c r="I57" s="122" t="str">
        <f>IF(_epmOfflineCondition_,"",_xll.EVPRO($B$1,$H57,"STYLE"))</f>
        <v/>
      </c>
      <c r="J57" s="122" t="str">
        <f>IF(_epmOfflineCondition_,"",_xll.EVPRO($B$1,$H57,"CALC"))</f>
        <v/>
      </c>
      <c r="K57" s="90"/>
      <c r="L57" s="90"/>
      <c r="M57" s="90"/>
      <c r="N57" s="90" t="str">
        <f>IF(_epmOfflineCondition_,"",IF(_xll.EVDES(H57,$B$1)="#NODATA","",_xll.EVDES(H57,$B$1)))</f>
        <v/>
      </c>
      <c r="O57" s="143"/>
      <c r="P57" s="143"/>
      <c r="Q57" s="143"/>
      <c r="R57" s="143"/>
      <c r="S57" s="143"/>
      <c r="T57" s="143"/>
      <c r="U57" s="143"/>
      <c r="V57" s="143"/>
      <c r="W57" s="143"/>
      <c r="X57" s="143"/>
      <c r="Y57" s="143"/>
      <c r="Z57" s="143"/>
      <c r="AA57" s="143">
        <f>IF($I57="B1","",SUM(O57:Z57))</f>
        <v>0</v>
      </c>
      <c r="AB57" s="144" t="str">
        <f>IF(AA57=0,"",IFERROR(AA57/AA$19,""))</f>
        <v/>
      </c>
      <c r="AC57" s="140"/>
      <c r="AD57" s="143"/>
      <c r="AE57" s="144" t="str">
        <f>IF(AD57=0,"",IFERROR(AD57/AD$19,""))</f>
        <v/>
      </c>
      <c r="AF57" s="145">
        <f>IF(AND($AA57="",AD57=""),"",$AA57-AD57)</f>
        <v>0</v>
      </c>
      <c r="AG57" s="143"/>
      <c r="AH57" s="144" t="str">
        <f>IF(AG57=0,"",IFERROR(AG57/AG$19,""))</f>
        <v/>
      </c>
      <c r="AI57" s="145">
        <f>IF(AND($AA57="",AG57=""),"",$AA57-AG57)</f>
        <v>0</v>
      </c>
      <c r="AJ57" s="440">
        <f>IFERROR(AA57/AA$20,0)</f>
        <v>0</v>
      </c>
      <c r="AK57" s="441">
        <f>IFERROR(AD57/AD$20,0)</f>
        <v>0</v>
      </c>
      <c r="AL57" s="442">
        <f>IFERROR(AG57/AG$20,0)</f>
        <v>0</v>
      </c>
      <c r="AM57" s="443">
        <f>+IFERROR(ROUND(($AB57-AE57)*100,2)&amp;" pts.",0)</f>
        <v>0</v>
      </c>
      <c r="AN57" s="444">
        <f>+IFERROR(ROUND(($AB57-AH57)*100,2)&amp;" pts.",0)</f>
        <v>0</v>
      </c>
      <c r="AO57" s="11"/>
    </row>
    <row r="58" spans="1:41" x14ac:dyDescent="0.35">
      <c r="A58" s="61" t="str">
        <f>IF(_epmOfflineCondition_,"Evdre:Ok",_xll.EVDRE($B$1,A61:B68,A71:B77))</f>
        <v>Evdre:Ok</v>
      </c>
      <c r="B58" s="11"/>
      <c r="C58" s="11"/>
      <c r="D58" s="11"/>
      <c r="E58" s="11"/>
      <c r="F58" s="11"/>
      <c r="G58" s="11"/>
      <c r="H58" s="59"/>
      <c r="I58" s="59"/>
      <c r="J58" s="11"/>
      <c r="K58" s="11"/>
      <c r="L58" s="59"/>
      <c r="M58" s="59"/>
      <c r="N58" s="106" t="s">
        <v>555</v>
      </c>
      <c r="O58" s="112">
        <f t="shared" ref="O58:Z58" si="4">SUM(O56:O57)</f>
        <v>0</v>
      </c>
      <c r="P58" s="112">
        <f t="shared" si="4"/>
        <v>0</v>
      </c>
      <c r="Q58" s="112">
        <f t="shared" si="4"/>
        <v>0</v>
      </c>
      <c r="R58" s="112">
        <f t="shared" si="4"/>
        <v>0</v>
      </c>
      <c r="S58" s="112">
        <f t="shared" si="4"/>
        <v>0</v>
      </c>
      <c r="T58" s="112">
        <f t="shared" si="4"/>
        <v>0</v>
      </c>
      <c r="U58" s="112">
        <f t="shared" si="4"/>
        <v>0</v>
      </c>
      <c r="V58" s="112">
        <f t="shared" si="4"/>
        <v>0</v>
      </c>
      <c r="W58" s="112">
        <f t="shared" si="4"/>
        <v>0</v>
      </c>
      <c r="X58" s="112">
        <f t="shared" si="4"/>
        <v>0</v>
      </c>
      <c r="Y58" s="112">
        <f t="shared" si="4"/>
        <v>0</v>
      </c>
      <c r="Z58" s="112">
        <f t="shared" si="4"/>
        <v>0</v>
      </c>
      <c r="AA58" s="112">
        <f>IF($I58="B1","",SUM(O58:Z58))</f>
        <v>0</v>
      </c>
      <c r="AB58" s="113" t="str">
        <f>IF(AA58=0,"",IFERROR(AA58/AA$19,""))</f>
        <v/>
      </c>
      <c r="AC58" s="11"/>
      <c r="AD58" s="112">
        <f>SUM(AD56:AD57)</f>
        <v>0</v>
      </c>
      <c r="AE58" s="113" t="str">
        <f>IF(AD58=0,"",IFERROR(AD58/AD$19,""))</f>
        <v/>
      </c>
      <c r="AF58" s="114">
        <f>IF(AND($AA58="",AD58=""),"",$AA58-AD58)</f>
        <v>0</v>
      </c>
      <c r="AG58" s="112">
        <f>SUM(AG56:AG57)</f>
        <v>0</v>
      </c>
      <c r="AH58" s="113" t="str">
        <f>IF(AG58=0,"",IFERROR(AG58/AG$19,""))</f>
        <v/>
      </c>
      <c r="AI58" s="114">
        <f>IF(AND($AA58="",AG58=""),"",$AA58-AG58)</f>
        <v>0</v>
      </c>
      <c r="AJ58" s="415">
        <f>IFERROR(AA58/AA$20,0)</f>
        <v>0</v>
      </c>
      <c r="AK58" s="416">
        <f>IFERROR(AD58/AD$20,0)</f>
        <v>0</v>
      </c>
      <c r="AL58" s="417">
        <f>IFERROR(AG58/AG$20,0)</f>
        <v>0</v>
      </c>
      <c r="AM58" s="418">
        <f>+IFERROR(ROUND(($AB58-AE58)*100,2)&amp;" pts.",0)</f>
        <v>0</v>
      </c>
      <c r="AN58" s="543">
        <f>+IFERROR(ROUND(($AB58-AH58)*100,2)&amp;" pts.",0)</f>
        <v>0</v>
      </c>
      <c r="AO58" s="11"/>
    </row>
    <row r="59" spans="1:41" x14ac:dyDescent="0.35">
      <c r="A59" s="11"/>
      <c r="B59" s="11"/>
      <c r="C59" s="11"/>
      <c r="D59" s="11"/>
      <c r="E59" s="11"/>
      <c r="F59" s="11"/>
      <c r="G59" s="11"/>
      <c r="H59" s="59"/>
      <c r="I59" s="59"/>
      <c r="J59" s="11"/>
      <c r="K59" s="11"/>
      <c r="L59" s="59"/>
      <c r="M59" s="59"/>
      <c r="N59" s="11"/>
      <c r="O59" s="119"/>
      <c r="P59" s="120"/>
      <c r="Q59" s="120"/>
      <c r="R59" s="120"/>
      <c r="S59" s="120"/>
      <c r="T59" s="120"/>
      <c r="U59" s="120"/>
      <c r="V59" s="120"/>
      <c r="W59" s="120"/>
      <c r="X59" s="120"/>
      <c r="Y59" s="120"/>
      <c r="Z59" s="120"/>
      <c r="AA59" s="120"/>
      <c r="AB59" s="121"/>
      <c r="AC59" s="11"/>
      <c r="AD59" s="119"/>
      <c r="AE59" s="120"/>
      <c r="AF59" s="121"/>
      <c r="AG59" s="119"/>
      <c r="AH59" s="120"/>
      <c r="AI59" s="121"/>
      <c r="AJ59" s="11"/>
      <c r="AK59" s="11"/>
      <c r="AL59" s="11"/>
      <c r="AM59" s="11"/>
      <c r="AN59" s="11"/>
      <c r="AO59" s="11"/>
    </row>
    <row r="60" spans="1:41" ht="15" thickBot="1" x14ac:dyDescent="0.4">
      <c r="A60" s="62" t="s">
        <v>0</v>
      </c>
      <c r="B60" s="63" t="s">
        <v>1</v>
      </c>
      <c r="C60" s="11"/>
      <c r="D60" s="11"/>
      <c r="E60" s="11"/>
      <c r="F60" s="11"/>
      <c r="G60" s="11"/>
      <c r="H60" s="59"/>
      <c r="I60" s="59"/>
      <c r="J60" s="11"/>
      <c r="K60" s="11"/>
      <c r="L60" s="59"/>
      <c r="M60" s="59"/>
      <c r="N60" s="106" t="s">
        <v>558</v>
      </c>
      <c r="O60" s="126">
        <f t="shared" ref="O60:Z60" si="5">O53+O58</f>
        <v>0</v>
      </c>
      <c r="P60" s="126">
        <f t="shared" si="5"/>
        <v>0</v>
      </c>
      <c r="Q60" s="126">
        <f t="shared" si="5"/>
        <v>0</v>
      </c>
      <c r="R60" s="126">
        <f t="shared" si="5"/>
        <v>0</v>
      </c>
      <c r="S60" s="126">
        <f t="shared" si="5"/>
        <v>0</v>
      </c>
      <c r="T60" s="126">
        <f t="shared" si="5"/>
        <v>0</v>
      </c>
      <c r="U60" s="126">
        <f t="shared" si="5"/>
        <v>0</v>
      </c>
      <c r="V60" s="126">
        <f t="shared" si="5"/>
        <v>0</v>
      </c>
      <c r="W60" s="126">
        <f t="shared" si="5"/>
        <v>0</v>
      </c>
      <c r="X60" s="126">
        <f t="shared" si="5"/>
        <v>0</v>
      </c>
      <c r="Y60" s="126">
        <f t="shared" si="5"/>
        <v>0</v>
      </c>
      <c r="Z60" s="126">
        <f t="shared" si="5"/>
        <v>0</v>
      </c>
      <c r="AA60" s="126">
        <f>IF($I60="B1","",SUM(O60:Z60))</f>
        <v>0</v>
      </c>
      <c r="AB60" s="127" t="str">
        <f>IF(AA60=0,"",IFERROR(AA60/AA$19,""))</f>
        <v/>
      </c>
      <c r="AC60" s="11"/>
      <c r="AD60" s="126">
        <f>AD53+AD58</f>
        <v>0</v>
      </c>
      <c r="AE60" s="127" t="str">
        <f>IF(AD60=0,"",IFERROR(AD60/AD$19,""))</f>
        <v/>
      </c>
      <c r="AF60" s="128">
        <f>IF(AND($AA60="",AD60=""),"",$AA60-AD60)</f>
        <v>0</v>
      </c>
      <c r="AG60" s="126">
        <f>AG53+AG58</f>
        <v>0</v>
      </c>
      <c r="AH60" s="127" t="str">
        <f>IF(AG60=0,"",IFERROR(AG60/AG$19,""))</f>
        <v/>
      </c>
      <c r="AI60" s="128">
        <f>IF(AND($AA60="",AG60=""),"",$AA60-AG60)</f>
        <v>0</v>
      </c>
      <c r="AJ60" s="11"/>
      <c r="AK60" s="11"/>
      <c r="AL60" s="11"/>
      <c r="AM60" s="11"/>
      <c r="AN60" s="11"/>
      <c r="AO60" s="11"/>
    </row>
    <row r="61" spans="1:41" ht="15" thickTop="1" x14ac:dyDescent="0.35">
      <c r="A61" s="65" t="s">
        <v>2</v>
      </c>
      <c r="B61" s="66" t="str">
        <f>IF(_epmOfflineCondition_,"'Laundry'!$B$2:$B$10",_xll.EVRNG($B$2:$B$10))</f>
        <v>'Laundry'!$B$2:$B$10</v>
      </c>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3</v>
      </c>
      <c r="B62" s="66" t="str">
        <f>IF(_epmOfflineCondition_,"'Laundry'!$O$16:$AN$18",_xll.EVRNG($O$16:$AN$18))</f>
        <v>'Laundry'!$O$16:$AN$18</v>
      </c>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35">
      <c r="A63" s="65" t="s">
        <v>4</v>
      </c>
      <c r="B63" s="66" t="str">
        <f>IF(_epmOfflineCondition_,"'Laundry'!$H$56:$H$57",_xll.EVRNG(H56:H57))</f>
        <v>'Laundry'!$H$56:$H$57</v>
      </c>
      <c r="C63" s="11"/>
      <c r="D63" s="11"/>
      <c r="E63" s="11"/>
      <c r="F63" s="11"/>
      <c r="G63" s="11"/>
      <c r="H63" s="88" t="s">
        <v>56</v>
      </c>
      <c r="I63" s="136" t="str">
        <f>IF(_epmOfflineCondition_,"T2",_xll.EVPRO($B$1,$H63,"STYLE"))</f>
        <v>T2</v>
      </c>
      <c r="J63" s="136" t="str">
        <f>IF(_epmOfflineCondition_,"Y",_xll.EVPRO($B$1,$H63,"CALC"))</f>
        <v>Y</v>
      </c>
      <c r="K63" s="106"/>
      <c r="L63" s="59"/>
      <c r="M63" s="59"/>
      <c r="N63" s="106" t="s">
        <v>666</v>
      </c>
      <c r="O63" s="209">
        <f>IF(_epmOfflineCondition_,0,_xll.EVGTS($B$1,1,$B$3,$B$5,$B$7,$B$9,O$16,O$17,O$18,$B$6,$H63))</f>
        <v>0</v>
      </c>
      <c r="P63" s="209">
        <f>IF(_epmOfflineCondition_,0,_xll.EVGTS($B$1,1,$B$3,$B$5,$B$7,$B$9,P$16,P$17,P$18,$B$6,$H63))</f>
        <v>0</v>
      </c>
      <c r="Q63" s="209">
        <f>IF(_epmOfflineCondition_,0,_xll.EVGTS($B$1,1,$B$3,$B$5,$B$7,$B$9,Q$16,Q$17,Q$18,$B$6,$H63))</f>
        <v>0</v>
      </c>
      <c r="R63" s="209">
        <f>IF(_epmOfflineCondition_,0,_xll.EVGTS($B$1,1,$B$3,$B$5,$B$7,$B$9,R$16,R$17,R$18,$B$6,$H63))</f>
        <v>0</v>
      </c>
      <c r="S63" s="209">
        <f>IF(_epmOfflineCondition_,0,_xll.EVGTS($B$1,1,$B$3,$B$5,$B$7,$B$9,S$16,S$17,S$18,$B$6,$H63))</f>
        <v>0</v>
      </c>
      <c r="T63" s="209">
        <f>IF(_epmOfflineCondition_,0,_xll.EVGTS($B$1,1,$B$3,$B$5,$B$7,$B$9,T$16,T$17,T$18,$B$6,$H63))</f>
        <v>0</v>
      </c>
      <c r="U63" s="209">
        <f>IF(_epmOfflineCondition_,0,_xll.EVGTS($B$1,1,$B$3,$B$5,$B$7,$B$9,U$16,U$17,U$18,$B$6,$H63))</f>
        <v>0</v>
      </c>
      <c r="V63" s="209">
        <f>IF(_epmOfflineCondition_,0,_xll.EVGTS($B$1,1,$B$3,$B$5,$B$7,$B$9,V$16,V$17,V$18,$B$6,$H63))</f>
        <v>0</v>
      </c>
      <c r="W63" s="209">
        <f>IF(_epmOfflineCondition_,0,_xll.EVGTS($B$1,1,$B$3,$B$5,$B$7,$B$9,W$16,W$17,W$18,$B$6,$H63))</f>
        <v>0</v>
      </c>
      <c r="X63" s="209">
        <f>IF(_epmOfflineCondition_,0,_xll.EVGTS($B$1,1,$B$3,$B$5,$B$7,$B$9,X$16,X$17,X$18,$B$6,$H63))</f>
        <v>0</v>
      </c>
      <c r="Y63" s="209">
        <f>IF(_epmOfflineCondition_,0,_xll.EVGTS($B$1,1,$B$3,$B$5,$B$7,$B$9,Y$16,Y$17,Y$18,$B$6,$H63))</f>
        <v>0</v>
      </c>
      <c r="Z63" s="209">
        <f>IF(_epmOfflineCondition_,0,_xll.EVGTS($B$1,1,$B$3,$B$5,$B$7,$B$9,Z$16,Z$17,Z$18,$B$6,$H63))</f>
        <v>0</v>
      </c>
      <c r="AA63" s="91">
        <f>IF($I63="B1","",SUM(O63:Z63))</f>
        <v>0</v>
      </c>
      <c r="AB63" s="209"/>
      <c r="AC63" s="11"/>
      <c r="AD63" s="209">
        <f>IF(_epmOfflineCondition_,0,_xll.EVGTS($B$1,1,$B$3,$B$5,$B$7,$B$9,AD$16,AD$17,AD$18,$B$6,$H63))</f>
        <v>0</v>
      </c>
      <c r="AE63" s="209"/>
      <c r="AF63" s="209"/>
      <c r="AG63" s="209">
        <f>IF(_epmOfflineCondition_,0,_xll.EVGTS($B$1,1,$B$3,$B$5,$B$7,$B$9,AG$16,AG$17,AG$18,$B$6,$H63))</f>
        <v>0</v>
      </c>
      <c r="AH63" s="209"/>
      <c r="AI63" s="209"/>
      <c r="AJ63" s="11"/>
      <c r="AK63" s="11"/>
      <c r="AL63" s="11"/>
      <c r="AM63" s="11"/>
      <c r="AN63" s="11"/>
      <c r="AO63" s="11"/>
    </row>
    <row r="64" spans="1:41" x14ac:dyDescent="0.35">
      <c r="A64" s="65" t="s">
        <v>5</v>
      </c>
      <c r="B64" s="66"/>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65" t="s">
        <v>6</v>
      </c>
      <c r="B65" s="66"/>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65" t="s">
        <v>7</v>
      </c>
      <c r="B66" s="66"/>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65" t="s">
        <v>47</v>
      </c>
      <c r="B67" s="66" t="str">
        <f>IF(_epmOfflineCondition_,"'Laundry'!$A$81:$B$102",_xll.EVRNG($A$81:$B$102))</f>
        <v>'Laundry'!$A$81:$B$102</v>
      </c>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65" t="s">
        <v>8</v>
      </c>
      <c r="B68" s="66"/>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62" t="s">
        <v>9</v>
      </c>
      <c r="B70" s="63" t="s">
        <v>10</v>
      </c>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65" t="s">
        <v>11</v>
      </c>
      <c r="B71" s="66" t="s">
        <v>21</v>
      </c>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65" t="s">
        <v>12</v>
      </c>
      <c r="B72" s="66" t="s">
        <v>22</v>
      </c>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65" t="s">
        <v>13</v>
      </c>
      <c r="B73" s="66" t="s">
        <v>594</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14</v>
      </c>
      <c r="B74" s="608"/>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65" t="s">
        <v>15</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16</v>
      </c>
      <c r="B76" s="66" t="s">
        <v>78</v>
      </c>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17</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2" t="s">
        <v>23</v>
      </c>
      <c r="B80" s="63" t="s">
        <v>24</v>
      </c>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25</v>
      </c>
      <c r="B81" s="66"/>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26</v>
      </c>
      <c r="B82" s="66"/>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27</v>
      </c>
      <c r="B83" s="66"/>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28</v>
      </c>
      <c r="B84" s="66"/>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29</v>
      </c>
      <c r="B85" s="66"/>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30</v>
      </c>
      <c r="B86" s="66" t="s">
        <v>78</v>
      </c>
      <c r="C86" s="11"/>
      <c r="D86" s="11"/>
      <c r="E86" s="11"/>
      <c r="F86" s="11"/>
      <c r="G86" s="11"/>
      <c r="H86" s="11"/>
      <c r="I86" s="59"/>
      <c r="J86" s="59"/>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31</v>
      </c>
      <c r="B87" s="66" t="s">
        <v>78</v>
      </c>
      <c r="C87" s="11"/>
      <c r="D87" s="11"/>
      <c r="E87" s="11"/>
      <c r="F87" s="11"/>
      <c r="G87" s="11"/>
      <c r="H87" s="11"/>
      <c r="I87" s="59"/>
      <c r="J87" s="59"/>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32</v>
      </c>
      <c r="B88" s="66"/>
      <c r="C88" s="11"/>
      <c r="D88" s="11"/>
      <c r="E88" s="11"/>
      <c r="F88" s="11"/>
      <c r="G88" s="11"/>
      <c r="H88" s="11"/>
      <c r="I88" s="59"/>
      <c r="J88" s="59"/>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33</v>
      </c>
      <c r="B89" s="66"/>
      <c r="C89" s="11"/>
      <c r="D89" s="11"/>
      <c r="E89" s="11"/>
      <c r="F89" s="11"/>
      <c r="G89" s="11"/>
      <c r="H89" s="11"/>
      <c r="I89" s="59"/>
      <c r="J89" s="59"/>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65" t="s">
        <v>34</v>
      </c>
      <c r="B90" s="66"/>
      <c r="C90" s="11"/>
      <c r="D90" s="11"/>
      <c r="E90" s="11"/>
      <c r="F90" s="11"/>
      <c r="G90" s="11"/>
      <c r="H90" s="11"/>
      <c r="I90" s="59"/>
      <c r="J90" s="59"/>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65" t="s">
        <v>35</v>
      </c>
      <c r="B91" s="66"/>
      <c r="C91" s="11"/>
      <c r="D91" s="11"/>
      <c r="E91" s="11"/>
      <c r="F91" s="11"/>
      <c r="G91" s="11"/>
      <c r="H91" s="11"/>
      <c r="I91" s="59"/>
      <c r="J91" s="59"/>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65" t="s">
        <v>36</v>
      </c>
      <c r="B92" s="66"/>
      <c r="C92" s="11"/>
      <c r="D92" s="11"/>
      <c r="E92" s="11"/>
      <c r="F92" s="11"/>
      <c r="G92" s="11"/>
      <c r="H92" s="11"/>
      <c r="I92" s="59"/>
      <c r="J92" s="59"/>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65" t="s">
        <v>37</v>
      </c>
      <c r="B93" s="66"/>
      <c r="C93" s="11"/>
      <c r="D93" s="11"/>
      <c r="E93" s="11"/>
      <c r="F93" s="11"/>
      <c r="G93" s="11"/>
      <c r="H93" s="11"/>
      <c r="I93" s="59"/>
      <c r="J93" s="59"/>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65" t="s">
        <v>38</v>
      </c>
      <c r="B94" s="66"/>
      <c r="C94" s="11"/>
      <c r="D94" s="11"/>
      <c r="E94" s="11"/>
      <c r="F94" s="11"/>
      <c r="G94" s="11"/>
      <c r="H94" s="11"/>
      <c r="I94" s="59"/>
      <c r="J94" s="59"/>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65" t="s">
        <v>39</v>
      </c>
      <c r="B95" s="66"/>
      <c r="C95" s="11"/>
      <c r="D95" s="11"/>
      <c r="E95" s="11"/>
      <c r="F95" s="11"/>
      <c r="G95" s="11"/>
      <c r="H95" s="11"/>
      <c r="I95" s="59"/>
      <c r="J95" s="59"/>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65" t="s">
        <v>40</v>
      </c>
      <c r="B96" s="66"/>
      <c r="C96" s="11"/>
      <c r="D96" s="11"/>
      <c r="E96" s="11"/>
      <c r="F96" s="11"/>
      <c r="G96" s="11"/>
      <c r="H96" s="11"/>
      <c r="I96" s="59"/>
      <c r="J96" s="59"/>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35">
      <c r="A97" s="65" t="s">
        <v>41</v>
      </c>
      <c r="B97" s="66"/>
      <c r="C97" s="11"/>
      <c r="D97" s="11"/>
      <c r="E97" s="11"/>
      <c r="F97" s="11"/>
      <c r="G97" s="11"/>
      <c r="H97" s="11"/>
      <c r="I97" s="59"/>
      <c r="J97" s="59"/>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35">
      <c r="A98" s="65" t="s">
        <v>42</v>
      </c>
      <c r="B98" s="66"/>
      <c r="C98" s="11"/>
      <c r="D98" s="11"/>
      <c r="E98" s="11"/>
      <c r="F98" s="11"/>
      <c r="G98" s="11"/>
      <c r="H98" s="11"/>
      <c r="I98" s="59"/>
      <c r="J98" s="59"/>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35">
      <c r="A99" s="65" t="s">
        <v>43</v>
      </c>
      <c r="B99" s="66"/>
      <c r="C99" s="11"/>
      <c r="D99" s="11"/>
      <c r="E99" s="11"/>
      <c r="F99" s="11"/>
      <c r="G99" s="11"/>
      <c r="H99" s="11"/>
      <c r="I99" s="59"/>
      <c r="J99" s="59"/>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35">
      <c r="A100" s="65" t="s">
        <v>44</v>
      </c>
      <c r="B100" s="66"/>
      <c r="C100" s="11"/>
      <c r="D100" s="11"/>
      <c r="E100" s="11"/>
      <c r="F100" s="11"/>
      <c r="G100" s="11"/>
      <c r="H100" s="11"/>
      <c r="I100" s="59"/>
      <c r="J100" s="59"/>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35">
      <c r="A101" s="65" t="s">
        <v>45</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35">
      <c r="A102" s="65" t="s">
        <v>46</v>
      </c>
      <c r="B102" s="66"/>
      <c r="C102" s="11"/>
      <c r="D102" s="11"/>
      <c r="E102" s="11"/>
      <c r="F102" s="11"/>
      <c r="G102" s="11"/>
      <c r="H102" s="11"/>
      <c r="I102" s="59"/>
      <c r="J102" s="59"/>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sheetData>
  <sheetProtection algorithmName="SHA-512" hashValue="l/ET3a/Qwn7TydPH8qDKmunbUyJXPKTEc8DJS5cJbt1PWPRE44RdqHkXCsHbzs4ND5w6YDF6C1JPbAiTo1kVbw==" saltValue="Q8UXauRqjiJRY2H3XRseqA==" spinCount="100000" sheet="1" scenarios="1"/>
  <mergeCells count="2">
    <mergeCell ref="AD31:AE31"/>
    <mergeCell ref="AG31:AH31"/>
  </mergeCells>
  <dataValidations disablePrompts="1" count="2">
    <dataValidation type="list" allowBlank="1" sqref="B72 B28" xr:uid="{00000000-0002-0000-2E00-000000000000}">
      <formula1>"ACCOUNT,BUSINESSUNIT,CATEGORY,DATASRC,DEPARTMENT,INTCO,MEASURES,RPTCURRENCY,TIME"</formula1>
    </dataValidation>
    <dataValidation type="list" allowBlank="1" sqref="B73 B29" xr:uid="{00000000-0002-0000-2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4524"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4524" r:id="rId7" name="FPMExcelClientSheetOptionstb1"/>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1">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9.1796875"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554</v>
      </c>
      <c r="C2" s="11" t="str">
        <f>IF(_epmOfflineCondition_,"POD Allocation Out Account",_xll.EVDES(B2,$B$1))</f>
        <v>POD Allocation Out Account</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559</v>
      </c>
      <c r="C6" s="11" t="str">
        <f>IF(_epmOfflineCondition_,"Staff Dining",_xll.EVDES(B6,$B$1))</f>
        <v>Staff Dining</v>
      </c>
      <c r="D6" s="11"/>
      <c r="E6" s="58" t="str">
        <f>IF(_epmOfflineCondition_,"D2259",_xll.EVPRO($B$1,$B$6,$F$6))</f>
        <v>D2259</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IF(_epmOfflineCondition_,"'Dining'!$B$2:$B$10",_xll.EVRNG($B$2:$B$10))</f>
        <v>'Dining'!$B$2:$B$10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IF(_epmOfflineCondition_,"'Dining'!$O$16:$AN$18",_xll.EVRNG($O$16:$AN$18))</f>
        <v>'Dining'!$O$16:$AN$18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IF(_epmOfflineCondition_,"'Dining'!$H$34:$H$35,'Dining'!$H$38:$H$39,'Dining'!$H$40:$H$41,'Dining'!$H$44:$H$45",_xll.EVRNG(H34:H35,H38:H39,H40:H41,H44:H45))</f>
        <v>'Dining'!$H$34:$H$35,'Dining'!$H$38:$H$39,'Dining'!$H$40:$H$41,'Dining'!$H$44:$H$45</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IF(_epmOfflineCondition_,"'Dining'!$A$36:$F$42",_xll.EVRNG(A36:F42))</f>
        <v>'Dining'!$A$36:$F$42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IF(_epmOfflineCondition_,"'Dining'!$A$68:$B$89",_xll.EVRNG($A$68:$B$89))</f>
        <v>'Dining'!$A$68:$B$89</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IF(_epmOfflineCondition_,"Staff Dining Department",IF(_xll.EVDES(B6,$B$1)="#NODATA","",_xll.EVDES(B6,$B$1)&amp;" Department"))</f>
        <v>Staff Dining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08" t="s">
        <v>745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0" t="str">
        <f>IF(_epmOfflineCondition_,"2020",_xll.EVPRO($B$1,AD$16,"YEAR"))</f>
        <v>2020</v>
      </c>
      <c r="AL31" s="80"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35">
      <c r="A33" s="65" t="s">
        <v>17</v>
      </c>
      <c r="B33" s="66"/>
      <c r="C33" s="11"/>
      <c r="D33" s="11"/>
      <c r="E33" s="11"/>
      <c r="F33" s="11"/>
      <c r="G33" s="11"/>
      <c r="H33" s="618"/>
      <c r="I33" s="59"/>
      <c r="J33" s="59"/>
      <c r="K33" s="619"/>
      <c r="L33" s="59"/>
      <c r="M33" s="59"/>
      <c r="N33" s="488"/>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hidden="1" x14ac:dyDescent="0.35">
      <c r="A34" s="11"/>
      <c r="B34" s="11"/>
      <c r="C34" s="11"/>
      <c r="D34" s="11"/>
      <c r="E34" s="11"/>
      <c r="F34" s="11"/>
      <c r="G34" s="11"/>
      <c r="H34" s="88" t="s">
        <v>667</v>
      </c>
      <c r="I34" s="122" t="str">
        <f>IF(_epmOfflineCondition_,"",_xll.EVPRO($B$1,$H34,"STYLE"))</f>
        <v/>
      </c>
      <c r="J34" s="122" t="str">
        <f>IF(_epmOfflineCondition_,"",_xll.EVPRO($B$1,$H34,"CALC"))</f>
        <v/>
      </c>
      <c r="K34" s="179" t="str">
        <f>IF(AND(I34&gt;="T3"),"&gt;","")</f>
        <v/>
      </c>
      <c r="L34" s="90" t="str">
        <f>IF(_epmOfflineCondition_,"",_xll.EVPRO($B$1,H34,"JDEID"))</f>
        <v/>
      </c>
      <c r="M34" s="90" t="str">
        <f>IF(_epmOfflineCondition_,"",IF(AND(I34="N",J34="N"),_xll.EVPRO($B$1,H34,"PSFTID"),""))</f>
        <v/>
      </c>
      <c r="N34" s="90" t="str">
        <f>IF(_epmOfflineCondition_,"",IF(_xll.EVDES(H34,$B$1)="#NODATA","",_xll.EVDES(H34,$B$1)))</f>
        <v/>
      </c>
      <c r="O34" s="143"/>
      <c r="P34" s="143"/>
      <c r="Q34" s="143"/>
      <c r="R34" s="143"/>
      <c r="S34" s="143"/>
      <c r="T34" s="143"/>
      <c r="U34" s="143"/>
      <c r="V34" s="143"/>
      <c r="W34" s="143"/>
      <c r="X34" s="143"/>
      <c r="Y34" s="143"/>
      <c r="Z34" s="143"/>
      <c r="AA34" s="143">
        <f>IF($I34="B1","",SUM(O34:Z34))</f>
        <v>0</v>
      </c>
      <c r="AB34" s="144" t="str">
        <f>IF(AA34=0,"",IFERROR(AA34/AA$19,""))</f>
        <v/>
      </c>
      <c r="AC34" s="140"/>
      <c r="AD34" s="143"/>
      <c r="AE34" s="144" t="str">
        <f>IF(AD34=0,"",IFERROR(AD34/AD$19,""))</f>
        <v/>
      </c>
      <c r="AF34" s="145">
        <f>IF(AND($AA34="",AD34=""),"",$AA34-AD34)</f>
        <v>0</v>
      </c>
      <c r="AG34" s="143"/>
      <c r="AH34" s="144" t="str">
        <f>IF(AG34=0,"",IFERROR(AG34/AG$19,""))</f>
        <v/>
      </c>
      <c r="AI34" s="145">
        <f>IF(AND($AA34="",AG34=""),"",$AA34-AG34)</f>
        <v>0</v>
      </c>
      <c r="AJ34" s="440">
        <f>IFERROR(AA34/AA$20,0)</f>
        <v>0</v>
      </c>
      <c r="AK34" s="441">
        <f>IFERROR(AD34/AD$20,0)</f>
        <v>0</v>
      </c>
      <c r="AL34" s="442">
        <f>IFERROR(AG34/AG$20,0)</f>
        <v>0</v>
      </c>
      <c r="AM34" s="443">
        <f>+IFERROR(ROUND(($AB34-AE34)*100,2)&amp;" pts.",0)</f>
        <v>0</v>
      </c>
      <c r="AN34" s="444">
        <f>+IFERROR(ROUND(($AB34-AH34)*100,2)&amp;" pts.",0)</f>
        <v>0</v>
      </c>
      <c r="AO34" s="11"/>
    </row>
    <row r="35" spans="1:41" hidden="1" x14ac:dyDescent="0.35">
      <c r="A35" s="97" t="s">
        <v>92</v>
      </c>
      <c r="B35" s="98" t="s">
        <v>93</v>
      </c>
      <c r="C35" s="98" t="s">
        <v>94</v>
      </c>
      <c r="D35" s="98" t="s">
        <v>95</v>
      </c>
      <c r="E35" s="98" t="s">
        <v>96</v>
      </c>
      <c r="F35" s="99" t="s">
        <v>97</v>
      </c>
      <c r="G35" s="11"/>
      <c r="H35" s="88"/>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143"/>
      <c r="P35" s="143"/>
      <c r="Q35" s="143"/>
      <c r="R35" s="143"/>
      <c r="S35" s="143"/>
      <c r="T35" s="143"/>
      <c r="U35" s="143"/>
      <c r="V35" s="143"/>
      <c r="W35" s="143"/>
      <c r="X35" s="143"/>
      <c r="Y35" s="143"/>
      <c r="Z35" s="143"/>
      <c r="AA35" s="143">
        <f>IF($I35="B1","",SUM(O35:Z35))</f>
        <v>0</v>
      </c>
      <c r="AB35" s="144" t="str">
        <f>IF(AA35=0,"",IFERROR(AA35/AA$19,""))</f>
        <v/>
      </c>
      <c r="AC35" s="140"/>
      <c r="AD35" s="143"/>
      <c r="AE35" s="144" t="str">
        <f>IF(AD35=0,"",IFERROR(AD35/AD$19,""))</f>
        <v/>
      </c>
      <c r="AF35" s="145">
        <f>IF(AND($AA35="",AD35=""),"",$AA35-AD35)</f>
        <v>0</v>
      </c>
      <c r="AG35" s="143"/>
      <c r="AH35" s="144" t="str">
        <f>IF(AG35=0,"",IFERROR(AG35/AG$19,""))</f>
        <v/>
      </c>
      <c r="AI35" s="145">
        <f>IF(AND($AA35="",AG35=""),"",$AA35-AG35)</f>
        <v>0</v>
      </c>
      <c r="AJ35" s="440">
        <f>IFERROR(AA35/AA$20,0)</f>
        <v>0</v>
      </c>
      <c r="AK35" s="441">
        <f>IFERROR(AD35/AD$20,0)</f>
        <v>0</v>
      </c>
      <c r="AL35" s="442">
        <f>IFERROR(AG35/AG$20,0)</f>
        <v>0</v>
      </c>
      <c r="AM35" s="443">
        <f>+IFERROR(ROUND(($AB35-AE35)*100,2)&amp;" pts.",0)</f>
        <v>0</v>
      </c>
      <c r="AN35" s="444">
        <f>+IFERROR(ROUND(($AB35-AH35)*100,2)&amp;" pts.",0)</f>
        <v>0</v>
      </c>
      <c r="AO35" s="11"/>
    </row>
    <row r="36" spans="1:41" x14ac:dyDescent="0.35">
      <c r="A36" s="11"/>
      <c r="B36" s="11"/>
      <c r="C36" s="11"/>
      <c r="D36" s="11"/>
      <c r="E36" s="11"/>
      <c r="F36" s="11"/>
      <c r="G36" s="11"/>
      <c r="H36" s="11" t="s">
        <v>73</v>
      </c>
      <c r="I36" s="59" t="str">
        <f>IF(_epmOfflineCondition_,"B1",_xll.EVPRO($B$1,$H36,"STYLE"))</f>
        <v>B1</v>
      </c>
      <c r="J36" s="59" t="str">
        <f>IF(_epmOfflineCondition_,"Y",_xll.EVPRO($B$1,$H36,"CALC"))</f>
        <v>Y</v>
      </c>
      <c r="K36" s="11"/>
      <c r="L36" s="59"/>
      <c r="M36" s="59"/>
      <c r="N36" s="105" t="str">
        <f>IF(_epmOfflineCondition_,"Labor &amp; Related Expenses",IF(_xll.EVDES(H36,$B$1)="#NODATA","",_xll.EVDES(H36,$B$1)))</f>
        <v>Labor &amp; Related Expenses</v>
      </c>
      <c r="O36" s="203"/>
      <c r="P36" s="204"/>
      <c r="Q36" s="204"/>
      <c r="R36" s="204"/>
      <c r="S36" s="204"/>
      <c r="T36" s="204"/>
      <c r="U36" s="204"/>
      <c r="V36" s="204"/>
      <c r="W36" s="204"/>
      <c r="X36" s="204"/>
      <c r="Y36" s="204"/>
      <c r="Z36" s="204"/>
      <c r="AA36" s="204"/>
      <c r="AB36" s="118"/>
      <c r="AC36" s="11"/>
      <c r="AD36" s="203"/>
      <c r="AE36" s="204"/>
      <c r="AF36" s="118"/>
      <c r="AG36" s="203"/>
      <c r="AH36" s="204"/>
      <c r="AI36" s="118"/>
      <c r="AJ36" s="11"/>
      <c r="AK36" s="11"/>
      <c r="AL36" s="11"/>
      <c r="AM36" s="11"/>
      <c r="AN36" s="11"/>
      <c r="AO36" s="11"/>
    </row>
    <row r="37" spans="1:41" x14ac:dyDescent="0.35">
      <c r="A37" s="11" t="s">
        <v>108</v>
      </c>
      <c r="B37" s="11"/>
      <c r="C37" s="104" t="s">
        <v>101</v>
      </c>
      <c r="D37" s="11" t="s">
        <v>106</v>
      </c>
      <c r="E37" s="11"/>
      <c r="F37" s="11" t="s">
        <v>98</v>
      </c>
      <c r="G37" s="11"/>
      <c r="H37" s="11" t="s">
        <v>74</v>
      </c>
      <c r="I37" s="59" t="str">
        <f>IF(_epmOfflineCondition_,"B1",_xll.EVPRO($B$1,$H37,"STYLE"))</f>
        <v>B1</v>
      </c>
      <c r="J37" s="59" t="str">
        <f>IF(_epmOfflineCondition_,"Y",_xll.EVPRO($B$1,$H37,"CALC"))</f>
        <v>Y</v>
      </c>
      <c r="K37" s="11"/>
      <c r="L37" s="59"/>
      <c r="M37" s="59"/>
      <c r="N37" s="53" t="str">
        <f>IF(_epmOfflineCondition_,"Salaries &amp; Wages",IF(_xll.EVDES(H37,$B$1)="#NODATA","",_xll.EVDES(H37,$B$1)))</f>
        <v>Salaries &amp; Wages</v>
      </c>
      <c r="O37" s="119"/>
      <c r="P37" s="120"/>
      <c r="Q37" s="120"/>
      <c r="R37" s="120"/>
      <c r="S37" s="120"/>
      <c r="T37" s="120"/>
      <c r="U37" s="120"/>
      <c r="V37" s="120"/>
      <c r="W37" s="120"/>
      <c r="X37" s="120"/>
      <c r="Y37" s="120"/>
      <c r="Z37" s="120"/>
      <c r="AA37" s="120"/>
      <c r="AB37" s="121"/>
      <c r="AC37" s="11"/>
      <c r="AD37" s="119"/>
      <c r="AE37" s="120"/>
      <c r="AF37" s="121"/>
      <c r="AG37" s="119"/>
      <c r="AH37" s="120"/>
      <c r="AI37" s="121"/>
      <c r="AJ37" s="11"/>
      <c r="AK37" s="11"/>
      <c r="AL37" s="11"/>
      <c r="AM37" s="11"/>
      <c r="AN37" s="11"/>
      <c r="AO37" s="11"/>
    </row>
    <row r="38" spans="1:41" hidden="1" x14ac:dyDescent="0.35">
      <c r="A38" s="11" t="s">
        <v>100</v>
      </c>
      <c r="B38" s="11"/>
      <c r="C38" s="53" t="s">
        <v>101</v>
      </c>
      <c r="D38" s="11" t="s">
        <v>106</v>
      </c>
      <c r="E38" s="11"/>
      <c r="F38" s="11" t="s">
        <v>98</v>
      </c>
      <c r="G38" s="11"/>
      <c r="H38" s="88" t="s">
        <v>667</v>
      </c>
      <c r="I38" s="122" t="str">
        <f>IF(_epmOfflineCondition_,"",_xll.EVPRO($B$1,$H38,"STYLE"))</f>
        <v/>
      </c>
      <c r="J38" s="122" t="str">
        <f>IF(_epmOfflineCondition_,"",_xll.EVPRO($B$1,$H38,"CALC"))</f>
        <v/>
      </c>
      <c r="K38" s="179" t="str">
        <f>IF(AND(I38&gt;="T3"),"&gt;","")</f>
        <v/>
      </c>
      <c r="L38" s="90" t="str">
        <f>IF(_epmOfflineCondition_,"",_xll.EVPRO($B$1,H38,"JDEID"))</f>
        <v/>
      </c>
      <c r="M38" s="90" t="str">
        <f>IF(_epmOfflineCondition_,"",IF(AND(I38="N",J38="N"),_xll.EVPRO($B$1,H38,"PSFTID"),""))</f>
        <v/>
      </c>
      <c r="N38" s="90" t="str">
        <f>IF(_epmOfflineCondition_,"",IF(_xll.EVDES(H38,$B$1)="#NODATA","",_xll.EVDES(H38,$B$1)))</f>
        <v/>
      </c>
      <c r="O38" s="216"/>
      <c r="P38" s="216"/>
      <c r="Q38" s="216"/>
      <c r="R38" s="216"/>
      <c r="S38" s="216"/>
      <c r="T38" s="216"/>
      <c r="U38" s="216"/>
      <c r="V38" s="216"/>
      <c r="W38" s="216"/>
      <c r="X38" s="216"/>
      <c r="Y38" s="216"/>
      <c r="Z38" s="216"/>
      <c r="AA38" s="216">
        <f>IF($I38="B1","",SUM(O38:Z38))</f>
        <v>0</v>
      </c>
      <c r="AB38" s="218" t="str">
        <f>IF(AA38=0,"",IFERROR(AA38/AA$19,""))</f>
        <v/>
      </c>
      <c r="AC38" s="140"/>
      <c r="AD38" s="217"/>
      <c r="AE38" s="219" t="str">
        <f>IF(AD38=0,"",IFERROR(AD38/AD$19,""))</f>
        <v/>
      </c>
      <c r="AF38" s="220">
        <f>IF(AND($AA38="",AD38=""),"",$AA38-AD38)</f>
        <v>0</v>
      </c>
      <c r="AG38" s="217"/>
      <c r="AH38" s="219" t="str">
        <f>IF(AG38=0,"",IFERROR(AG38/AG$19,""))</f>
        <v/>
      </c>
      <c r="AI38" s="220">
        <f>IF(AND($AA38="",AG38=""),"",$AA38-AG38)</f>
        <v>0</v>
      </c>
      <c r="AJ38" s="440">
        <f>IFERROR(AA38/AA$20,0)</f>
        <v>0</v>
      </c>
      <c r="AK38" s="441">
        <f>IFERROR(AD38/AD$20,0)</f>
        <v>0</v>
      </c>
      <c r="AL38" s="442">
        <f>IFERROR(AG38/AG$20,0)</f>
        <v>0</v>
      </c>
      <c r="AM38" s="443">
        <f>+IFERROR(ROUND(($AB38-AE38)*100,2)&amp;" pts.",0)</f>
        <v>0</v>
      </c>
      <c r="AN38" s="444">
        <f>+IFERROR(ROUND(($AB38-AH38)*100,2)&amp;" pts.",0)</f>
        <v>0</v>
      </c>
      <c r="AO38" s="11"/>
    </row>
    <row r="39" spans="1:41" hidden="1" x14ac:dyDescent="0.35">
      <c r="A39" s="11" t="s">
        <v>109</v>
      </c>
      <c r="B39" s="11"/>
      <c r="C39" s="106" t="s">
        <v>101</v>
      </c>
      <c r="D39" s="11" t="s">
        <v>106</v>
      </c>
      <c r="E39" s="11"/>
      <c r="F39" s="11" t="s">
        <v>98</v>
      </c>
      <c r="G39" s="11"/>
      <c r="H39" s="88"/>
      <c r="I39" s="122" t="str">
        <f>IF(_epmOfflineCondition_,"",_xll.EVPRO($B$1,$H39,"STYLE"))</f>
        <v/>
      </c>
      <c r="J39" s="122" t="str">
        <f>IF(_epmOfflineCondition_,"",_xll.EVPRO($B$1,$H39,"CALC"))</f>
        <v/>
      </c>
      <c r="K39" s="179" t="str">
        <f>IF(AND(I39&gt;="T3"),"&gt;","")</f>
        <v/>
      </c>
      <c r="L39" s="90" t="str">
        <f>IF(_epmOfflineCondition_,"",_xll.EVPRO($B$1,H39,"JDEID"))</f>
        <v/>
      </c>
      <c r="M39" s="90" t="str">
        <f>IF(_epmOfflineCondition_,"",IF(AND(I39="N",J39="N"),_xll.EVPRO($B$1,H39,"PSFTID"),""))</f>
        <v/>
      </c>
      <c r="N39" s="90" t="str">
        <f>IF(_epmOfflineCondition_,"",IF(_xll.EVDES(H39,$B$1)="#NODATA","",_xll.EVDES(H39,$B$1)))</f>
        <v/>
      </c>
      <c r="O39" s="216"/>
      <c r="P39" s="216"/>
      <c r="Q39" s="216"/>
      <c r="R39" s="216"/>
      <c r="S39" s="216"/>
      <c r="T39" s="216"/>
      <c r="U39" s="216"/>
      <c r="V39" s="216"/>
      <c r="W39" s="216"/>
      <c r="X39" s="216"/>
      <c r="Y39" s="216"/>
      <c r="Z39" s="216"/>
      <c r="AA39" s="216">
        <f>IF($I39="B1","",SUM(O39:Z39))</f>
        <v>0</v>
      </c>
      <c r="AB39" s="218" t="str">
        <f>IF(AA39=0,"",IFERROR(AA39/AA$19,""))</f>
        <v/>
      </c>
      <c r="AC39" s="140"/>
      <c r="AD39" s="217"/>
      <c r="AE39" s="219" t="str">
        <f>IF(AD39=0,"",IFERROR(AD39/AD$19,""))</f>
        <v/>
      </c>
      <c r="AF39" s="220">
        <f>IF(AND($AA39="",AD39=""),"",$AA39-AD39)</f>
        <v>0</v>
      </c>
      <c r="AG39" s="217"/>
      <c r="AH39" s="219" t="str">
        <f>IF(AG39=0,"",IFERROR(AG39/AG$19,""))</f>
        <v/>
      </c>
      <c r="AI39" s="220">
        <f>IF(AND($AA39="",AG39=""),"",$AA39-AG39)</f>
        <v>0</v>
      </c>
      <c r="AJ39" s="440">
        <f>IFERROR(AA39/AA$20,0)</f>
        <v>0</v>
      </c>
      <c r="AK39" s="441">
        <f>IFERROR(AD39/AD$20,0)</f>
        <v>0</v>
      </c>
      <c r="AL39" s="442">
        <f>IFERROR(AG39/AG$20,0)</f>
        <v>0</v>
      </c>
      <c r="AM39" s="443">
        <f>+IFERROR(ROUND(($AB39-AE39)*100,2)&amp;" pts.",0)</f>
        <v>0</v>
      </c>
      <c r="AN39" s="444">
        <f>+IFERROR(ROUND(($AB39-AH39)*100,2)&amp;" pts.",0)</f>
        <v>0</v>
      </c>
      <c r="AO39" s="11"/>
    </row>
    <row r="40" spans="1:41" hidden="1" x14ac:dyDescent="0.35">
      <c r="A40" s="11" t="s">
        <v>109</v>
      </c>
      <c r="B40" s="11"/>
      <c r="C40" s="196" t="s">
        <v>101</v>
      </c>
      <c r="D40" s="11" t="s">
        <v>107</v>
      </c>
      <c r="E40" s="11"/>
      <c r="F40" s="11" t="s">
        <v>99</v>
      </c>
      <c r="G40" s="11"/>
      <c r="H40" s="88" t="s">
        <v>667</v>
      </c>
      <c r="I40" s="122" t="str">
        <f>IF(_epmOfflineCondition_,"",_xll.EVPRO($B$1,$H40,"STYLE"))</f>
        <v/>
      </c>
      <c r="J40" s="122" t="str">
        <f>IF(_epmOfflineCondition_,"",_xll.EVPRO($B$1,$H40,"CALC"))</f>
        <v/>
      </c>
      <c r="K40" s="179" t="str">
        <f>IF(AND(I40&gt;="T3"),"&gt;","")</f>
        <v/>
      </c>
      <c r="L40" s="90" t="str">
        <f>IF(_epmOfflineCondition_,"",_xll.EVPRO($B$1,H40,"JDEID"))</f>
        <v/>
      </c>
      <c r="M40" s="90" t="str">
        <f>IF(_epmOfflineCondition_,"",IF(AND(I40="N",J40="N"),_xll.EVPRO($B$1,H40,"PSFTID"),""))</f>
        <v/>
      </c>
      <c r="N40" s="90" t="str">
        <f>IF(_epmOfflineCondition_,"",IF(_xll.EVDES(H40,$B$1)="#NODATA","",_xll.EVDES(H40,$B$1)))</f>
        <v/>
      </c>
      <c r="O40" s="217"/>
      <c r="P40" s="217"/>
      <c r="Q40" s="217"/>
      <c r="R40" s="217"/>
      <c r="S40" s="217"/>
      <c r="T40" s="217"/>
      <c r="U40" s="217"/>
      <c r="V40" s="217"/>
      <c r="W40" s="217"/>
      <c r="X40" s="217"/>
      <c r="Y40" s="217"/>
      <c r="Z40" s="217"/>
      <c r="AA40" s="217">
        <f>IF($I40="B1","",SUM(O40:Z40))</f>
        <v>0</v>
      </c>
      <c r="AB40" s="219" t="str">
        <f>IF(AA40=0,"",IFERROR(AA40/AA$19,""))</f>
        <v/>
      </c>
      <c r="AC40" s="140"/>
      <c r="AD40" s="217"/>
      <c r="AE40" s="219" t="str">
        <f>IF(AD40=0,"",IFERROR(AD40/AD$19,""))</f>
        <v/>
      </c>
      <c r="AF40" s="220">
        <f>IF(AND($AA40="",AD40=""),"",$AA40-AD40)</f>
        <v>0</v>
      </c>
      <c r="AG40" s="217"/>
      <c r="AH40" s="219" t="str">
        <f>IF(AG40=0,"",IFERROR(AG40/AG$19,""))</f>
        <v/>
      </c>
      <c r="AI40" s="220">
        <f>IF(AND($AA40="",AG40=""),"",$AA40-AG40)</f>
        <v>0</v>
      </c>
      <c r="AJ40" s="449">
        <f>IFERROR(AA40/AA$20,0)</f>
        <v>0</v>
      </c>
      <c r="AK40" s="450">
        <f>IFERROR(AD40/AD$20,0)</f>
        <v>0</v>
      </c>
      <c r="AL40" s="451">
        <f>IFERROR(AG40/AG$20,0)</f>
        <v>0</v>
      </c>
      <c r="AM40" s="452">
        <f>+IFERROR(ROUND(($AB40-AE40)*100,2)&amp;" pts.",0)</f>
        <v>0</v>
      </c>
      <c r="AN40" s="453">
        <f>+IFERROR(ROUND(($AB40-AH40)*100,2)&amp;" pts.",0)</f>
        <v>0</v>
      </c>
      <c r="AO40" s="11"/>
    </row>
    <row r="41" spans="1:41" hidden="1" x14ac:dyDescent="0.35">
      <c r="A41" s="11" t="s">
        <v>110</v>
      </c>
      <c r="B41" s="11"/>
      <c r="C41" s="106" t="s">
        <v>101</v>
      </c>
      <c r="D41" s="11" t="s">
        <v>106</v>
      </c>
      <c r="E41" s="11"/>
      <c r="F41" s="11" t="s">
        <v>98</v>
      </c>
      <c r="G41" s="11"/>
      <c r="H41" s="88"/>
      <c r="I41" s="122" t="str">
        <f>IF(_epmOfflineCondition_,"",_xll.EVPRO($B$1,$H41,"STYLE"))</f>
        <v/>
      </c>
      <c r="J41" s="122" t="str">
        <f>IF(_epmOfflineCondition_,"",_xll.EVPRO($B$1,$H41,"CALC"))</f>
        <v/>
      </c>
      <c r="K41" s="179" t="str">
        <f>IF(AND(I41&gt;="T3"),"&gt;","")</f>
        <v/>
      </c>
      <c r="L41" s="90" t="str">
        <f>IF(_epmOfflineCondition_,"",_xll.EVPRO($B$1,H41,"JDEID"))</f>
        <v/>
      </c>
      <c r="M41" s="90" t="str">
        <f>IF(_epmOfflineCondition_,"",IF(AND(I41="N",J41="N"),_xll.EVPRO($B$1,H41,"PSFTID"),""))</f>
        <v/>
      </c>
      <c r="N41" s="90" t="str">
        <f>IF(_epmOfflineCondition_,"",IF(_xll.EVDES(H41,$B$1)="#NODATA","",_xll.EVDES(H41,$B$1)))</f>
        <v/>
      </c>
      <c r="O41" s="217"/>
      <c r="P41" s="217"/>
      <c r="Q41" s="217"/>
      <c r="R41" s="217"/>
      <c r="S41" s="217"/>
      <c r="T41" s="217"/>
      <c r="U41" s="217"/>
      <c r="V41" s="217"/>
      <c r="W41" s="217"/>
      <c r="X41" s="217"/>
      <c r="Y41" s="217"/>
      <c r="Z41" s="217"/>
      <c r="AA41" s="217">
        <f>IF($I41="B1","",SUM(O41:Z41))</f>
        <v>0</v>
      </c>
      <c r="AB41" s="219" t="str">
        <f>IF(AA41=0,"",IFERROR(AA41/AA$19,""))</f>
        <v/>
      </c>
      <c r="AC41" s="140"/>
      <c r="AD41" s="217"/>
      <c r="AE41" s="219" t="str">
        <f>IF(AD41=0,"",IFERROR(AD41/AD$19,""))</f>
        <v/>
      </c>
      <c r="AF41" s="220">
        <f>IF(AND($AA41="",AD41=""),"",$AA41-AD41)</f>
        <v>0</v>
      </c>
      <c r="AG41" s="217"/>
      <c r="AH41" s="219" t="str">
        <f>IF(AG41=0,"",IFERROR(AG41/AG$19,""))</f>
        <v/>
      </c>
      <c r="AI41" s="220">
        <f>IF(AND($AA41="",AG41=""),"",$AA41-AG41)</f>
        <v>0</v>
      </c>
      <c r="AJ41" s="449">
        <f>IFERROR(AA41/AA$20,0)</f>
        <v>0</v>
      </c>
      <c r="AK41" s="450">
        <f>IFERROR(AD41/AD$20,0)</f>
        <v>0</v>
      </c>
      <c r="AL41" s="451">
        <f>IFERROR(AG41/AG$20,0)</f>
        <v>0</v>
      </c>
      <c r="AM41" s="452">
        <f>+IFERROR(ROUND(($AB41-AE41)*100,2)&amp;" pts.",0)</f>
        <v>0</v>
      </c>
      <c r="AN41" s="453">
        <f>+IFERROR(ROUND(($AB41-AH41)*100,2)&amp;" pts.",0)</f>
        <v>0</v>
      </c>
      <c r="AO41" s="11"/>
    </row>
    <row r="42" spans="1:41" x14ac:dyDescent="0.35">
      <c r="A42" s="11" t="s">
        <v>110</v>
      </c>
      <c r="B42" s="11"/>
      <c r="C42" s="109" t="s">
        <v>101</v>
      </c>
      <c r="D42" s="11" t="s">
        <v>107</v>
      </c>
      <c r="E42" s="11"/>
      <c r="F42" s="11" t="s">
        <v>99</v>
      </c>
      <c r="G42" s="11"/>
      <c r="H42" s="106"/>
      <c r="I42" s="106"/>
      <c r="J42" s="106"/>
      <c r="K42" s="106"/>
      <c r="L42" s="106"/>
      <c r="M42" s="106"/>
      <c r="N42" s="106"/>
      <c r="O42" s="129"/>
      <c r="P42" s="130"/>
      <c r="Q42" s="130"/>
      <c r="R42" s="130"/>
      <c r="S42" s="130"/>
      <c r="T42" s="130"/>
      <c r="U42" s="130"/>
      <c r="V42" s="130"/>
      <c r="W42" s="130"/>
      <c r="X42" s="130"/>
      <c r="Y42" s="130"/>
      <c r="Z42" s="130"/>
      <c r="AA42" s="130"/>
      <c r="AB42" s="131"/>
      <c r="AC42" s="11"/>
      <c r="AD42" s="129"/>
      <c r="AE42" s="130"/>
      <c r="AF42" s="131"/>
      <c r="AG42" s="129"/>
      <c r="AH42" s="130"/>
      <c r="AI42" s="131"/>
      <c r="AJ42" s="11"/>
      <c r="AK42" s="11"/>
      <c r="AL42" s="11"/>
      <c r="AM42" s="11"/>
      <c r="AN42" s="11"/>
      <c r="AO42" s="11"/>
    </row>
    <row r="43" spans="1:41" x14ac:dyDescent="0.35">
      <c r="A43" s="11"/>
      <c r="B43" s="11"/>
      <c r="C43" s="208"/>
      <c r="D43" s="11"/>
      <c r="E43" s="11"/>
      <c r="F43" s="11"/>
      <c r="G43" s="11"/>
      <c r="H43" s="11" t="s">
        <v>82</v>
      </c>
      <c r="I43" s="59" t="str">
        <f>IF(_epmOfflineCondition_,"B1",_xll.EVPRO($B$1,$H43,"STYLE"))</f>
        <v>B1</v>
      </c>
      <c r="J43" s="59" t="str">
        <f>IF(_epmOfflineCondition_,"Y",_xll.EVPRO($B$1,$H43,"CALC"))</f>
        <v>Y</v>
      </c>
      <c r="K43" s="11"/>
      <c r="L43" s="11"/>
      <c r="M43" s="11"/>
      <c r="N43" s="105" t="str">
        <f>IF(_epmOfflineCondition_,"Other Expenses",IF(_xll.EVDES(H43,$B$1)="#NODATA","",_xll.EVDES(H43,$B$1)))</f>
        <v>Other Expenses</v>
      </c>
      <c r="O43" s="119"/>
      <c r="P43" s="120"/>
      <c r="Q43" s="120"/>
      <c r="R43" s="120"/>
      <c r="S43" s="120"/>
      <c r="T43" s="120"/>
      <c r="U43" s="120"/>
      <c r="V43" s="120"/>
      <c r="W43" s="120"/>
      <c r="X43" s="120"/>
      <c r="Y43" s="120"/>
      <c r="Z43" s="120"/>
      <c r="AA43" s="120"/>
      <c r="AB43" s="121"/>
      <c r="AC43" s="11"/>
      <c r="AD43" s="119"/>
      <c r="AE43" s="120"/>
      <c r="AF43" s="121"/>
      <c r="AG43" s="119"/>
      <c r="AH43" s="120"/>
      <c r="AI43" s="121"/>
      <c r="AJ43" s="11"/>
      <c r="AK43" s="11"/>
      <c r="AL43" s="11"/>
      <c r="AM43" s="11"/>
      <c r="AN43" s="11"/>
      <c r="AO43" s="11"/>
    </row>
    <row r="44" spans="1:41" hidden="1" x14ac:dyDescent="0.35">
      <c r="A44" s="11"/>
      <c r="B44" s="11"/>
      <c r="C44" s="208"/>
      <c r="D44" s="11"/>
      <c r="E44" s="11"/>
      <c r="F44" s="11"/>
      <c r="G44" s="11"/>
      <c r="H44" s="88" t="s">
        <v>667</v>
      </c>
      <c r="I44" s="122" t="str">
        <f>IF(_epmOfflineCondition_,"",_xll.EVPRO($B$1,$H44,"STYLE"))</f>
        <v/>
      </c>
      <c r="J44" s="122" t="str">
        <f>IF(_epmOfflineCondition_,"",_xll.EVPRO($B$1,$H44,"CALC"))</f>
        <v/>
      </c>
      <c r="K44" s="179" t="str">
        <f>IF(AND(I44&gt;="T3"),"&gt;","")</f>
        <v/>
      </c>
      <c r="L44" s="90" t="str">
        <f>IF(_epmOfflineCondition_,"",_xll.EVPRO($B$1,H44,"JDEID"))</f>
        <v/>
      </c>
      <c r="M44" s="90" t="str">
        <f>IF(_epmOfflineCondition_,"",IF(AND(I44="N",J44="N"),_xll.EVPRO($B$1,H44,"PSFTID"),""))</f>
        <v/>
      </c>
      <c r="N44" s="90" t="str">
        <f>IF(_epmOfflineCondition_,"",IF(_xll.EVDES(H44,$B$1)="#NODATA","",_xll.EVDES(H44,$B$1)))</f>
        <v/>
      </c>
      <c r="O44" s="143"/>
      <c r="P44" s="143"/>
      <c r="Q44" s="143"/>
      <c r="R44" s="143"/>
      <c r="S44" s="143"/>
      <c r="T44" s="143"/>
      <c r="U44" s="143"/>
      <c r="V44" s="143"/>
      <c r="W44" s="143"/>
      <c r="X44" s="143"/>
      <c r="Y44" s="143"/>
      <c r="Z44" s="143"/>
      <c r="AA44" s="143">
        <f>IF($I44="B1","",SUM(O44:Z44))</f>
        <v>0</v>
      </c>
      <c r="AB44" s="144" t="str">
        <f>IF(AA44=0,"",IFERROR(AA44/AA$19,""))</f>
        <v/>
      </c>
      <c r="AC44" s="140"/>
      <c r="AD44" s="143"/>
      <c r="AE44" s="144" t="str">
        <f>IF(AD44=0,"",IFERROR(AD44/AD$19,""))</f>
        <v/>
      </c>
      <c r="AF44" s="145">
        <f>IF(AND($AA44="",AD44=""),"",$AA44-AD44)</f>
        <v>0</v>
      </c>
      <c r="AG44" s="143"/>
      <c r="AH44" s="144" t="str">
        <f>IF(AG44=0,"",IFERROR(AG44/AG$19,""))</f>
        <v/>
      </c>
      <c r="AI44" s="145">
        <f>IF(AND($AA44="",AG44=""),"",$AA44-AG44)</f>
        <v>0</v>
      </c>
      <c r="AJ44" s="440">
        <f>IFERROR(AA44/AA$20,0)</f>
        <v>0</v>
      </c>
      <c r="AK44" s="441">
        <f>IFERROR(AD44/AD$20,0)</f>
        <v>0</v>
      </c>
      <c r="AL44" s="442">
        <f>IFERROR(AG44/AG$20,0)</f>
        <v>0</v>
      </c>
      <c r="AM44" s="443">
        <f>+IFERROR(ROUND(($AB44-AE44)*100,2)&amp;" pts.",0)</f>
        <v>0</v>
      </c>
      <c r="AN44" s="444">
        <f>+IFERROR(ROUND(($AB44-AH44)*100,2)&amp;" pts.",0)</f>
        <v>0</v>
      </c>
      <c r="AO44" s="11"/>
    </row>
    <row r="45" spans="1:41" hidden="1" x14ac:dyDescent="0.35">
      <c r="A45" s="61" t="str">
        <f>IF(_epmOfflineCondition_,"Evdre:Ok",_xll.EVDRE($B$1,A48:B55,A58:B64))</f>
        <v>Evdre:Ok</v>
      </c>
      <c r="B45" s="11"/>
      <c r="C45" s="208"/>
      <c r="D45" s="11"/>
      <c r="E45" s="11"/>
      <c r="F45" s="11"/>
      <c r="G45" s="11"/>
      <c r="H45" s="88"/>
      <c r="I45" s="122" t="str">
        <f>IF(_epmOfflineCondition_,"",_xll.EVPRO($B$1,$H45,"STYLE"))</f>
        <v/>
      </c>
      <c r="J45" s="122" t="str">
        <f>IF(_epmOfflineCondition_,"",_xll.EVPRO($B$1,$H45,"CALC"))</f>
        <v/>
      </c>
      <c r="K45" s="179" t="str">
        <f>IF(AND(I45&gt;="T3"),"&gt;","")</f>
        <v/>
      </c>
      <c r="L45" s="90" t="str">
        <f>IF(_epmOfflineCondition_,"",_xll.EVPRO($B$1,H45,"JDEID"))</f>
        <v/>
      </c>
      <c r="M45" s="90" t="str">
        <f>IF(_epmOfflineCondition_,"",IF(AND(I45="N",J45="N"),_xll.EVPRO($B$1,H45,"PSFTID"),""))</f>
        <v/>
      </c>
      <c r="N45" s="90" t="str">
        <f>IF(_epmOfflineCondition_,"",IF(_xll.EVDES(H45,$B$1)="#NODATA","",_xll.EVDES(H45,$B$1)))</f>
        <v/>
      </c>
      <c r="O45" s="143"/>
      <c r="P45" s="143"/>
      <c r="Q45" s="143"/>
      <c r="R45" s="143"/>
      <c r="S45" s="143"/>
      <c r="T45" s="143"/>
      <c r="U45" s="143"/>
      <c r="V45" s="143"/>
      <c r="W45" s="143"/>
      <c r="X45" s="143"/>
      <c r="Y45" s="143"/>
      <c r="Z45" s="143"/>
      <c r="AA45" s="143">
        <f>IF($I45="B1","",SUM(O45:Z45))</f>
        <v>0</v>
      </c>
      <c r="AB45" s="144" t="str">
        <f>IF(AA45=0,"",IFERROR(AA45/AA$19,""))</f>
        <v/>
      </c>
      <c r="AC45" s="140"/>
      <c r="AD45" s="143"/>
      <c r="AE45" s="144" t="str">
        <f>IF(AD45=0,"",IFERROR(AD45/AD$19,""))</f>
        <v/>
      </c>
      <c r="AF45" s="145">
        <f>IF(AND($AA45="",AD45=""),"",$AA45-AD45)</f>
        <v>0</v>
      </c>
      <c r="AG45" s="143"/>
      <c r="AH45" s="144" t="str">
        <f>IF(AG45=0,"",IFERROR(AG45/AG$19,""))</f>
        <v/>
      </c>
      <c r="AI45" s="145">
        <f>IF(AND($AA45="",AG45=""),"",$AA45-AG45)</f>
        <v>0</v>
      </c>
      <c r="AJ45" s="440">
        <f>IFERROR(AA45/AA$20,0)</f>
        <v>0</v>
      </c>
      <c r="AK45" s="441">
        <f>IFERROR(AD45/AD$20,0)</f>
        <v>0</v>
      </c>
      <c r="AL45" s="442">
        <f>IFERROR(AG45/AG$20,0)</f>
        <v>0</v>
      </c>
      <c r="AM45" s="443">
        <f>+IFERROR(ROUND(($AB45-AE45)*100,2)&amp;" pts.",0)</f>
        <v>0</v>
      </c>
      <c r="AN45" s="444">
        <f>+IFERROR(ROUND(($AB45-AH45)*100,2)&amp;" pts.",0)</f>
        <v>0</v>
      </c>
      <c r="AO45" s="11"/>
    </row>
    <row r="46" spans="1:41" x14ac:dyDescent="0.35">
      <c r="A46" s="11"/>
      <c r="B46" s="11"/>
      <c r="C46" s="208"/>
      <c r="D46" s="11"/>
      <c r="E46" s="11"/>
      <c r="F46" s="11"/>
      <c r="G46" s="11"/>
      <c r="H46" s="88" t="s">
        <v>79</v>
      </c>
      <c r="I46" s="136" t="str">
        <f>IF(_epmOfflineCondition_,"T3",_xll.EVPRO($B$1,$H46,"STYLE"))</f>
        <v>T3</v>
      </c>
      <c r="J46" s="136" t="str">
        <f>IF(_epmOfflineCondition_,"Y",_xll.EVPRO($B$1,$H46,"CALC"))</f>
        <v>Y</v>
      </c>
      <c r="K46" s="104"/>
      <c r="L46" s="59"/>
      <c r="M46" s="59"/>
      <c r="N46" s="106" t="str">
        <f>IF(_epmOfflineCondition_,"Total Operations Expense",IF(_xll.EVDES(H46,$B$1)="#NODATA","",_xll.EVDES(H46,$B$1)))</f>
        <v>Total Operations Expense</v>
      </c>
      <c r="O46" s="112">
        <f t="shared" ref="O46:Z46" si="0">SUM(O44:O45)</f>
        <v>0</v>
      </c>
      <c r="P46" s="112">
        <f t="shared" si="0"/>
        <v>0</v>
      </c>
      <c r="Q46" s="112">
        <f t="shared" si="0"/>
        <v>0</v>
      </c>
      <c r="R46" s="112">
        <f t="shared" si="0"/>
        <v>0</v>
      </c>
      <c r="S46" s="112">
        <f t="shared" si="0"/>
        <v>0</v>
      </c>
      <c r="T46" s="112">
        <f t="shared" si="0"/>
        <v>0</v>
      </c>
      <c r="U46" s="112">
        <f t="shared" si="0"/>
        <v>0</v>
      </c>
      <c r="V46" s="112">
        <f t="shared" si="0"/>
        <v>0</v>
      </c>
      <c r="W46" s="112">
        <f t="shared" si="0"/>
        <v>0</v>
      </c>
      <c r="X46" s="112">
        <f t="shared" si="0"/>
        <v>0</v>
      </c>
      <c r="Y46" s="112">
        <f t="shared" si="0"/>
        <v>0</v>
      </c>
      <c r="Z46" s="112">
        <f t="shared" si="0"/>
        <v>0</v>
      </c>
      <c r="AA46" s="112">
        <f>IF($I46="B1","",SUM(O46:Z46))</f>
        <v>0</v>
      </c>
      <c r="AB46" s="113" t="str">
        <f>IF(AA46=0,"",IFERROR(AA46/AA$19,""))</f>
        <v/>
      </c>
      <c r="AC46" s="11"/>
      <c r="AD46" s="112">
        <f>SUM(AD44:AD45)</f>
        <v>0</v>
      </c>
      <c r="AE46" s="113" t="str">
        <f>IF(AD46=0,"",IFERROR(AD46/AD$19,""))</f>
        <v/>
      </c>
      <c r="AF46" s="114">
        <f>IF(AND($AA46="",AD46=""),"",$AA46-AD46)</f>
        <v>0</v>
      </c>
      <c r="AG46" s="112">
        <f>SUM(AG44:AG45)</f>
        <v>0</v>
      </c>
      <c r="AH46" s="113" t="str">
        <f>IF(AG46=0,"",IFERROR(AG46/AG$19,""))</f>
        <v/>
      </c>
      <c r="AI46" s="114">
        <f>IF(AND($AA46="",AG46=""),"",$AA46-AG46)</f>
        <v>0</v>
      </c>
      <c r="AJ46" s="415">
        <f>IFERROR(AA46/AA$20,0)</f>
        <v>0</v>
      </c>
      <c r="AK46" s="416">
        <f>IFERROR(AD46/AD$20,0)</f>
        <v>0</v>
      </c>
      <c r="AL46" s="417">
        <f>IFERROR(AG46/AG$20,0)</f>
        <v>0</v>
      </c>
      <c r="AM46" s="418">
        <f>+IFERROR(ROUND(($AB46-AE46)*100,2)&amp;" pts.",0)</f>
        <v>0</v>
      </c>
      <c r="AN46" s="543">
        <f>+IFERROR(ROUND(($AB46-AH46)*100,2)&amp;" pts.",0)</f>
        <v>0</v>
      </c>
      <c r="AO46" s="11"/>
    </row>
    <row r="47" spans="1:41" x14ac:dyDescent="0.35">
      <c r="A47" s="62" t="s">
        <v>0</v>
      </c>
      <c r="B47" s="63" t="s">
        <v>1</v>
      </c>
      <c r="C47" s="208"/>
      <c r="D47" s="11"/>
      <c r="E47" s="11"/>
      <c r="F47" s="11"/>
      <c r="G47" s="11"/>
      <c r="H47" s="11"/>
      <c r="I47" s="59"/>
      <c r="J47" s="59"/>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35">
      <c r="A48" s="65" t="s">
        <v>2</v>
      </c>
      <c r="B48" s="66" t="str">
        <f>IF(_epmOfflineCondition_,"'Dining'!$B$2:$B$10",_xll.EVRNG($B$2:$B$10))</f>
        <v>'Dining'!$B$2:$B$10</v>
      </c>
      <c r="C48" s="208"/>
      <c r="D48" s="11"/>
      <c r="E48" s="11"/>
      <c r="F48" s="11"/>
      <c r="G48" s="11"/>
      <c r="H48" s="88" t="s">
        <v>80</v>
      </c>
      <c r="I48" s="136" t="str">
        <f>IF(_epmOfflineCondition_,"T3",_xll.EVPRO($B$1,$H48,"STYLE"))</f>
        <v>T3</v>
      </c>
      <c r="J48" s="136" t="str">
        <f>IF(_epmOfflineCondition_,"Y",_xll.EVPRO($B$1,$H48,"CALC"))</f>
        <v>Y</v>
      </c>
      <c r="K48" s="106"/>
      <c r="L48" s="59"/>
      <c r="M48" s="59"/>
      <c r="N48" s="106" t="str">
        <f>IF(_epmOfflineCondition_,"Total Expenses",IF(_xll.EVDES(H48,$B$1)="#NODATA","",_xll.EVDES(H48,$B$1)))</f>
        <v>Total Expenses</v>
      </c>
      <c r="O48" s="123">
        <f t="shared" ref="O48:Z48" si="1">SUMIF($H$34:$H$47,"561100",O$34:O$47)+SUMIF($H$34:$H$47,"600000",O$34:O$47)+SUMIF($H$34:$H$47,"700000",O$34:O$47)</f>
        <v>0</v>
      </c>
      <c r="P48" s="123">
        <f t="shared" si="1"/>
        <v>0</v>
      </c>
      <c r="Q48" s="123">
        <f t="shared" si="1"/>
        <v>0</v>
      </c>
      <c r="R48" s="123">
        <f t="shared" si="1"/>
        <v>0</v>
      </c>
      <c r="S48" s="123">
        <f t="shared" si="1"/>
        <v>0</v>
      </c>
      <c r="T48" s="123">
        <f t="shared" si="1"/>
        <v>0</v>
      </c>
      <c r="U48" s="123">
        <f t="shared" si="1"/>
        <v>0</v>
      </c>
      <c r="V48" s="123">
        <f t="shared" si="1"/>
        <v>0</v>
      </c>
      <c r="W48" s="123">
        <f t="shared" si="1"/>
        <v>0</v>
      </c>
      <c r="X48" s="123">
        <f t="shared" si="1"/>
        <v>0</v>
      </c>
      <c r="Y48" s="123">
        <f t="shared" si="1"/>
        <v>0</v>
      </c>
      <c r="Z48" s="123">
        <f t="shared" si="1"/>
        <v>0</v>
      </c>
      <c r="AA48" s="123">
        <f>IF($I48="B1","",SUM(O48:Z48))</f>
        <v>0</v>
      </c>
      <c r="AB48" s="124" t="str">
        <f>IF(AA48=0,"",IFERROR(AA48/AA$19,""))</f>
        <v/>
      </c>
      <c r="AC48" s="11"/>
      <c r="AD48" s="123">
        <f>SUMIF($H$34:$H$47,"561100",AD$34:AD$47)+SUMIF($H$34:$H$47,"600000",AD$34:AD$47)+SUMIF($H$34:$H$47,"700000",AD$34:AD$47)</f>
        <v>0</v>
      </c>
      <c r="AE48" s="124" t="str">
        <f>IF(AD48=0,"",IFERROR(AD48/AD$19,""))</f>
        <v/>
      </c>
      <c r="AF48" s="125">
        <f>IF(AND($AA48="",AD48=""),"",$AA48-AD48)</f>
        <v>0</v>
      </c>
      <c r="AG48" s="123">
        <f>SUMIF($H$34:$H$47,"561100",AG$34:AG$47)+SUMIF($H$34:$H$47,"600000",AG$34:AG$47)+SUMIF($H$34:$H$47,"700000",AG$34:AG$47)</f>
        <v>0</v>
      </c>
      <c r="AH48" s="124" t="str">
        <f>IF(AG48=0,"",IFERROR(AG48/AG$19,""))</f>
        <v/>
      </c>
      <c r="AI48" s="125">
        <f>IF(AND($AA48="",AG48=""),"",$AA48-AG48)</f>
        <v>0</v>
      </c>
      <c r="AJ48" s="388">
        <f>IFERROR(AA48/AA$20,0)</f>
        <v>0</v>
      </c>
      <c r="AK48" s="389">
        <f>IFERROR(AD48/AD$20,0)</f>
        <v>0</v>
      </c>
      <c r="AL48" s="390">
        <f>IFERROR(AG48/AG$20,0)</f>
        <v>0</v>
      </c>
      <c r="AM48" s="391">
        <f>+IFERROR(ROUND(($AB48-AE48)*100,2)&amp;" pts.",0)</f>
        <v>0</v>
      </c>
      <c r="AN48" s="544">
        <f>+IFERROR(ROUND(($AB48-AH48)*100,2)&amp;" pts.",0)</f>
        <v>0</v>
      </c>
      <c r="AO48" s="11"/>
    </row>
    <row r="49" spans="1:41" x14ac:dyDescent="0.35">
      <c r="A49" s="65" t="s">
        <v>3</v>
      </c>
      <c r="B49" s="66" t="str">
        <f>IF(_epmOfflineCondition_,"'Dining'!$O$16:$AN$18",_xll.EVRNG($O$16:$AN$18))</f>
        <v>'Dining'!$O$16:$AN$18</v>
      </c>
      <c r="C49" s="208"/>
      <c r="D49" s="11"/>
      <c r="E49" s="11"/>
      <c r="F49" s="11"/>
      <c r="G49" s="11"/>
      <c r="H49" s="11"/>
      <c r="I49" s="59"/>
      <c r="J49" s="59"/>
      <c r="K49" s="11"/>
      <c r="L49" s="59"/>
      <c r="M49" s="59"/>
      <c r="N49" s="106"/>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35">
      <c r="A50" s="65" t="s">
        <v>4</v>
      </c>
      <c r="B50" s="66" t="str">
        <f>IF(_epmOfflineCondition_,"'Dining'!$H$55:$H$56",_xll.EVRNG(H55:H56))</f>
        <v>'Dining'!$H$55:$H$56</v>
      </c>
      <c r="C50" s="208"/>
      <c r="D50" s="11"/>
      <c r="E50" s="11"/>
      <c r="F50" s="11"/>
      <c r="G50" s="11"/>
      <c r="H50" s="88" t="s">
        <v>280</v>
      </c>
      <c r="I50" s="122" t="str">
        <f>IF(_epmOfflineCondition_,"T3",_xll.EVPRO($B$1,$H50,"STYLE"))</f>
        <v>T3</v>
      </c>
      <c r="J50" s="122" t="str">
        <f>IF(_epmOfflineCondition_,"Y",_xll.EVPRO($B$1,$H50,"CALC"))</f>
        <v>Y</v>
      </c>
      <c r="K50" s="179" t="str">
        <f>IF(AND(I50&gt;="T3"),"&gt;","")</f>
        <v>&gt;</v>
      </c>
      <c r="L50" s="90" t="str">
        <f>IF(_epmOfflineCondition_,"400000",_xll.EVPRO($B$1,H50,"JDEID"))</f>
        <v>400000</v>
      </c>
      <c r="M50" s="90" t="str">
        <f>IF(_epmOfflineCondition_,"",IF(AND(I50="N",J50="N"),_xll.EVPRO($B$1,H50,"PSFTID"),""))</f>
        <v/>
      </c>
      <c r="N50" s="190" t="str">
        <f>IF(_epmOfflineCondition_,"Total Revenue",IF(_xll.EVDES(H50,$B$1)="#NODATA","",_xll.EVDES(H50,$B$1)))</f>
        <v>Total Revenue</v>
      </c>
      <c r="O50" s="123">
        <f>IF(_epmOfflineCondition_,0,_xll.EVGTS($B$1,1,$B$3,$B$5,$B$7,$B$9,O$16,O$17,O$18,$B$6,$H$50))</f>
        <v>0</v>
      </c>
      <c r="P50" s="123">
        <f>IF(_epmOfflineCondition_,0,_xll.EVGTS($B$1,1,$B$3,$B$5,$B$7,$B$9,P$16,P$17,P$18,$B$6,$H$50))</f>
        <v>0</v>
      </c>
      <c r="Q50" s="123">
        <f>IF(_epmOfflineCondition_,0,_xll.EVGTS($B$1,1,$B$3,$B$5,$B$7,$B$9,Q$16,Q$17,Q$18,$B$6,$H$50))</f>
        <v>0</v>
      </c>
      <c r="R50" s="123">
        <f>IF(_epmOfflineCondition_,0,_xll.EVGTS($B$1,1,$B$3,$B$5,$B$7,$B$9,R$16,R$17,R$18,$B$6,$H$50))</f>
        <v>0</v>
      </c>
      <c r="S50" s="123">
        <f>IF(_epmOfflineCondition_,0,_xll.EVGTS($B$1,1,$B$3,$B$5,$B$7,$B$9,S$16,S$17,S$18,$B$6,$H$50))</f>
        <v>0</v>
      </c>
      <c r="T50" s="123">
        <f>IF(_epmOfflineCondition_,0,_xll.EVGTS($B$1,1,$B$3,$B$5,$B$7,$B$9,T$16,T$17,T$18,$B$6,$H$50))</f>
        <v>0</v>
      </c>
      <c r="U50" s="123">
        <f>IF(_epmOfflineCondition_,0,_xll.EVGTS($B$1,1,$B$3,$B$5,$B$7,$B$9,U$16,U$17,U$18,$B$6,$H$50))</f>
        <v>0</v>
      </c>
      <c r="V50" s="123">
        <f>IF(_epmOfflineCondition_,0,_xll.EVGTS($B$1,1,$B$3,$B$5,$B$7,$B$9,V$16,V$17,V$18,$B$6,$H$50))</f>
        <v>0</v>
      </c>
      <c r="W50" s="123">
        <f>IF(_epmOfflineCondition_,0,_xll.EVGTS($B$1,1,$B$3,$B$5,$B$7,$B$9,W$16,W$17,W$18,$B$6,$H$50))</f>
        <v>0</v>
      </c>
      <c r="X50" s="123">
        <f>IF(_epmOfflineCondition_,0,_xll.EVGTS($B$1,1,$B$3,$B$5,$B$7,$B$9,X$16,X$17,X$18,$B$6,$H$50))</f>
        <v>0</v>
      </c>
      <c r="Y50" s="123">
        <f>IF(_epmOfflineCondition_,0,_xll.EVGTS($B$1,1,$B$3,$B$5,$B$7,$B$9,Y$16,Y$17,Y$18,$B$6,$H$50))</f>
        <v>0</v>
      </c>
      <c r="Z50" s="123">
        <f>IF(_epmOfflineCondition_,0,_xll.EVGTS($B$1,1,$B$3,$B$5,$B$7,$B$9,Z$16,Z$17,Z$18,$B$6,$H$50))</f>
        <v>0</v>
      </c>
      <c r="AA50" s="123">
        <f>IF($I50="B1","",SUM(O50:Z50))</f>
        <v>0</v>
      </c>
      <c r="AB50" s="124" t="str">
        <f>IF(AA50=0,"",IFERROR(AA50/AA$19,""))</f>
        <v/>
      </c>
      <c r="AC50" s="11"/>
      <c r="AD50" s="123">
        <f>IF(_epmOfflineCondition_,0,_xll.EVGTS($B$1,1,$B$3,$B$5,$B$7,$B$9,AD$16,AD$17,AD$18,$B$6,$H$50))</f>
        <v>0</v>
      </c>
      <c r="AE50" s="124" t="str">
        <f>IF(AD50=0,"",IFERROR(AD50/AD$19,""))</f>
        <v/>
      </c>
      <c r="AF50" s="125">
        <f>IF(AND($AA50="",AD50=""),"",$AA50-AD50)</f>
        <v>0</v>
      </c>
      <c r="AG50" s="123">
        <f>IF(_epmOfflineCondition_,0,_xll.EVGTS($B$1,1,$B$3,$B$5,$B$7,$B$9,AG$16,AG$17,AG$18,$B$6,$H$50))</f>
        <v>0</v>
      </c>
      <c r="AH50" s="124" t="str">
        <f>IF(AG50=0,"",IFERROR(AG50/AG$19,""))</f>
        <v/>
      </c>
      <c r="AI50" s="125">
        <f>IF(AND($AA50="",AG50=""),"",$AA50-AG50)</f>
        <v>0</v>
      </c>
      <c r="AJ50" s="388">
        <f>IFERROR(AA50/AA$20,0)</f>
        <v>0</v>
      </c>
      <c r="AK50" s="389">
        <f>IFERROR(AD50/AD$20,0)</f>
        <v>0</v>
      </c>
      <c r="AL50" s="390">
        <f>IFERROR(AG50/AG$20,0)</f>
        <v>0</v>
      </c>
      <c r="AM50" s="391">
        <f>+IFERROR(ROUND(($AB50-AE50)*100,2)&amp;" pts.",0)</f>
        <v>0</v>
      </c>
      <c r="AN50" s="544">
        <f>+IFERROR(ROUND(($AB50-AH50)*100,2)&amp;" pts.",0)</f>
        <v>0</v>
      </c>
      <c r="AO50" s="11"/>
    </row>
    <row r="51" spans="1:41" x14ac:dyDescent="0.35">
      <c r="A51" s="65" t="s">
        <v>5</v>
      </c>
      <c r="B51" s="66"/>
      <c r="C51" s="208"/>
      <c r="D51" s="11"/>
      <c r="E51" s="11"/>
      <c r="F51" s="11"/>
      <c r="G51" s="11"/>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8"/>
      <c r="AI51" s="368"/>
      <c r="AJ51" s="11"/>
      <c r="AK51" s="11"/>
      <c r="AL51" s="11"/>
      <c r="AM51" s="11"/>
      <c r="AN51" s="11"/>
      <c r="AO51" s="11"/>
    </row>
    <row r="52" spans="1:41" ht="15" thickBot="1" x14ac:dyDescent="0.4">
      <c r="A52" s="65" t="s">
        <v>6</v>
      </c>
      <c r="B52" s="66"/>
      <c r="C52" s="208"/>
      <c r="D52" s="11"/>
      <c r="E52" s="11"/>
      <c r="F52" s="11"/>
      <c r="G52" s="11"/>
      <c r="H52" s="11"/>
      <c r="I52" s="59"/>
      <c r="J52" s="59"/>
      <c r="K52" s="11"/>
      <c r="L52" s="59"/>
      <c r="M52" s="59"/>
      <c r="N52" s="106" t="s">
        <v>665</v>
      </c>
      <c r="O52" s="126">
        <f t="shared" ref="O52:Z52" si="2">O48-O50</f>
        <v>0</v>
      </c>
      <c r="P52" s="126">
        <f t="shared" si="2"/>
        <v>0</v>
      </c>
      <c r="Q52" s="126">
        <f t="shared" si="2"/>
        <v>0</v>
      </c>
      <c r="R52" s="126">
        <f t="shared" si="2"/>
        <v>0</v>
      </c>
      <c r="S52" s="126">
        <f t="shared" si="2"/>
        <v>0</v>
      </c>
      <c r="T52" s="126">
        <f t="shared" si="2"/>
        <v>0</v>
      </c>
      <c r="U52" s="126">
        <f t="shared" si="2"/>
        <v>0</v>
      </c>
      <c r="V52" s="126">
        <f t="shared" si="2"/>
        <v>0</v>
      </c>
      <c r="W52" s="126">
        <f t="shared" si="2"/>
        <v>0</v>
      </c>
      <c r="X52" s="126">
        <f t="shared" si="2"/>
        <v>0</v>
      </c>
      <c r="Y52" s="126">
        <f t="shared" si="2"/>
        <v>0</v>
      </c>
      <c r="Z52" s="126">
        <f t="shared" si="2"/>
        <v>0</v>
      </c>
      <c r="AA52" s="126">
        <f>IF($I52="B1","",SUM(O52:Z52))</f>
        <v>0</v>
      </c>
      <c r="AB52" s="127" t="str">
        <f>IF(AA52=0,"",IFERROR(AA52/AA$19,""))</f>
        <v/>
      </c>
      <c r="AC52" s="11"/>
      <c r="AD52" s="126">
        <f>AD48-AD50</f>
        <v>0</v>
      </c>
      <c r="AE52" s="127" t="str">
        <f>IF(AD52=0,"",IFERROR(AD52/AD$19,""))</f>
        <v/>
      </c>
      <c r="AF52" s="128">
        <f>IF(AND($AA52="",AD52=""),"",$AA52-AD52)</f>
        <v>0</v>
      </c>
      <c r="AG52" s="126">
        <f>AG48-AG50</f>
        <v>0</v>
      </c>
      <c r="AH52" s="127" t="str">
        <f>IF(AG52=0,"",IFERROR(AG52/AG$19,""))</f>
        <v/>
      </c>
      <c r="AI52" s="128">
        <f>IF(AND($AA52="",AG52=""),"",$AA52-AG52)</f>
        <v>0</v>
      </c>
      <c r="AJ52" s="419">
        <f>IFERROR(AA52/AA$20,0)</f>
        <v>0</v>
      </c>
      <c r="AK52" s="420">
        <f>IFERROR(AD52/AD$20,0)</f>
        <v>0</v>
      </c>
      <c r="AL52" s="421">
        <f>IFERROR(AG52/AG$20,0)</f>
        <v>0</v>
      </c>
      <c r="AM52" s="422">
        <f>+IFERROR(ROUND(($AB52-AE52)*100,2)&amp;" pts.",0)</f>
        <v>0</v>
      </c>
      <c r="AN52" s="545">
        <f>+IFERROR(ROUND(($AB52-AH52)*100,2)&amp;" pts.",0)</f>
        <v>0</v>
      </c>
      <c r="AO52" s="11"/>
    </row>
    <row r="53" spans="1:41" ht="15" thickTop="1" x14ac:dyDescent="0.35">
      <c r="A53" s="65" t="s">
        <v>7</v>
      </c>
      <c r="B53" s="66"/>
      <c r="C53" s="208"/>
      <c r="D53" s="11"/>
      <c r="E53" s="11"/>
      <c r="F53" s="11"/>
      <c r="G53" s="11"/>
      <c r="H53" s="11"/>
      <c r="I53" s="59"/>
      <c r="J53" s="59"/>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35">
      <c r="A54" s="65" t="s">
        <v>47</v>
      </c>
      <c r="B54" s="66" t="str">
        <f>IF(_epmOfflineCondition_,"'Dining'!$A$68:$B$89",_xll.EVRNG($A$68:$B$89))</f>
        <v>'Dining'!$A$68:$B$89</v>
      </c>
      <c r="C54" s="208"/>
      <c r="D54" s="11"/>
      <c r="E54" s="11"/>
      <c r="F54" s="11"/>
      <c r="G54" s="11"/>
      <c r="H54" s="11"/>
      <c r="I54" s="59"/>
      <c r="J54" s="59"/>
      <c r="K54" s="11"/>
      <c r="L54" s="59"/>
      <c r="M54" s="59"/>
      <c r="N54" s="105" t="s">
        <v>595</v>
      </c>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hidden="1" x14ac:dyDescent="0.35">
      <c r="A55" s="65" t="s">
        <v>8</v>
      </c>
      <c r="B55" s="66"/>
      <c r="C55" s="208"/>
      <c r="D55" s="11"/>
      <c r="E55" s="11"/>
      <c r="F55" s="11"/>
      <c r="G55" s="11"/>
      <c r="H55" s="185" t="s">
        <v>667</v>
      </c>
      <c r="I55" s="122" t="str">
        <f>IF(_epmOfflineCondition_,"",_xll.EVPRO($B$1,$H55,"STYLE"))</f>
        <v/>
      </c>
      <c r="J55" s="122" t="str">
        <f>IF(_epmOfflineCondition_,"",_xll.EVPRO($B$1,$H55,"CALC"))</f>
        <v/>
      </c>
      <c r="K55" s="90"/>
      <c r="L55" s="90"/>
      <c r="M55" s="90"/>
      <c r="N55" s="90" t="str">
        <f>IF(_epmOfflineCondition_,"",IF(_xll.EVDES(H55,$B$1)="#NODATA","",_xll.EVDES(H55,$B$1)))</f>
        <v/>
      </c>
      <c r="O55" s="143"/>
      <c r="P55" s="143"/>
      <c r="Q55" s="143"/>
      <c r="R55" s="143"/>
      <c r="S55" s="143"/>
      <c r="T55" s="143"/>
      <c r="U55" s="143"/>
      <c r="V55" s="143"/>
      <c r="W55" s="143"/>
      <c r="X55" s="143"/>
      <c r="Y55" s="143"/>
      <c r="Z55" s="143"/>
      <c r="AA55" s="143">
        <f>IF($I55="B1","",SUM(O55:Z55))</f>
        <v>0</v>
      </c>
      <c r="AB55" s="144" t="str">
        <f>IF(AA55=0,"",IFERROR(AA55/AA$19,""))</f>
        <v/>
      </c>
      <c r="AC55" s="140"/>
      <c r="AD55" s="143"/>
      <c r="AE55" s="144" t="str">
        <f>IF(AD55=0,"",IFERROR(AD55/AD$19,""))</f>
        <v/>
      </c>
      <c r="AF55" s="145">
        <f>IF(AND($AA55="",AD55=""),"",$AA55-AD55)</f>
        <v>0</v>
      </c>
      <c r="AG55" s="143"/>
      <c r="AH55" s="144" t="str">
        <f>IF(AG55=0,"",IFERROR(AG55/AG$19,""))</f>
        <v/>
      </c>
      <c r="AI55" s="145">
        <f>IF(AND($AA55="",AG55=""),"",$AA55-AG55)</f>
        <v>0</v>
      </c>
      <c r="AJ55" s="440">
        <f>IFERROR(AA55/AA$20,0)</f>
        <v>0</v>
      </c>
      <c r="AK55" s="441">
        <f>IFERROR(AD55/AD$20,0)</f>
        <v>0</v>
      </c>
      <c r="AL55" s="442">
        <f>IFERROR(AG55/AG$20,0)</f>
        <v>0</v>
      </c>
      <c r="AM55" s="443">
        <f>+IFERROR(ROUND(($AB55-AE55)*100,2)&amp;" pts.",0)</f>
        <v>0</v>
      </c>
      <c r="AN55" s="444">
        <f>+IFERROR(ROUND(($AB55-AH55)*100,2)&amp;" pts.",0)</f>
        <v>0</v>
      </c>
      <c r="AO55" s="11"/>
    </row>
    <row r="56" spans="1:41" hidden="1" x14ac:dyDescent="0.35">
      <c r="A56" s="11"/>
      <c r="B56" s="11"/>
      <c r="C56" s="208"/>
      <c r="D56" s="11"/>
      <c r="E56" s="11"/>
      <c r="F56" s="11"/>
      <c r="G56" s="11"/>
      <c r="H56" s="185"/>
      <c r="I56" s="122" t="str">
        <f>IF(_epmOfflineCondition_,"",_xll.EVPRO($B$1,$H56,"STYLE"))</f>
        <v/>
      </c>
      <c r="J56" s="122" t="str">
        <f>IF(_epmOfflineCondition_,"",_xll.EVPRO($B$1,$H56,"CALC"))</f>
        <v/>
      </c>
      <c r="K56" s="90"/>
      <c r="L56" s="90"/>
      <c r="M56" s="90"/>
      <c r="N56" s="90" t="str">
        <f>IF(_epmOfflineCondition_,"",IF(_xll.EVDES(H56,$B$1)="#NODATA","",_xll.EVDES(H56,$B$1)))</f>
        <v/>
      </c>
      <c r="O56" s="143"/>
      <c r="P56" s="143"/>
      <c r="Q56" s="143"/>
      <c r="R56" s="143"/>
      <c r="S56" s="143"/>
      <c r="T56" s="143"/>
      <c r="U56" s="143"/>
      <c r="V56" s="143"/>
      <c r="W56" s="143"/>
      <c r="X56" s="143"/>
      <c r="Y56" s="143"/>
      <c r="Z56" s="143"/>
      <c r="AA56" s="143">
        <f>IF($I56="B1","",SUM(O56:Z56))</f>
        <v>0</v>
      </c>
      <c r="AB56" s="144" t="str">
        <f>IF(AA56=0,"",IFERROR(AA56/AA$19,""))</f>
        <v/>
      </c>
      <c r="AC56" s="140"/>
      <c r="AD56" s="143"/>
      <c r="AE56" s="144" t="str">
        <f>IF(AD56=0,"",IFERROR(AD56/AD$19,""))</f>
        <v/>
      </c>
      <c r="AF56" s="145">
        <f>IF(AND($AA56="",AD56=""),"",$AA56-AD56)</f>
        <v>0</v>
      </c>
      <c r="AG56" s="143"/>
      <c r="AH56" s="144" t="str">
        <f>IF(AG56=0,"",IFERROR(AG56/AG$19,""))</f>
        <v/>
      </c>
      <c r="AI56" s="145">
        <f>IF(AND($AA56="",AG56=""),"",$AA56-AG56)</f>
        <v>0</v>
      </c>
      <c r="AJ56" s="440">
        <f>IFERROR(AA56/AA$20,0)</f>
        <v>0</v>
      </c>
      <c r="AK56" s="441">
        <f>IFERROR(AD56/AD$20,0)</f>
        <v>0</v>
      </c>
      <c r="AL56" s="442">
        <f>IFERROR(AG56/AG$20,0)</f>
        <v>0</v>
      </c>
      <c r="AM56" s="443">
        <f>+IFERROR(ROUND(($AB56-AE56)*100,2)&amp;" pts.",0)</f>
        <v>0</v>
      </c>
      <c r="AN56" s="444">
        <f>+IFERROR(ROUND(($AB56-AH56)*100,2)&amp;" pts.",0)</f>
        <v>0</v>
      </c>
      <c r="AO56" s="11"/>
    </row>
    <row r="57" spans="1:41" x14ac:dyDescent="0.35">
      <c r="A57" s="62" t="s">
        <v>9</v>
      </c>
      <c r="B57" s="63" t="s">
        <v>10</v>
      </c>
      <c r="C57" s="208"/>
      <c r="D57" s="11"/>
      <c r="E57" s="11"/>
      <c r="F57" s="11"/>
      <c r="G57" s="11"/>
      <c r="H57" s="59"/>
      <c r="I57" s="59"/>
      <c r="J57" s="11"/>
      <c r="K57" s="11"/>
      <c r="L57" s="59"/>
      <c r="M57" s="59"/>
      <c r="N57" s="106" t="s">
        <v>555</v>
      </c>
      <c r="O57" s="112">
        <f t="shared" ref="O57:Z57" si="3">SUM(O55:O56)</f>
        <v>0</v>
      </c>
      <c r="P57" s="112">
        <f t="shared" si="3"/>
        <v>0</v>
      </c>
      <c r="Q57" s="112">
        <f t="shared" si="3"/>
        <v>0</v>
      </c>
      <c r="R57" s="112">
        <f t="shared" si="3"/>
        <v>0</v>
      </c>
      <c r="S57" s="112">
        <f t="shared" si="3"/>
        <v>0</v>
      </c>
      <c r="T57" s="112">
        <f t="shared" si="3"/>
        <v>0</v>
      </c>
      <c r="U57" s="112">
        <f t="shared" si="3"/>
        <v>0</v>
      </c>
      <c r="V57" s="112">
        <f t="shared" si="3"/>
        <v>0</v>
      </c>
      <c r="W57" s="112">
        <f t="shared" si="3"/>
        <v>0</v>
      </c>
      <c r="X57" s="112">
        <f t="shared" si="3"/>
        <v>0</v>
      </c>
      <c r="Y57" s="112">
        <f t="shared" si="3"/>
        <v>0</v>
      </c>
      <c r="Z57" s="112">
        <f t="shared" si="3"/>
        <v>0</v>
      </c>
      <c r="AA57" s="112">
        <f>IF($I57="B1","",SUM(O57:Z57))</f>
        <v>0</v>
      </c>
      <c r="AB57" s="113" t="str">
        <f>IF(AA57=0,"",IFERROR(AA57/AA$19,""))</f>
        <v/>
      </c>
      <c r="AC57" s="11"/>
      <c r="AD57" s="112">
        <f>SUM(AD55:AD56)</f>
        <v>0</v>
      </c>
      <c r="AE57" s="113" t="str">
        <f>IF(AD57=0,"",IFERROR(AD57/AD$19,""))</f>
        <v/>
      </c>
      <c r="AF57" s="114">
        <f>IF(AND($AA57="",AD57=""),"",$AA57-AD57)</f>
        <v>0</v>
      </c>
      <c r="AG57" s="112">
        <f>SUM(AG55:AG56)</f>
        <v>0</v>
      </c>
      <c r="AH57" s="113" t="str">
        <f>IF(AG57=0,"",IFERROR(AG57/AG$19,""))</f>
        <v/>
      </c>
      <c r="AI57" s="114">
        <f>IF(AND($AA57="",AG57=""),"",$AA57-AG57)</f>
        <v>0</v>
      </c>
      <c r="AJ57" s="415">
        <f>IFERROR(AA57/AA$20,0)</f>
        <v>0</v>
      </c>
      <c r="AK57" s="416">
        <f>IFERROR(AD57/AD$20,0)</f>
        <v>0</v>
      </c>
      <c r="AL57" s="417">
        <f>IFERROR(AG57/AG$20,0)</f>
        <v>0</v>
      </c>
      <c r="AM57" s="418">
        <f>+IFERROR(ROUND(($AB57-AE57)*100,2)&amp;" pts.",0)</f>
        <v>0</v>
      </c>
      <c r="AN57" s="543">
        <f>+IFERROR(ROUND(($AB57-AH57)*100,2)&amp;" pts.",0)</f>
        <v>0</v>
      </c>
      <c r="AO57" s="11"/>
    </row>
    <row r="58" spans="1:41" x14ac:dyDescent="0.35">
      <c r="A58" s="65" t="s">
        <v>11</v>
      </c>
      <c r="B58" s="66" t="s">
        <v>21</v>
      </c>
      <c r="C58" s="208"/>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ht="15" thickBot="1" x14ac:dyDescent="0.4">
      <c r="A59" s="65" t="s">
        <v>12</v>
      </c>
      <c r="B59" s="66" t="s">
        <v>22</v>
      </c>
      <c r="C59" s="11"/>
      <c r="D59" s="11"/>
      <c r="E59" s="11"/>
      <c r="F59" s="11"/>
      <c r="G59" s="11"/>
      <c r="H59" s="59"/>
      <c r="I59" s="59"/>
      <c r="J59" s="11"/>
      <c r="K59" s="11"/>
      <c r="L59" s="59"/>
      <c r="M59" s="59"/>
      <c r="N59" s="106" t="s">
        <v>558</v>
      </c>
      <c r="O59" s="126">
        <f t="shared" ref="O59:Z59" si="4">O52+O57</f>
        <v>0</v>
      </c>
      <c r="P59" s="126">
        <f t="shared" si="4"/>
        <v>0</v>
      </c>
      <c r="Q59" s="126">
        <f t="shared" si="4"/>
        <v>0</v>
      </c>
      <c r="R59" s="126">
        <f t="shared" si="4"/>
        <v>0</v>
      </c>
      <c r="S59" s="126">
        <f t="shared" si="4"/>
        <v>0</v>
      </c>
      <c r="T59" s="126">
        <f t="shared" si="4"/>
        <v>0</v>
      </c>
      <c r="U59" s="126">
        <f t="shared" si="4"/>
        <v>0</v>
      </c>
      <c r="V59" s="126">
        <f t="shared" si="4"/>
        <v>0</v>
      </c>
      <c r="W59" s="126">
        <f t="shared" si="4"/>
        <v>0</v>
      </c>
      <c r="X59" s="126">
        <f t="shared" si="4"/>
        <v>0</v>
      </c>
      <c r="Y59" s="126">
        <f t="shared" si="4"/>
        <v>0</v>
      </c>
      <c r="Z59" s="126">
        <f t="shared" si="4"/>
        <v>0</v>
      </c>
      <c r="AA59" s="126">
        <f>IF($I59="B1","",SUM(O59:Z59))</f>
        <v>0</v>
      </c>
      <c r="AB59" s="127" t="str">
        <f>IF(AA59=0,"",IFERROR(AA59/AA$19,""))</f>
        <v/>
      </c>
      <c r="AC59" s="11"/>
      <c r="AD59" s="126">
        <f>AD52+AD57</f>
        <v>0</v>
      </c>
      <c r="AE59" s="127" t="str">
        <f>IF(AD59=0,"",IFERROR(AD59/AD$19,""))</f>
        <v/>
      </c>
      <c r="AF59" s="128">
        <f>IF(AND($AA59="",AD59=""),"",$AA59-AD59)</f>
        <v>0</v>
      </c>
      <c r="AG59" s="126">
        <f>AG52+AG57</f>
        <v>0</v>
      </c>
      <c r="AH59" s="127" t="str">
        <f>IF(AG59=0,"",IFERROR(AG59/AG$19,""))</f>
        <v/>
      </c>
      <c r="AI59" s="128">
        <f>IF(AND($AA59="",AG59=""),"",$AA59-AG59)</f>
        <v>0</v>
      </c>
      <c r="AJ59" s="11"/>
      <c r="AK59" s="11"/>
      <c r="AL59" s="11"/>
      <c r="AM59" s="11"/>
      <c r="AN59" s="11"/>
      <c r="AO59" s="11"/>
    </row>
    <row r="60" spans="1:41" ht="15" thickTop="1" x14ac:dyDescent="0.35">
      <c r="A60" s="65" t="s">
        <v>13</v>
      </c>
      <c r="B60" s="66" t="s">
        <v>594</v>
      </c>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35">
      <c r="A61" s="65" t="s">
        <v>14</v>
      </c>
      <c r="B61" s="608"/>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35">
      <c r="A62" s="65" t="s">
        <v>15</v>
      </c>
      <c r="B62" s="66"/>
      <c r="C62" s="11"/>
      <c r="D62" s="11"/>
      <c r="E62" s="11"/>
      <c r="F62" s="11"/>
      <c r="G62" s="11"/>
      <c r="H62" s="88" t="s">
        <v>56</v>
      </c>
      <c r="I62" s="136" t="str">
        <f>IF(_epmOfflineCondition_,"T2",_xll.EVPRO($B$1,$H62,"STYLE"))</f>
        <v>T2</v>
      </c>
      <c r="J62" s="136" t="str">
        <f>IF(_epmOfflineCondition_,"Y",_xll.EVPRO($B$1,$H62,"CALC"))</f>
        <v>Y</v>
      </c>
      <c r="K62" s="106"/>
      <c r="L62" s="59"/>
      <c r="M62" s="59"/>
      <c r="N62" s="106" t="s">
        <v>666</v>
      </c>
      <c r="O62" s="209">
        <f>IF(_epmOfflineCondition_,0,_xll.EVGTS($B$1,1,$B$3,$B$5,$B$7,$B$9,O$16,O$17,O$18,$B$6,$H62))</f>
        <v>0</v>
      </c>
      <c r="P62" s="209">
        <f>IF(_epmOfflineCondition_,0,_xll.EVGTS($B$1,1,$B$3,$B$5,$B$7,$B$9,P$16,P$17,P$18,$B$6,$H62))</f>
        <v>0</v>
      </c>
      <c r="Q62" s="209">
        <f>IF(_epmOfflineCondition_,0,_xll.EVGTS($B$1,1,$B$3,$B$5,$B$7,$B$9,Q$16,Q$17,Q$18,$B$6,$H62))</f>
        <v>0</v>
      </c>
      <c r="R62" s="209">
        <f>IF(_epmOfflineCondition_,0,_xll.EVGTS($B$1,1,$B$3,$B$5,$B$7,$B$9,R$16,R$17,R$18,$B$6,$H62))</f>
        <v>0</v>
      </c>
      <c r="S62" s="209">
        <f>IF(_epmOfflineCondition_,0,_xll.EVGTS($B$1,1,$B$3,$B$5,$B$7,$B$9,S$16,S$17,S$18,$B$6,$H62))</f>
        <v>0</v>
      </c>
      <c r="T62" s="209">
        <f>IF(_epmOfflineCondition_,0,_xll.EVGTS($B$1,1,$B$3,$B$5,$B$7,$B$9,T$16,T$17,T$18,$B$6,$H62))</f>
        <v>0</v>
      </c>
      <c r="U62" s="209">
        <f>IF(_epmOfflineCondition_,0,_xll.EVGTS($B$1,1,$B$3,$B$5,$B$7,$B$9,U$16,U$17,U$18,$B$6,$H62))</f>
        <v>0</v>
      </c>
      <c r="V62" s="209">
        <f>IF(_epmOfflineCondition_,0,_xll.EVGTS($B$1,1,$B$3,$B$5,$B$7,$B$9,V$16,V$17,V$18,$B$6,$H62))</f>
        <v>0</v>
      </c>
      <c r="W62" s="209">
        <f>IF(_epmOfflineCondition_,0,_xll.EVGTS($B$1,1,$B$3,$B$5,$B$7,$B$9,W$16,W$17,W$18,$B$6,$H62))</f>
        <v>0</v>
      </c>
      <c r="X62" s="209">
        <f>IF(_epmOfflineCondition_,0,_xll.EVGTS($B$1,1,$B$3,$B$5,$B$7,$B$9,X$16,X$17,X$18,$B$6,$H62))</f>
        <v>0</v>
      </c>
      <c r="Y62" s="209">
        <f>IF(_epmOfflineCondition_,0,_xll.EVGTS($B$1,1,$B$3,$B$5,$B$7,$B$9,Y$16,Y$17,Y$18,$B$6,$H62))</f>
        <v>0</v>
      </c>
      <c r="Z62" s="209">
        <f>IF(_epmOfflineCondition_,0,_xll.EVGTS($B$1,1,$B$3,$B$5,$B$7,$B$9,Z$16,Z$17,Z$18,$B$6,$H62))</f>
        <v>0</v>
      </c>
      <c r="AA62" s="91">
        <f>IF($I62="B1","",SUM(O62:Z62))</f>
        <v>0</v>
      </c>
      <c r="AB62" s="209"/>
      <c r="AC62" s="11"/>
      <c r="AD62" s="209">
        <f>IF(_epmOfflineCondition_,0,_xll.EVGTS($B$1,1,$B$3,$B$5,$B$7,$B$9,AD$16,AD$17,AD$18,$B$6,$H62))</f>
        <v>0</v>
      </c>
      <c r="AE62" s="209"/>
      <c r="AF62" s="209"/>
      <c r="AG62" s="209">
        <f>IF(_epmOfflineCondition_,0,_xll.EVGTS($B$1,1,$B$3,$B$5,$B$7,$B$9,AG$16,AG$17,AG$18,$B$6,$H62))</f>
        <v>0</v>
      </c>
      <c r="AH62" s="209"/>
      <c r="AI62" s="209"/>
      <c r="AJ62" s="11"/>
      <c r="AK62" s="11"/>
      <c r="AL62" s="11"/>
      <c r="AM62" s="11"/>
      <c r="AN62" s="11"/>
      <c r="AO62" s="11"/>
    </row>
    <row r="63" spans="1:41" x14ac:dyDescent="0.35">
      <c r="A63" s="65" t="s">
        <v>16</v>
      </c>
      <c r="B63" s="66" t="s">
        <v>78</v>
      </c>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35">
      <c r="A64" s="65" t="s">
        <v>17</v>
      </c>
      <c r="B64" s="66"/>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3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35">
      <c r="A67" s="62" t="s">
        <v>23</v>
      </c>
      <c r="B67" s="63" t="s">
        <v>24</v>
      </c>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65" t="s">
        <v>25</v>
      </c>
      <c r="B68" s="66"/>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65" t="s">
        <v>26</v>
      </c>
      <c r="B69" s="66"/>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65" t="s">
        <v>27</v>
      </c>
      <c r="B70" s="66"/>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65" t="s">
        <v>28</v>
      </c>
      <c r="B71" s="66"/>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65" t="s">
        <v>29</v>
      </c>
      <c r="B72" s="66"/>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65" t="s">
        <v>30</v>
      </c>
      <c r="B73" s="66" t="s">
        <v>78</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65" t="s">
        <v>31</v>
      </c>
      <c r="B74" s="66" t="s">
        <v>78</v>
      </c>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65" t="s">
        <v>32</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65" t="s">
        <v>33</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65" t="s">
        <v>34</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65" t="s">
        <v>35</v>
      </c>
      <c r="B78" s="66"/>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65" t="s">
        <v>36</v>
      </c>
      <c r="B79" s="66"/>
      <c r="C79" s="208"/>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65" t="s">
        <v>37</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65" t="s">
        <v>38</v>
      </c>
      <c r="B81" s="66"/>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65" t="s">
        <v>39</v>
      </c>
      <c r="B82" s="66"/>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65" t="s">
        <v>40</v>
      </c>
      <c r="B83" s="66"/>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65" t="s">
        <v>41</v>
      </c>
      <c r="B84" s="66"/>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65" t="s">
        <v>42</v>
      </c>
      <c r="B85" s="66"/>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65" t="s">
        <v>43</v>
      </c>
      <c r="B86" s="66"/>
      <c r="C86" s="11"/>
      <c r="D86" s="11"/>
      <c r="E86" s="11"/>
      <c r="F86" s="11"/>
      <c r="G86" s="11"/>
      <c r="H86" s="11"/>
      <c r="I86" s="59"/>
      <c r="J86" s="59"/>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65" t="s">
        <v>44</v>
      </c>
      <c r="B87" s="66"/>
      <c r="C87" s="11"/>
      <c r="D87" s="11"/>
      <c r="E87" s="11"/>
      <c r="F87" s="11"/>
      <c r="G87" s="11"/>
      <c r="H87" s="11"/>
      <c r="I87" s="59"/>
      <c r="J87" s="59"/>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65" t="s">
        <v>45</v>
      </c>
      <c r="B88" s="66"/>
      <c r="C88" s="11"/>
      <c r="D88" s="11"/>
      <c r="E88" s="11"/>
      <c r="F88" s="11"/>
      <c r="G88" s="11"/>
      <c r="H88" s="11"/>
      <c r="I88" s="59"/>
      <c r="J88" s="59"/>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65" t="s">
        <v>46</v>
      </c>
      <c r="B89" s="66"/>
      <c r="C89" s="11"/>
      <c r="D89" s="11"/>
      <c r="E89" s="11"/>
      <c r="F89" s="11"/>
      <c r="G89" s="11"/>
      <c r="H89" s="11"/>
      <c r="I89" s="59"/>
      <c r="J89" s="59"/>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sheetData>
  <sheetProtection algorithmName="SHA-512" hashValue="7N2kZenPYC635xuYy51OeWqriJ4PoN4zWbqlDF9peQ1Getn2uGXk+YJbCkrxJWtEzallixMjdy7kg6ZP7b83GQ==" saltValue="povhj+xLNLdLg/MIpntKWA==" spinCount="100000" sheet="1" scenarios="1"/>
  <mergeCells count="2">
    <mergeCell ref="AD31:AE31"/>
    <mergeCell ref="AG31:AH31"/>
  </mergeCells>
  <dataValidations disablePrompts="1" count="2">
    <dataValidation type="list" allowBlank="1" sqref="B60 B29" xr:uid="{00000000-0002-0000-2F00-000000000000}">
      <formula1>"SELF,ALL,BAS,DEP,BASMEMBERS,MEMBERS,NOEXPAND,GDEP"</formula1>
    </dataValidation>
    <dataValidation type="list" allowBlank="1" sqref="B59 B28" xr:uid="{00000000-0002-0000-2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554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5543" r:id="rId7" name="FPMExcelClientSheetOptionstb1"/>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2">
    <pageSetUpPr fitToPage="1"/>
  </sheetPr>
  <dimension ref="A1:AO9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796875" defaultRowHeight="14.5" outlineLevelRow="1" outlineLevelCol="1" x14ac:dyDescent="0.35"/>
  <cols>
    <col min="1" max="1" width="17" style="1" hidden="1" customWidth="1" outlineLevel="1"/>
    <col min="2" max="2" width="20.26953125" style="1" hidden="1" customWidth="1" outlineLevel="1"/>
    <col min="3" max="6" width="12.81640625" style="1" hidden="1" customWidth="1" outlineLevel="1"/>
    <col min="7" max="7" width="17.81640625" style="1" hidden="1" customWidth="1" outlineLevel="1"/>
    <col min="8" max="8" width="13.1796875" style="1" hidden="1" customWidth="1" outlineLevel="1"/>
    <col min="9" max="10" width="4.7265625" style="2" hidden="1" customWidth="1" outlineLevel="1"/>
    <col min="11" max="11" width="3.7265625" style="1" customWidth="1" collapsed="1"/>
    <col min="12" max="12" width="9.7265625" style="2" hidden="1" customWidth="1" outlineLevel="1" collapsed="1"/>
    <col min="13" max="13" width="9.7265625" style="2" hidden="1" customWidth="1" outlineLevel="1"/>
    <col min="14" max="14" width="36.7265625" style="1" customWidth="1" collapsed="1"/>
    <col min="15" max="26" width="11.7265625" style="1" customWidth="1" outlineLevel="1"/>
    <col min="27" max="27" width="12.7265625" style="1" customWidth="1"/>
    <col min="28" max="28" width="7.7265625" style="1" customWidth="1"/>
    <col min="29" max="29" width="1.7265625" style="1" customWidth="1"/>
    <col min="30" max="30" width="12.7265625" style="1" customWidth="1"/>
    <col min="31" max="31" width="7.7265625" style="1" customWidth="1"/>
    <col min="32" max="32" width="11.7265625" style="1" customWidth="1"/>
    <col min="33" max="33" width="12.7265625" style="1" customWidth="1"/>
    <col min="34" max="34" width="7.7265625" style="1" customWidth="1"/>
    <col min="35" max="35" width="11.7265625" style="1" customWidth="1"/>
    <col min="36" max="40" width="0" style="1" hidden="1" customWidth="1" outlineLevel="1"/>
    <col min="41" max="41" width="9.1796875" style="1" collapsed="1"/>
    <col min="42" max="16384" width="9.1796875" style="1"/>
  </cols>
  <sheetData>
    <row r="1" spans="1:41" hidden="1" outlineLevel="1" x14ac:dyDescent="0.3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3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3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35">
      <c r="A4" s="53" t="s">
        <v>19</v>
      </c>
      <c r="B4" s="57" t="str">
        <f>SetUp!$D$6</f>
        <v>CURRENT</v>
      </c>
      <c r="C4" s="11" t="str">
        <f>IF(_epmOfflineCondition_,"Forecast",_xll.EVDES(B4,$B$1))</f>
        <v>Forecast</v>
      </c>
      <c r="D4" s="11"/>
      <c r="E4" s="58" t="str">
        <f>IF(_epmOfflineCondition_,"20210100",_xll.EVPRO($B$1,$B$4,"STARTMTH"))</f>
        <v>20210100</v>
      </c>
      <c r="F4" s="58" t="str">
        <f>IF(_epmOfflineCondition_,"20210100",IF(SetUp!$D$8="FCST",_xll.EVPRO($B$1,"CURRENT","STARTMTH"),IF(SetUp!$D$8="BUD",_xll.EVPRO($B$1,"BUDGET","STARTMTH"))))</f>
        <v>20210100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3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35">
      <c r="A6" s="53" t="s">
        <v>52</v>
      </c>
      <c r="B6" s="56" t="s">
        <v>499</v>
      </c>
      <c r="C6" s="11" t="str">
        <f>IF(_epmOfflineCondition_,"Consolidated Hotel &amp; F&amp;B Departments",_xll.EVDES(B6,$B$1))</f>
        <v>Consolidated Hotel &amp; F&amp;B Departments</v>
      </c>
      <c r="D6" s="11"/>
      <c r="E6" s="58" t="str">
        <f>IF(_epmOfflineCondition_,"",_xll.EVPRO($B$1,$B$6,$F$6))</f>
        <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3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3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3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35">
      <c r="A10" s="53" t="s">
        <v>18</v>
      </c>
      <c r="B10" s="57" t="str">
        <f>SetUp!$D$7</f>
        <v>2020.TOTAL</v>
      </c>
      <c r="C10" s="11" t="str">
        <f>IF(_epmOfflineCondition_,"2020 TOTAL",_xll.EVDES(B10,$B$1))</f>
        <v>2020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3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35">
      <c r="A12" s="11" t="s">
        <v>115</v>
      </c>
      <c r="B12" s="58" t="str">
        <f>IF(_epmOfflineCondition_,"2020",_xll.EVPRO($B$1,$B$10,"YEAR"))</f>
        <v>2020</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35">
      <c r="A13" s="11" t="s">
        <v>602</v>
      </c>
      <c r="B13" s="58" t="str">
        <f>IF(_epmOfflineCondition_,"2020",IF($D$10="FY",_xll.EVPRO($B$1,$D$10&amp;$B$12&amp;".TOTAL","Current"),_xll.EVPRO($B$1,$B$12&amp;".TOTAL","Current")))</f>
        <v>2020</v>
      </c>
      <c r="C13" s="11"/>
      <c r="D13" s="11"/>
      <c r="E13" s="11"/>
      <c r="F13" s="11"/>
      <c r="G13" s="11"/>
      <c r="H13" s="11"/>
      <c r="I13" s="59"/>
      <c r="J13" s="59"/>
      <c r="K13" s="11"/>
      <c r="L13" s="59"/>
      <c r="M13" s="59"/>
      <c r="N13" s="11" t="s">
        <v>598</v>
      </c>
      <c r="O13" s="5" t="str">
        <f>IF(_epmOfflineCondition_,"20200100",_xll.EVPRO($B$1,O16,"TIMEID"))</f>
        <v>20200100</v>
      </c>
      <c r="P13" s="5" t="str">
        <f>IF(_epmOfflineCondition_,"20200200",_xll.EVPRO($B$1,P16,"TIMEID"))</f>
        <v>20200200</v>
      </c>
      <c r="Q13" s="5" t="str">
        <f>IF(_epmOfflineCondition_,"20200300",_xll.EVPRO($B$1,Q16,"TIMEID"))</f>
        <v>20200300</v>
      </c>
      <c r="R13" s="5" t="str">
        <f>IF(_epmOfflineCondition_,"20200400",_xll.EVPRO($B$1,R16,"TIMEID"))</f>
        <v>20200400</v>
      </c>
      <c r="S13" s="5" t="str">
        <f>IF(_epmOfflineCondition_,"20200500",_xll.EVPRO($B$1,S16,"TIMEID"))</f>
        <v>20200500</v>
      </c>
      <c r="T13" s="5" t="str">
        <f>IF(_epmOfflineCondition_,"20200600",_xll.EVPRO($B$1,T16,"TIMEID"))</f>
        <v>20200600</v>
      </c>
      <c r="U13" s="5" t="str">
        <f>IF(_epmOfflineCondition_,"20200700",_xll.EVPRO($B$1,U16,"TIMEID"))</f>
        <v>20200700</v>
      </c>
      <c r="V13" s="5" t="str">
        <f>IF(_epmOfflineCondition_,"20200800",_xll.EVPRO($B$1,V16,"TIMEID"))</f>
        <v>20200800</v>
      </c>
      <c r="W13" s="5" t="str">
        <f>IF(_epmOfflineCondition_,"20200900",_xll.EVPRO($B$1,W16,"TIMEID"))</f>
        <v>20200900</v>
      </c>
      <c r="X13" s="5" t="str">
        <f>IF(_epmOfflineCondition_,"20201000",_xll.EVPRO($B$1,X16,"TIMEID"))</f>
        <v>20201000</v>
      </c>
      <c r="Y13" s="5" t="str">
        <f>IF(_epmOfflineCondition_,"20201100",_xll.EVPRO($B$1,Y16,"TIMEID"))</f>
        <v>20201100</v>
      </c>
      <c r="Z13" s="5" t="str">
        <f>IF(_epmOfflineCondition_,"20201200",_xll.EVPRO($B$1,Z16,"TIMEID"))</f>
        <v>20201200</v>
      </c>
      <c r="AA13" s="5" t="str">
        <f>IF(_epmOfflineCondition_,"10000159",_xll.EVPRO($B$1,AA16,"TIMEID"))</f>
        <v>10000159</v>
      </c>
      <c r="AB13" s="11"/>
      <c r="AC13" s="11"/>
      <c r="AD13" s="5" t="str">
        <f>IF(_epmOfflineCondition_,"10000159",_xll.EVPRO($B$1,AD16,"TIMEID"))</f>
        <v>10000159</v>
      </c>
      <c r="AE13" s="11"/>
      <c r="AF13" s="11"/>
      <c r="AG13" s="5" t="str">
        <f>IF(_epmOfflineCondition_,"10000149",_xll.EVPRO($B$1,AG16,"TIMEID"))</f>
        <v>10000149</v>
      </c>
      <c r="AH13" s="11"/>
      <c r="AI13" s="11"/>
      <c r="AJ13" s="11"/>
      <c r="AK13" s="11"/>
      <c r="AL13" s="11"/>
      <c r="AM13" s="11"/>
      <c r="AN13" s="11"/>
      <c r="AO13" s="11"/>
    </row>
    <row r="14" spans="1:41" hidden="1" outlineLevel="1" x14ac:dyDescent="0.3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3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35">
      <c r="A16" s="62" t="s">
        <v>0</v>
      </c>
      <c r="B16" s="63" t="s">
        <v>1</v>
      </c>
      <c r="C16" s="11"/>
      <c r="D16" s="11"/>
      <c r="E16" s="11"/>
      <c r="F16" s="11"/>
      <c r="G16" s="11"/>
      <c r="H16" s="11"/>
      <c r="I16" s="59"/>
      <c r="J16" s="59"/>
      <c r="K16" s="11"/>
      <c r="L16" s="59"/>
      <c r="M16" s="59"/>
      <c r="N16" s="11" t="s">
        <v>18</v>
      </c>
      <c r="O16" s="60" t="str">
        <f>IF(_epmOfflineCondition_,"2020.JAN",IF(SetUp!$O$1=TRUE,_xll.EVTIM($B$1,P16,-1),IF($D$10="FY",LEFT($B$10,6)&amp;"."&amp;O15,$B$12&amp;"."&amp;O14)))</f>
        <v>2020.JAN</v>
      </c>
      <c r="P16" s="60" t="str">
        <f>IF(_epmOfflineCondition_,"2020.FEB",IF(SetUp!$O$1=TRUE,_xll.EVTIM($B$1,Q16,-1),IF($D$10="FY",LEFT($B$10,6)&amp;"."&amp;P15,$B$12&amp;"."&amp;P14)))</f>
        <v>2020.FEB</v>
      </c>
      <c r="Q16" s="60" t="str">
        <f>IF(_epmOfflineCondition_,"2020.MAR",IF(SetUp!$O$1=TRUE,_xll.EVTIM($B$1,R16,-1),IF($D$10="FY",LEFT($B$10,6)&amp;"."&amp;Q15,$B$12&amp;"."&amp;Q14)))</f>
        <v>2020.MAR</v>
      </c>
      <c r="R16" s="60" t="str">
        <f>IF(_epmOfflineCondition_,"2020.APR",IF(SetUp!$O$1=TRUE,_xll.EVTIM($B$1,S16,-1),IF($D$10="FY",LEFT($B$10,6)&amp;"."&amp;R15,$B$12&amp;"."&amp;R14)))</f>
        <v>2020.APR</v>
      </c>
      <c r="S16" s="60" t="str">
        <f>IF(_epmOfflineCondition_,"2020.MAY",IF(SetUp!$O$1=TRUE,_xll.EVTIM($B$1,T16,-1),IF($D$10="FY",LEFT($B$10,6)&amp;"."&amp;S15,$B$12&amp;"."&amp;S14)))</f>
        <v>2020.MAY</v>
      </c>
      <c r="T16" s="60" t="str">
        <f>IF(_epmOfflineCondition_,"2020.JUN",IF(SetUp!$O$1=TRUE,_xll.EVTIM($B$1,U16,-1),IF($D$10="FY",LEFT($B$10,6)&amp;"."&amp;T15,$B$12&amp;"."&amp;T14)))</f>
        <v>2020.JUN</v>
      </c>
      <c r="U16" s="60" t="str">
        <f>IF(_epmOfflineCondition_,"2020.JUL",IF(SetUp!$O$1=TRUE,_xll.EVTIM($B$1,V16,-1),IF($D$10="FY",LEFT($B$10,6)&amp;"."&amp;U15,$B$12&amp;"."&amp;U14)))</f>
        <v>2020.JUL</v>
      </c>
      <c r="V16" s="60" t="str">
        <f>IF(_epmOfflineCondition_,"2020.AUG",IF(SetUp!$O$1=TRUE,_xll.EVTIM($B$1,W16,-1),IF($D$10="FY",LEFT($B$10,6)&amp;"."&amp;V15,$B$12&amp;"."&amp;V14)))</f>
        <v>2020.AUG</v>
      </c>
      <c r="W16" s="60" t="str">
        <f>IF(_epmOfflineCondition_,"2020.SEP",IF(SetUp!$O$1=TRUE,_xll.EVTIM($B$1,X16,-1),IF($D$10="FY",LEFT($B$10,6)&amp;"."&amp;W15,$B$12&amp;"."&amp;W14)))</f>
        <v>2020.SEP</v>
      </c>
      <c r="X16" s="60" t="str">
        <f>IF(_epmOfflineCondition_,"2020.OCT",IF(SetUp!$O$1=TRUE,_xll.EVTIM($B$1,Y16,-1),IF($D$10="FY",LEFT($B$10,6)&amp;"."&amp;X15,$B$12&amp;"."&amp;X14)))</f>
        <v>2020.OCT</v>
      </c>
      <c r="Y16" s="60" t="str">
        <f>IF(_epmOfflineCondition_,"2020.NOV",IF(SetUp!$O$1=TRUE,_xll.EVTIM($B$1,Z16,-1),IF($D$10="FY",LEFT($B$10,6)&amp;"."&amp;Y15,$B$12&amp;"."&amp;Y14)))</f>
        <v>2020.NOV</v>
      </c>
      <c r="Z16" s="60" t="str">
        <f>IF(SetUp!$O$1=TRUE,SetUp!$Q$6,IF($D$10="FY",LEFT($B$10,6)&amp;"."&amp;Z15,$B$12&amp;"."&amp;Z14))</f>
        <v>2020.DEC</v>
      </c>
      <c r="AA16" s="60" t="str">
        <f>IF($D$10="FY",LEFT($B$10,6)&amp;"."&amp;AA15,$B$12&amp;"."&amp;AA14)</f>
        <v>2020.TOTAL</v>
      </c>
      <c r="AB16" s="64"/>
      <c r="AC16" s="64"/>
      <c r="AD16" s="60" t="str">
        <f>IF(SetUp!$O$1=TRUE,SetUp!$Q$6,SetUp!$G$7)</f>
        <v>2020.TOTAL</v>
      </c>
      <c r="AE16" s="64"/>
      <c r="AF16" s="64"/>
      <c r="AG16" s="60" t="str">
        <f>IF(_epmOfflineCondition_,"2019.TOTAL",IF(SetUp!$O$1=TRUE,_xll.EVTIM($B$1,AD16,-1,"YEAR"),SetUp!$J$7))</f>
        <v>2019.TOTAL</v>
      </c>
      <c r="AH16" s="64"/>
      <c r="AI16" s="64"/>
      <c r="AJ16" s="11"/>
      <c r="AK16" s="11"/>
      <c r="AL16" s="11"/>
      <c r="AM16" s="11"/>
      <c r="AN16" s="11"/>
      <c r="AO16" s="11"/>
    </row>
    <row r="17" spans="1:41" hidden="1" outlineLevel="1" x14ac:dyDescent="0.35">
      <c r="A17" s="65" t="s">
        <v>2</v>
      </c>
      <c r="B17" s="66" t="str">
        <f>IF(_epmOfflineCondition_,"'PR_Related'!$B$2:$B$10",_xll.EVRNG($B$2:$B$10))</f>
        <v>'PR_Related'!$B$2:$B$10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35">
      <c r="A18" s="65" t="s">
        <v>3</v>
      </c>
      <c r="B18" s="66" t="str">
        <f>IF(_epmOfflineCondition_,"'PR_Related'!$O$16:$AN$18",_xll.EVRNG($O$16:$AN$18))</f>
        <v>'PR_Related'!$O$16:$AN$18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35">
      <c r="A19" s="65" t="s">
        <v>4</v>
      </c>
      <c r="B19" s="66" t="str">
        <f>IF(_epmOfflineCondition_,"'PR_Related'!$H$35:$H$40,'PR_Related'!$H$43:$H$49,'PR_Related'!$H$52:$H$61,'PR_Related'!$H$63:$H$64",_xll.EVRNG(H35:H40,H43:H49,H52:H61,H63:H64))</f>
        <v>'PR_Related'!$H$35:$H$40,'PR_Related'!$H$43:$H$49,'PR_Related'!$H$52:$H$61,'PR_Related'!$H$63:$H$64</v>
      </c>
      <c r="C19" s="11"/>
      <c r="D19" s="11"/>
      <c r="E19" s="11"/>
      <c r="F19" s="11"/>
      <c r="G19" s="67" t="s">
        <v>499</v>
      </c>
      <c r="H19" s="67">
        <v>400000</v>
      </c>
      <c r="I19" s="68"/>
      <c r="J19" s="68"/>
      <c r="K19" s="67"/>
      <c r="L19" s="68"/>
      <c r="M19" s="68"/>
      <c r="N19" s="67" t="str">
        <f>IF(_epmOfflineCondition_,"Total Revenue",_xll.EVDES(H19))</f>
        <v>Total Revenue</v>
      </c>
      <c r="O19" s="69">
        <f>IF(_epmOfflineCondition_,1402767.85,_xll.EVGTS($B$1,1,$B$3,$B$5,$B$7,$B$9,O$16,O$17,O$18,$G$19,$H$19))</f>
        <v>1402767.85</v>
      </c>
      <c r="P19" s="69">
        <f>IF(_epmOfflineCondition_,1432947.85,_xll.EVGTS($B$1,1,$B$3,$B$5,$B$7,$B$9,P$16,P$17,P$18,$G$19,$H$19))</f>
        <v>1432947.85</v>
      </c>
      <c r="Q19" s="69">
        <f>IF(_epmOfflineCondition_,524910.65,_xll.EVGTS($B$1,1,$B$3,$B$5,$B$7,$B$9,Q$16,Q$17,Q$18,$G$19,$H$19))</f>
        <v>524910.65</v>
      </c>
      <c r="R19" s="69">
        <f>IF(_epmOfflineCondition_,-4075.52,_xll.EVGTS($B$1,1,$B$3,$B$5,$B$7,$B$9,R$16,R$17,R$18,$G$19,$H$19))</f>
        <v>-4075.52</v>
      </c>
      <c r="S19" s="69">
        <f>IF(_epmOfflineCondition_,-25541.39,_xll.EVGTS($B$1,1,$B$3,$B$5,$B$7,$B$9,S$16,S$17,S$18,$G$19,$H$19))</f>
        <v>-25541.39</v>
      </c>
      <c r="T19" s="69">
        <f>IF(_epmOfflineCondition_,101426.34,_xll.EVGTS($B$1,1,$B$3,$B$5,$B$7,$B$9,T$16,T$17,T$18,$G$19,$H$19))</f>
        <v>101426.34</v>
      </c>
      <c r="U19" s="69">
        <f>IF(_epmOfflineCondition_,87019.91,_xll.EVGTS($B$1,1,$B$3,$B$5,$B$7,$B$9,U$16,U$17,U$18,$G$19,$H$19))</f>
        <v>87019.91</v>
      </c>
      <c r="V19" s="69">
        <f>IF(_epmOfflineCondition_,150728.28,_xll.EVGTS($B$1,1,$B$3,$B$5,$B$7,$B$9,V$16,V$17,V$18,$G$19,$H$19))</f>
        <v>150728.28</v>
      </c>
      <c r="W19" s="69">
        <f>IF(_epmOfflineCondition_,271204.92,_xll.EVGTS($B$1,1,$B$3,$B$5,$B$7,$B$9,W$16,W$17,W$18,$G$19,$H$19))</f>
        <v>271204.92</v>
      </c>
      <c r="X19" s="69">
        <f>IF(_epmOfflineCondition_,335346.22,_xll.EVGTS($B$1,1,$B$3,$B$5,$B$7,$B$9,X$16,X$17,X$18,$G$19,$H$19))</f>
        <v>335346.21999999997</v>
      </c>
      <c r="Y19" s="69">
        <f>IF(_epmOfflineCondition_,335793.25,_xll.EVGTS($B$1,1,$B$3,$B$5,$B$7,$B$9,Y$16,Y$17,Y$18,$G$19,$H$19))</f>
        <v>335793.25</v>
      </c>
      <c r="Z19" s="69">
        <f>IF(_epmOfflineCondition_,600817.11,_xll.EVGTS($B$1,1,$B$3,$B$5,$B$7,$B$9,Z$16,Z$17,Z$18,$G$19,$H$19))</f>
        <v>600817.11</v>
      </c>
      <c r="AA19" s="69">
        <f>SUM(O19:Z19)</f>
        <v>5213345.47</v>
      </c>
      <c r="AB19" s="67"/>
      <c r="AC19" s="67"/>
      <c r="AD19" s="69">
        <f>IF(_epmOfflineCondition_,12971751.078574,_xll.EVGTS($B$1,1,$B$3,$B$5,$B$7,$B$9,AD$16,AD$17,AD$18,$G$19,$H$19))</f>
        <v>12971751.078574</v>
      </c>
      <c r="AE19" s="67"/>
      <c r="AF19" s="67"/>
      <c r="AG19" s="69">
        <f>IF(_epmOfflineCondition_,8385989.81,_xll.EVGTS($B$1,1,$B$3,$B$5,$B$7,$B$9,AG$16,AG$17,AG$18,$G$19,$H$19))</f>
        <v>8385989.8099999996</v>
      </c>
      <c r="AH19" s="67"/>
      <c r="AI19" s="67"/>
      <c r="AJ19" s="11"/>
      <c r="AK19" s="11"/>
      <c r="AL19" s="11"/>
      <c r="AM19" s="11"/>
      <c r="AN19" s="11"/>
      <c r="AO19" s="11"/>
    </row>
    <row r="20" spans="1:41" hidden="1" outlineLevel="1" x14ac:dyDescent="0.3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IF(_epmOfflineCondition_,3828,_xll.EVGTS($B$1,1,$B$3,$B$5,$B$7,$B$9,P$16,P$17,P$18,$G$20,$H$20))</f>
        <v>3828</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48312</v>
      </c>
      <c r="AB20" s="67"/>
      <c r="AC20" s="67"/>
      <c r="AD20" s="69">
        <f>IF(_epmOfflineCondition_,48312,_xll.EVGTS($B$1,1,$B$3,$B$5,$B$7,$B$9,AD$16,AD$17,AD$18,$G$20,$H$20))</f>
        <v>48312</v>
      </c>
      <c r="AE20" s="67"/>
      <c r="AF20" s="67"/>
      <c r="AG20" s="69">
        <f>IF(_epmOfflineCondition_,48180,_xll.EVGTS($B$1,1,$B$3,$B$5,$B$7,$B$9,AG$16,AG$17,AG$18,$G$20,$H$20))</f>
        <v>48180</v>
      </c>
      <c r="AH20" s="67"/>
      <c r="AI20" s="67"/>
      <c r="AJ20" s="11"/>
      <c r="AK20" s="11"/>
      <c r="AL20" s="11"/>
      <c r="AM20" s="11"/>
      <c r="AN20" s="11"/>
      <c r="AO20" s="11"/>
    </row>
    <row r="21" spans="1:41" hidden="1" outlineLevel="1" x14ac:dyDescent="0.3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35">
      <c r="A22" s="65" t="s">
        <v>7</v>
      </c>
      <c r="B22" s="66" t="str">
        <f>IF(_epmOfflineCondition_,"'PR_Related'!$A$36:$F$40",_xll.EVRNG(A36:F40))</f>
        <v>'PR_Related'!$A$36:$F$40</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35">
      <c r="A23" s="65" t="s">
        <v>47</v>
      </c>
      <c r="B23" s="66" t="str">
        <f>IF(_epmOfflineCondition_,"'PR_Related'!$A$44:$B$65",_xll.EVRNG($A$44:$B$65))</f>
        <v>'PR_Related'!$A$44:$B$65</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3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3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3" x14ac:dyDescent="0.45">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7.5" x14ac:dyDescent="0.35">
      <c r="A27" s="65" t="s">
        <v>11</v>
      </c>
      <c r="B27" s="66" t="s">
        <v>21</v>
      </c>
      <c r="C27" s="11"/>
      <c r="D27" s="11"/>
      <c r="E27" s="11"/>
      <c r="F27" s="11"/>
      <c r="G27" s="11"/>
      <c r="H27" s="11"/>
      <c r="I27" s="59"/>
      <c r="J27" s="59"/>
      <c r="K27" s="11"/>
      <c r="L27" s="59"/>
      <c r="M27" s="59"/>
      <c r="N27" s="71" t="str">
        <f>IF(_epmOfflineCondition_,"Consolidated Hotel &amp; F&amp;B Departments",IF(_xll.EVDES(B6,$B$1)="#NODATA","",_xll.EVDES(B6,$B$1)))</f>
        <v>Consolidated Hotel &amp; F&amp;B Departments</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5" x14ac:dyDescent="0.35">
      <c r="A28" s="65" t="s">
        <v>12</v>
      </c>
      <c r="B28" s="66" t="s">
        <v>22</v>
      </c>
      <c r="C28" s="11"/>
      <c r="D28" s="11"/>
      <c r="E28" s="11"/>
      <c r="F28" s="11"/>
      <c r="G28" s="11"/>
      <c r="H28" s="11"/>
      <c r="I28" s="59"/>
      <c r="J28" s="59"/>
      <c r="K28" s="11"/>
      <c r="L28" s="59"/>
      <c r="M28" s="59"/>
      <c r="N28" s="72" t="str">
        <f>IF(_epmOfflineCondition_,"For the Period ended 2020 TOTAL","For the Period ended"&amp;" "&amp;IF(_xll.EVDES($B$10,$B$1)="#NODATA","",_xll.EVDES($B$10,$B$1)))</f>
        <v>For the Period ended 2020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35">
      <c r="A29" s="65" t="s">
        <v>13</v>
      </c>
      <c r="B29" s="66" t="s">
        <v>741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3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3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3" t="str">
        <f>IF(_epmOfflineCondition_,"2020 TOTAL",IF(_xll.EVDES(AD16,$B$1)="#NODATA","",_xll.EVDES(AD16,$B$1)))</f>
        <v>2020 TOTAL</v>
      </c>
      <c r="AE31" s="634"/>
      <c r="AF31" s="77" t="s">
        <v>631</v>
      </c>
      <c r="AG31" s="633" t="str">
        <f>IF(_epmOfflineCondition_,"2019 TOTAL",IF(_xll.EVDES(AG16,$B$1)="#NODATA","",_xll.EVDES(AG16,$B$1)))</f>
        <v>2019 TOTAL</v>
      </c>
      <c r="AH31" s="634"/>
      <c r="AI31" s="77" t="s">
        <v>631</v>
      </c>
      <c r="AJ31" s="77" t="str">
        <f>IF(_epmOfflineCondition_,"2020",_xll.EVPRO($B$1,AA$16,"YEAR"))</f>
        <v>2020</v>
      </c>
      <c r="AK31" s="87" t="str">
        <f>IF(_epmOfflineCondition_,"2020",_xll.EVPRO($B$1,AD$16,"YEAR"))</f>
        <v>2020</v>
      </c>
      <c r="AL31" s="87" t="str">
        <f>IF(_epmOfflineCondition_,"2019",_xll.EVPRO($B$1,AG$16,"YEAR"))</f>
        <v>2019</v>
      </c>
      <c r="AM31" s="77" t="str">
        <f>"vs "&amp;AK31</f>
        <v>vs 2020</v>
      </c>
      <c r="AN31" s="77" t="str">
        <f>"vs "&amp;AL31</f>
        <v>vs 2019</v>
      </c>
      <c r="AO31" s="11"/>
    </row>
    <row r="32" spans="1:41" s="8" customFormat="1" ht="30" customHeight="1" x14ac:dyDescent="0.3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7" t="s">
        <v>58</v>
      </c>
      <c r="AF32" s="87" t="s">
        <v>57</v>
      </c>
      <c r="AG32" s="87" t="str">
        <f>IF(_epmOfflineCondition_,"Actual",IF(_xll.EVDES(AG17,$B$1)="#NODATA","",_xll.EVDES(AG17,$B$1)))</f>
        <v>Actual</v>
      </c>
      <c r="AH32" s="87" t="s">
        <v>58</v>
      </c>
      <c r="AI32" s="87" t="s">
        <v>57</v>
      </c>
      <c r="AJ32" s="87" t="str">
        <f>Z32</f>
        <v>Actual</v>
      </c>
      <c r="AK32" s="87" t="str">
        <f>AD32</f>
        <v>Budget</v>
      </c>
      <c r="AL32" s="87" t="str">
        <f>AG32</f>
        <v>Actual</v>
      </c>
      <c r="AM32" s="77" t="s">
        <v>747</v>
      </c>
      <c r="AN32" s="77" t="s">
        <v>747</v>
      </c>
      <c r="AO32" s="83"/>
    </row>
    <row r="33" spans="1:41" x14ac:dyDescent="0.35">
      <c r="A33" s="65" t="s">
        <v>17</v>
      </c>
      <c r="B33" s="66"/>
      <c r="C33" s="11"/>
      <c r="D33" s="11"/>
      <c r="E33" s="11"/>
      <c r="F33" s="11"/>
      <c r="G33" s="11"/>
      <c r="H33" s="11" t="s">
        <v>553</v>
      </c>
      <c r="I33" s="59" t="str">
        <f>IF(_epmOfflineCondition_,"B1",_xll.EVPRO($B$1,$H33,"STYLE"))</f>
        <v>B1</v>
      </c>
      <c r="J33" s="59" t="str">
        <f>IF(_epmOfflineCondition_,"Y",_xll.EVPRO($B$1,$H33,"CALC"))</f>
        <v>Y</v>
      </c>
      <c r="K33" s="11"/>
      <c r="L33" s="59"/>
      <c r="M33" s="59"/>
      <c r="N33" s="105" t="str">
        <f>IF(_epmOfflineCondition_,"Payroll Related Expenses",IF(_xll.EVDES(H33,$B$1)="#NODATA","",_xll.EVDES(H33,$B$1)))</f>
        <v>Payroll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35">
      <c r="A34" s="11"/>
      <c r="B34" s="11"/>
      <c r="C34" s="11"/>
      <c r="D34" s="11"/>
      <c r="E34" s="11"/>
      <c r="F34" s="11"/>
      <c r="G34" s="11"/>
      <c r="H34" s="11"/>
      <c r="I34" s="59"/>
      <c r="J34" s="59"/>
      <c r="K34" s="11"/>
      <c r="L34" s="59"/>
      <c r="M34" s="59"/>
      <c r="N34" s="53" t="s">
        <v>561</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35">
      <c r="A35" s="97" t="s">
        <v>92</v>
      </c>
      <c r="B35" s="98" t="s">
        <v>93</v>
      </c>
      <c r="C35" s="98" t="s">
        <v>94</v>
      </c>
      <c r="D35" s="98" t="s">
        <v>95</v>
      </c>
      <c r="E35" s="98" t="s">
        <v>96</v>
      </c>
      <c r="F35" s="99" t="s">
        <v>97</v>
      </c>
      <c r="G35" s="11"/>
      <c r="H35" s="88" t="s">
        <v>925</v>
      </c>
      <c r="I35" s="122" t="str">
        <f>IF(_epmOfflineCondition_,"T4",_xll.EVPRO($B$1,$H35,"STYLE"))</f>
        <v>T4</v>
      </c>
      <c r="J35" s="122" t="str">
        <f>IF(_epmOfflineCondition_,"Y",_xll.EVPRO($B$1,$H35,"CALC"))</f>
        <v>Y</v>
      </c>
      <c r="K35" s="179" t="str">
        <f t="shared" ref="K35:K40" si="0">IF(AND(I35&gt;="T4"),"&gt;","")</f>
        <v>&gt;</v>
      </c>
      <c r="L35" s="90" t="str">
        <f>IF(_epmOfflineCondition_,"",_xll.EVPRO($B$1,H35,"JDEID"))</f>
        <v/>
      </c>
      <c r="M35" s="90" t="str">
        <f>IF(_epmOfflineCondition_,"",IF(AND(I35="N",J35="N"),_xll.EVPRO($B$1,H35,"PSFTID"),""))</f>
        <v/>
      </c>
      <c r="N35" s="90" t="str">
        <f>IF(_epmOfflineCondition_,"National Medical Insurance",IF(_xll.EVDES(H35,$B$1)="#NODATA","",_xll.EVDES(H35,$B$1)))</f>
        <v>National Medical Insurance</v>
      </c>
      <c r="O35" s="143">
        <v>3580.87</v>
      </c>
      <c r="P35" s="143">
        <v>4269.3100000000004</v>
      </c>
      <c r="Q35" s="143">
        <v>2699.52</v>
      </c>
      <c r="R35" s="143">
        <v>603.54</v>
      </c>
      <c r="S35" s="143">
        <v>552.34</v>
      </c>
      <c r="T35" s="143">
        <v>792.24</v>
      </c>
      <c r="U35" s="143">
        <v>1056.6600000000001</v>
      </c>
      <c r="V35" s="143">
        <v>1108.8699999999999</v>
      </c>
      <c r="W35" s="143">
        <v>1238.0899999999999</v>
      </c>
      <c r="X35" s="143">
        <v>1411.85</v>
      </c>
      <c r="Y35" s="143">
        <v>1535.28</v>
      </c>
      <c r="Z35" s="143">
        <v>1839.07</v>
      </c>
      <c r="AA35" s="210">
        <f t="shared" ref="AA35:AA40" si="1">IF($I35="B1","",SUM(O35:Z35))</f>
        <v>20687.64</v>
      </c>
      <c r="AB35" s="144">
        <f t="shared" ref="AB35:AB40" si="2">IF(AA35=0,"",IFERROR(AA35/AA$19,""))</f>
        <v>3.9682081532954692E-3</v>
      </c>
      <c r="AC35" s="140"/>
      <c r="AD35" s="143">
        <v>42535.772644256002</v>
      </c>
      <c r="AE35" s="144">
        <f t="shared" ref="AE35:AE40" si="3">IF(AD35=0,"",IFERROR(AD35/AD$19,""))</f>
        <v>3.2791079929458539E-3</v>
      </c>
      <c r="AF35" s="145">
        <f t="shared" ref="AF35:AF40" si="4">IF(AND($AA35="",AD35=""),"",$AA35-AD35)</f>
        <v>-21848.132644256002</v>
      </c>
      <c r="AG35" s="143">
        <v>38148.15</v>
      </c>
      <c r="AH35" s="144">
        <f t="shared" ref="AH35:AH40" si="5">IF(AG35=0,"",IFERROR(AG35/AG$19,""))</f>
        <v>4.5490336697654541E-3</v>
      </c>
      <c r="AI35" s="145">
        <f t="shared" ref="AI35:AI40" si="6">IF(AND($AA35="",AG35=""),"",$AA35-AG35)</f>
        <v>-17460.510000000002</v>
      </c>
      <c r="AJ35" s="440">
        <f t="shared" ref="AJ35:AJ40" si="7">IFERROR(AA35/AA$20,0)</f>
        <v>0.42820914058618975</v>
      </c>
      <c r="AK35" s="441">
        <f t="shared" ref="AK35:AK40" si="8">IFERROR(AD35/AD$20,0)</f>
        <v>0.88043907609405536</v>
      </c>
      <c r="AL35" s="442">
        <f t="shared" ref="AL35:AL40" si="9">IFERROR(AG35/AG$20,0)</f>
        <v>0.79178393524283941</v>
      </c>
      <c r="AM35" s="443" t="str">
        <f t="shared" ref="AM35:AM40" si="10">+IFERROR(ROUND(($AB35-AE35)*100,2)&amp;" pts.",0)</f>
        <v>0.07 pts.</v>
      </c>
      <c r="AN35" s="444" t="str">
        <f t="shared" ref="AN35:AN40" si="11">+IFERROR(ROUND(($AB35-AH35)*100,2)&amp;" pts.",0)</f>
        <v>-0.06 pts.</v>
      </c>
      <c r="AO35" s="11"/>
    </row>
    <row r="36" spans="1:41" x14ac:dyDescent="0.35">
      <c r="A36" s="11"/>
      <c r="B36" s="11"/>
      <c r="C36" s="11"/>
      <c r="D36" s="11"/>
      <c r="E36" s="11"/>
      <c r="F36" s="11"/>
      <c r="G36" s="11"/>
      <c r="H36" s="88" t="s">
        <v>926</v>
      </c>
      <c r="I36" s="122" t="str">
        <f>IF(_epmOfflineCondition_,"T4",_xll.EVPRO($B$1,$H36,"STYLE"))</f>
        <v>T4</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IF(_epmOfflineCondition_,"National Retirement Insurance",IF(_xll.EVDES(H36,$B$1)="#NODATA","",_xll.EVDES(H36,$B$1)))</f>
        <v>National Retirement Insurance</v>
      </c>
      <c r="O36" s="143">
        <v>16271.95</v>
      </c>
      <c r="P36" s="143">
        <v>19862.740000000002</v>
      </c>
      <c r="Q36" s="143">
        <v>12321</v>
      </c>
      <c r="R36" s="143">
        <v>2580.4699999999998</v>
      </c>
      <c r="S36" s="143">
        <v>2361.64</v>
      </c>
      <c r="T36" s="143">
        <v>3387.5</v>
      </c>
      <c r="U36" s="143">
        <v>4518.17</v>
      </c>
      <c r="V36" s="143">
        <v>4602.63</v>
      </c>
      <c r="W36" s="143">
        <v>5248.4</v>
      </c>
      <c r="X36" s="143">
        <v>3984.88</v>
      </c>
      <c r="Y36" s="143">
        <v>6409.43</v>
      </c>
      <c r="Z36" s="143">
        <v>7223.55</v>
      </c>
      <c r="AA36" s="210">
        <f t="shared" si="1"/>
        <v>88772.36</v>
      </c>
      <c r="AB36" s="144">
        <f t="shared" si="2"/>
        <v>1.7027906650506321E-2</v>
      </c>
      <c r="AC36" s="140"/>
      <c r="AD36" s="143">
        <v>190244.65601600101</v>
      </c>
      <c r="AE36" s="144">
        <f t="shared" si="3"/>
        <v>1.4666073598208056E-2</v>
      </c>
      <c r="AF36" s="145">
        <f t="shared" si="4"/>
        <v>-101472.29601600101</v>
      </c>
      <c r="AG36" s="143">
        <v>155924.12</v>
      </c>
      <c r="AH36" s="144">
        <f t="shared" si="5"/>
        <v>1.8593406805010176E-2</v>
      </c>
      <c r="AI36" s="145">
        <f t="shared" si="6"/>
        <v>-67151.759999999995</v>
      </c>
      <c r="AJ36" s="440">
        <f t="shared" si="7"/>
        <v>1.8374805431362808</v>
      </c>
      <c r="AK36" s="441">
        <f t="shared" si="8"/>
        <v>3.9378344100016767</v>
      </c>
      <c r="AL36" s="442">
        <f t="shared" si="9"/>
        <v>3.2362831050228311</v>
      </c>
      <c r="AM36" s="443" t="str">
        <f t="shared" si="10"/>
        <v>0.24 pts.</v>
      </c>
      <c r="AN36" s="444" t="str">
        <f t="shared" si="11"/>
        <v>-0.16 pts.</v>
      </c>
      <c r="AO36" s="11"/>
    </row>
    <row r="37" spans="1:41" x14ac:dyDescent="0.35">
      <c r="A37" s="11" t="s">
        <v>105</v>
      </c>
      <c r="B37" s="11"/>
      <c r="C37" s="104" t="s">
        <v>101</v>
      </c>
      <c r="D37" s="11" t="s">
        <v>106</v>
      </c>
      <c r="E37" s="11"/>
      <c r="F37" s="11" t="s">
        <v>98</v>
      </c>
      <c r="G37" s="11"/>
      <c r="H37" s="88" t="s">
        <v>927</v>
      </c>
      <c r="I37" s="122" t="str">
        <f>IF(_epmOfflineCondition_,"T4",_xll.EVPRO($B$1,$H37,"STYLE"))</f>
        <v>T4</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IF(_epmOfflineCondition_,"National Unemployment Insurance",IF(_xll.EVDES(H37,$B$1)="#NODATA","",_xll.EVDES(H37,$B$1)))</f>
        <v>National Unemployment Insurance</v>
      </c>
      <c r="O37" s="143">
        <v>1122.56</v>
      </c>
      <c r="P37" s="143">
        <v>547.64</v>
      </c>
      <c r="Q37" s="143">
        <v>243.12</v>
      </c>
      <c r="R37" s="143"/>
      <c r="S37" s="143"/>
      <c r="T37" s="143">
        <v>20.239999999999998</v>
      </c>
      <c r="U37" s="143">
        <v>20.78</v>
      </c>
      <c r="V37" s="143">
        <v>17.61</v>
      </c>
      <c r="W37" s="143">
        <v>26.64</v>
      </c>
      <c r="X37" s="143">
        <v>20.87</v>
      </c>
      <c r="Y37" s="143">
        <v>18.39</v>
      </c>
      <c r="Z37" s="143">
        <v>380.27</v>
      </c>
      <c r="AA37" s="210">
        <f t="shared" si="1"/>
        <v>2418.12</v>
      </c>
      <c r="AB37" s="144">
        <f t="shared" si="2"/>
        <v>4.6383267978594174E-4</v>
      </c>
      <c r="AC37" s="140"/>
      <c r="AD37" s="143">
        <v>10180.866474965</v>
      </c>
      <c r="AE37" s="144">
        <f t="shared" si="3"/>
        <v>7.8484904723319707E-4</v>
      </c>
      <c r="AF37" s="145">
        <f t="shared" si="4"/>
        <v>-7762.7464749649998</v>
      </c>
      <c r="AG37" s="143">
        <v>3954.57</v>
      </c>
      <c r="AH37" s="144">
        <f t="shared" si="5"/>
        <v>4.7156866268598536E-4</v>
      </c>
      <c r="AI37" s="145">
        <f t="shared" si="6"/>
        <v>-1536.4500000000003</v>
      </c>
      <c r="AJ37" s="440">
        <f t="shared" si="7"/>
        <v>5.0052160953800294E-2</v>
      </c>
      <c r="AK37" s="441">
        <f t="shared" si="8"/>
        <v>0.21073162930462411</v>
      </c>
      <c r="AL37" s="442">
        <f t="shared" si="9"/>
        <v>8.2079078455790794E-2</v>
      </c>
      <c r="AM37" s="443" t="str">
        <f t="shared" si="10"/>
        <v>-0.03 pts.</v>
      </c>
      <c r="AN37" s="444" t="str">
        <f t="shared" si="11"/>
        <v>0 pts.</v>
      </c>
      <c r="AO37" s="11"/>
    </row>
    <row r="38" spans="1:41" x14ac:dyDescent="0.35">
      <c r="A38" s="11" t="s">
        <v>102</v>
      </c>
      <c r="B38" s="11"/>
      <c r="C38" s="104" t="s">
        <v>101</v>
      </c>
      <c r="D38" s="11" t="s">
        <v>106</v>
      </c>
      <c r="E38" s="11"/>
      <c r="F38" s="11" t="s">
        <v>98</v>
      </c>
      <c r="G38" s="11"/>
      <c r="H38" s="88" t="s">
        <v>928</v>
      </c>
      <c r="I38" s="122" t="str">
        <f>IF(_epmOfflineCondition_,"T4",_xll.EVPRO($B$1,$H38,"STYLE"))</f>
        <v>T4</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IF(_epmOfflineCondition_,"State Unemployment Insurance",IF(_xll.EVDES(H38,$B$1)="#NODATA","",_xll.EVDES(H38,$B$1)))</f>
        <v>State Unemployment Insurance</v>
      </c>
      <c r="O38" s="143">
        <v>1305.94</v>
      </c>
      <c r="P38" s="143">
        <v>550.61</v>
      </c>
      <c r="Q38" s="143">
        <v>235.21</v>
      </c>
      <c r="R38" s="143"/>
      <c r="S38" s="143"/>
      <c r="T38" s="143">
        <v>19.559999999999999</v>
      </c>
      <c r="U38" s="143">
        <v>20.3</v>
      </c>
      <c r="V38" s="143">
        <v>17.13</v>
      </c>
      <c r="W38" s="143">
        <v>25.75</v>
      </c>
      <c r="X38" s="143">
        <v>25.4</v>
      </c>
      <c r="Y38" s="143">
        <v>24.14</v>
      </c>
      <c r="Z38" s="143">
        <v>370.81</v>
      </c>
      <c r="AA38" s="210">
        <f t="shared" si="1"/>
        <v>2594.8500000000004</v>
      </c>
      <c r="AB38" s="144">
        <f t="shared" si="2"/>
        <v>4.9773221723593169E-4</v>
      </c>
      <c r="AC38" s="140"/>
      <c r="AD38" s="143">
        <v>39999.5423782656</v>
      </c>
      <c r="AE38" s="144">
        <f t="shared" si="3"/>
        <v>3.0835884944118738E-3</v>
      </c>
      <c r="AF38" s="145">
        <f t="shared" si="4"/>
        <v>-37404.692378265601</v>
      </c>
      <c r="AG38" s="143">
        <v>4505.59</v>
      </c>
      <c r="AH38" s="144">
        <f t="shared" si="5"/>
        <v>5.3727587346066668E-4</v>
      </c>
      <c r="AI38" s="145">
        <f t="shared" si="6"/>
        <v>-1910.7399999999998</v>
      </c>
      <c r="AJ38" s="440">
        <f t="shared" si="7"/>
        <v>5.3710258320914063E-2</v>
      </c>
      <c r="AK38" s="441">
        <f t="shared" si="8"/>
        <v>0.82794217540705417</v>
      </c>
      <c r="AL38" s="442">
        <f t="shared" si="9"/>
        <v>9.3515774180157746E-2</v>
      </c>
      <c r="AM38" s="443" t="str">
        <f t="shared" si="10"/>
        <v>-0.26 pts.</v>
      </c>
      <c r="AN38" s="444" t="str">
        <f t="shared" si="11"/>
        <v>0 pts.</v>
      </c>
      <c r="AO38" s="11"/>
    </row>
    <row r="39" spans="1:41" x14ac:dyDescent="0.35">
      <c r="A39" s="11" t="s">
        <v>108</v>
      </c>
      <c r="B39" s="11"/>
      <c r="C39" s="106" t="s">
        <v>101</v>
      </c>
      <c r="D39" s="11" t="s">
        <v>106</v>
      </c>
      <c r="E39" s="11"/>
      <c r="F39" s="11" t="s">
        <v>98</v>
      </c>
      <c r="G39" s="11"/>
      <c r="H39" s="88" t="s">
        <v>929</v>
      </c>
      <c r="I39" s="122" t="str">
        <f>IF(_epmOfflineCondition_,"T4",_xll.EVPRO($B$1,$H39,"STYLE"))</f>
        <v>T4</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IF(_epmOfflineCondition_,"Other/ Local Payroll Tax",IF(_xll.EVDES(H39,$B$1)="#NODATA","",_xll.EVDES(H39,$B$1)))</f>
        <v>Other/ Local Payroll Tax</v>
      </c>
      <c r="O39" s="217">
        <v>-3652.82</v>
      </c>
      <c r="P39" s="217">
        <v>1462.27</v>
      </c>
      <c r="Q39" s="217">
        <v>1060.02</v>
      </c>
      <c r="R39" s="217">
        <v>248.42</v>
      </c>
      <c r="S39" s="217"/>
      <c r="T39" s="217"/>
      <c r="U39" s="217"/>
      <c r="V39" s="217"/>
      <c r="W39" s="217"/>
      <c r="X39" s="217"/>
      <c r="Y39" s="217"/>
      <c r="Z39" s="217"/>
      <c r="AA39" s="216">
        <f t="shared" si="1"/>
        <v>-882.11000000000024</v>
      </c>
      <c r="AB39" s="219">
        <f t="shared" si="2"/>
        <v>-1.6920229151819481E-4</v>
      </c>
      <c r="AC39" s="140"/>
      <c r="AD39" s="217">
        <v>19200</v>
      </c>
      <c r="AE39" s="219">
        <f t="shared" si="3"/>
        <v>1.4801394109168089E-3</v>
      </c>
      <c r="AF39" s="220">
        <f t="shared" si="4"/>
        <v>-20082.11</v>
      </c>
      <c r="AG39" s="217">
        <v>47609.07</v>
      </c>
      <c r="AH39" s="219">
        <f t="shared" si="5"/>
        <v>5.6772153411428963E-3</v>
      </c>
      <c r="AI39" s="220">
        <f t="shared" si="6"/>
        <v>-48491.18</v>
      </c>
      <c r="AJ39" s="449">
        <f t="shared" si="7"/>
        <v>-1.8258610697135292E-2</v>
      </c>
      <c r="AK39" s="450">
        <f t="shared" si="8"/>
        <v>0.39741679085941384</v>
      </c>
      <c r="AL39" s="451">
        <f t="shared" si="9"/>
        <v>0.9881500622665006</v>
      </c>
      <c r="AM39" s="452" t="str">
        <f t="shared" si="10"/>
        <v>-0.16 pts.</v>
      </c>
      <c r="AN39" s="453" t="str">
        <f t="shared" si="11"/>
        <v>-0.58 pts.</v>
      </c>
      <c r="AO39" s="11"/>
    </row>
    <row r="40" spans="1:41" x14ac:dyDescent="0.35">
      <c r="A40" s="11" t="s">
        <v>108</v>
      </c>
      <c r="B40" s="11"/>
      <c r="C40" s="109" t="s">
        <v>101</v>
      </c>
      <c r="D40" s="11" t="s">
        <v>107</v>
      </c>
      <c r="E40" s="11"/>
      <c r="F40" s="11" t="s">
        <v>99</v>
      </c>
      <c r="G40" s="11"/>
      <c r="H40" s="88" t="s">
        <v>855</v>
      </c>
      <c r="I40" s="188" t="str">
        <f>IF(_epmOfflineCondition_,"T3",_xll.EVPRO($B$1,$H40,"STYLE"))</f>
        <v>T3</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IF(_epmOfflineCondition_,"Payroll Taxes",IF(_xll.EVDES(H40,$B$1)="#NODATA","",_xll.EVDES(H40,$B$1)))</f>
        <v>Payroll Taxes</v>
      </c>
      <c r="O40" s="154">
        <v>18628.5</v>
      </c>
      <c r="P40" s="154">
        <v>26692.57</v>
      </c>
      <c r="Q40" s="154">
        <v>16558.87</v>
      </c>
      <c r="R40" s="154">
        <v>3432.43</v>
      </c>
      <c r="S40" s="154">
        <v>2913.98</v>
      </c>
      <c r="T40" s="154">
        <v>4219.54</v>
      </c>
      <c r="U40" s="154">
        <v>5615.91</v>
      </c>
      <c r="V40" s="154">
        <v>5746.24</v>
      </c>
      <c r="W40" s="154">
        <v>6538.88</v>
      </c>
      <c r="X40" s="154">
        <v>5443</v>
      </c>
      <c r="Y40" s="154">
        <v>7987.24</v>
      </c>
      <c r="Z40" s="154">
        <v>9813.7000000000007</v>
      </c>
      <c r="AA40" s="154">
        <f t="shared" si="1"/>
        <v>113590.86000000002</v>
      </c>
      <c r="AB40" s="155">
        <f t="shared" si="2"/>
        <v>2.1788477409305472E-2</v>
      </c>
      <c r="AC40" s="240"/>
      <c r="AD40" s="154">
        <v>302160.83751348697</v>
      </c>
      <c r="AE40" s="155">
        <f t="shared" si="3"/>
        <v>2.329375854371574E-2</v>
      </c>
      <c r="AF40" s="156">
        <f t="shared" si="4"/>
        <v>-188569.97751348696</v>
      </c>
      <c r="AG40" s="154">
        <v>250141.5</v>
      </c>
      <c r="AH40" s="155">
        <f t="shared" si="5"/>
        <v>2.982850035206518E-2</v>
      </c>
      <c r="AI40" s="156">
        <f t="shared" si="6"/>
        <v>-136550.63999999998</v>
      </c>
      <c r="AJ40" s="246">
        <f t="shared" si="7"/>
        <v>2.3511934923000499</v>
      </c>
      <c r="AK40" s="247">
        <f t="shared" si="8"/>
        <v>6.2543640816668109</v>
      </c>
      <c r="AL40" s="249">
        <f t="shared" si="9"/>
        <v>5.1918119551681192</v>
      </c>
      <c r="AM40" s="433" t="str">
        <f t="shared" si="10"/>
        <v>-0.15 pts.</v>
      </c>
      <c r="AN40" s="617" t="str">
        <f t="shared" si="11"/>
        <v>-0.8 pts.</v>
      </c>
      <c r="AO40" s="11"/>
    </row>
    <row r="41" spans="1:41" x14ac:dyDescent="0.35">
      <c r="A41" s="11"/>
      <c r="B41" s="11"/>
      <c r="C41" s="11"/>
      <c r="D41" s="11"/>
      <c r="E41" s="11"/>
      <c r="F41" s="11"/>
      <c r="G41" s="11"/>
      <c r="H41" s="11"/>
      <c r="I41" s="11"/>
      <c r="J41" s="11"/>
      <c r="K41" s="11"/>
      <c r="L41" s="90"/>
      <c r="M41" s="90"/>
      <c r="N41" s="90"/>
      <c r="O41" s="129"/>
      <c r="P41" s="130"/>
      <c r="Q41" s="130"/>
      <c r="R41" s="130"/>
      <c r="S41" s="130"/>
      <c r="T41" s="130"/>
      <c r="U41" s="130"/>
      <c r="V41" s="130"/>
      <c r="W41" s="130"/>
      <c r="X41" s="130"/>
      <c r="Y41" s="130"/>
      <c r="Z41" s="130"/>
      <c r="AA41" s="130"/>
      <c r="AB41" s="131"/>
      <c r="AC41" s="11"/>
      <c r="AD41" s="129"/>
      <c r="AE41" s="130"/>
      <c r="AF41" s="131"/>
      <c r="AG41" s="129"/>
      <c r="AH41" s="130"/>
      <c r="AI41" s="131"/>
      <c r="AJ41" s="11"/>
      <c r="AK41" s="11"/>
      <c r="AL41" s="11"/>
      <c r="AM41" s="11"/>
      <c r="AN41" s="11"/>
      <c r="AO41" s="11"/>
    </row>
    <row r="42" spans="1:41" x14ac:dyDescent="0.35">
      <c r="A42" s="11"/>
      <c r="B42" s="11"/>
      <c r="C42" s="11"/>
      <c r="D42" s="11"/>
      <c r="E42" s="11"/>
      <c r="F42" s="11"/>
      <c r="G42" s="11"/>
      <c r="H42" s="11"/>
      <c r="I42" s="59"/>
      <c r="J42" s="59"/>
      <c r="K42" s="11"/>
      <c r="L42" s="59"/>
      <c r="M42" s="59"/>
      <c r="N42" s="53" t="s">
        <v>560</v>
      </c>
      <c r="O42" s="119"/>
      <c r="P42" s="120"/>
      <c r="Q42" s="120"/>
      <c r="R42" s="120"/>
      <c r="S42" s="120"/>
      <c r="T42" s="120"/>
      <c r="U42" s="120"/>
      <c r="V42" s="120"/>
      <c r="W42" s="120"/>
      <c r="X42" s="120"/>
      <c r="Y42" s="120"/>
      <c r="Z42" s="120"/>
      <c r="AA42" s="120"/>
      <c r="AB42" s="121"/>
      <c r="AC42" s="11"/>
      <c r="AD42" s="119"/>
      <c r="AE42" s="120"/>
      <c r="AF42" s="121"/>
      <c r="AG42" s="119"/>
      <c r="AH42" s="120"/>
      <c r="AI42" s="121"/>
      <c r="AJ42" s="11"/>
      <c r="AK42" s="11"/>
      <c r="AL42" s="11"/>
      <c r="AM42" s="11"/>
      <c r="AN42" s="11"/>
      <c r="AO42" s="11"/>
    </row>
    <row r="43" spans="1:41" x14ac:dyDescent="0.35">
      <c r="A43" s="62" t="s">
        <v>23</v>
      </c>
      <c r="B43" s="63" t="s">
        <v>24</v>
      </c>
      <c r="C43" s="11"/>
      <c r="D43" s="11"/>
      <c r="E43" s="11"/>
      <c r="F43" s="11"/>
      <c r="G43" s="11"/>
      <c r="H43" s="88" t="s">
        <v>919</v>
      </c>
      <c r="I43" s="122" t="str">
        <f>IF(_epmOfflineCondition_,"N",_xll.EVPRO($B$1,$H43,"STYLE"))</f>
        <v>N</v>
      </c>
      <c r="J43" s="122" t="str">
        <f>IF(_epmOfflineCondition_,"N",_xll.EVPRO($B$1,$H43,"CALC"))</f>
        <v>N</v>
      </c>
      <c r="K43" s="179" t="str">
        <f t="shared" ref="K43:K49" si="12">IF(AND(I43&gt;="T4"),"&gt;","")</f>
        <v/>
      </c>
      <c r="L43" s="90" t="str">
        <f>IF(_epmOfflineCondition_,"692100",_xll.EVPRO($B$1,H43,"JDEID"))</f>
        <v>692100</v>
      </c>
      <c r="M43" s="90" t="str">
        <f>IF(_epmOfflineCondition_,"490400",IF(AND(I43="N",J43="N"),_xll.EVPRO($B$1,H43,"PSFTID"),""))</f>
        <v>490400</v>
      </c>
      <c r="N43" s="90" t="str">
        <f>IF(_epmOfflineCondition_,"Other Pay",IF(_xll.EVDES(H43,$B$1)="#NODATA","",_xll.EVDES(H43,$B$1)))</f>
        <v>Other Pay</v>
      </c>
      <c r="O43" s="143"/>
      <c r="P43" s="143"/>
      <c r="Q43" s="143"/>
      <c r="R43" s="143"/>
      <c r="S43" s="143"/>
      <c r="T43" s="143"/>
      <c r="U43" s="143"/>
      <c r="V43" s="143"/>
      <c r="W43" s="143"/>
      <c r="X43" s="143"/>
      <c r="Y43" s="143"/>
      <c r="Z43" s="143"/>
      <c r="AA43" s="143">
        <f t="shared" ref="AA43:AA49" si="13">IF($I43="B1","",SUM(O43:Z43))</f>
        <v>0</v>
      </c>
      <c r="AB43" s="144" t="str">
        <f t="shared" ref="AB43:AB49" si="14">IF(AA43=0,"",IFERROR(AA43/AA$19,""))</f>
        <v/>
      </c>
      <c r="AC43" s="140"/>
      <c r="AD43" s="143"/>
      <c r="AE43" s="144" t="str">
        <f t="shared" ref="AE43:AE49" si="15">IF(AD43=0,"",IFERROR(AD43/AD$19,""))</f>
        <v/>
      </c>
      <c r="AF43" s="145">
        <f t="shared" ref="AF43:AF49" si="16">IF(AND($AA43="",AD43=""),"",$AA43-AD43)</f>
        <v>0</v>
      </c>
      <c r="AG43" s="143">
        <v>120.85</v>
      </c>
      <c r="AH43" s="144">
        <f t="shared" ref="AH43:AH49" si="17">IF(AG43=0,"",IFERROR(AG43/AG$19,""))</f>
        <v>1.4410940477877829E-5</v>
      </c>
      <c r="AI43" s="145">
        <f t="shared" ref="AI43:AI49" si="18">IF(AND($AA43="",AG43=""),"",$AA43-AG43)</f>
        <v>-120.85</v>
      </c>
      <c r="AJ43" s="440">
        <f t="shared" ref="AJ43:AJ49" si="19">IFERROR(AA43/AA$20,0)</f>
        <v>0</v>
      </c>
      <c r="AK43" s="441">
        <f t="shared" ref="AK43:AK49" si="20">IFERROR(AD43/AD$20,0)</f>
        <v>0</v>
      </c>
      <c r="AL43" s="442">
        <f t="shared" ref="AL43:AL49" si="21">IFERROR(AG43/AG$20,0)</f>
        <v>2.5083022000830218E-3</v>
      </c>
      <c r="AM43" s="443">
        <f t="shared" ref="AM43:AM49" si="22">+IFERROR(ROUND(($AB43-AE43)*100,2)&amp;" pts.",0)</f>
        <v>0</v>
      </c>
      <c r="AN43" s="444">
        <f t="shared" ref="AN43:AN49" si="23">+IFERROR(ROUND(($AB43-AH43)*100,2)&amp;" pts.",0)</f>
        <v>0</v>
      </c>
      <c r="AO43" s="11"/>
    </row>
    <row r="44" spans="1:41" x14ac:dyDescent="0.35">
      <c r="A44" s="65" t="s">
        <v>25</v>
      </c>
      <c r="B44" s="66"/>
      <c r="C44" s="11"/>
      <c r="D44" s="11"/>
      <c r="E44" s="11"/>
      <c r="F44" s="11"/>
      <c r="G44" s="11"/>
      <c r="H44" s="88" t="s">
        <v>920</v>
      </c>
      <c r="I44" s="122" t="str">
        <f>IF(_epmOfflineCondition_,"N",_xll.EVPRO($B$1,$H44,"STYLE"))</f>
        <v>N</v>
      </c>
      <c r="J44" s="122" t="str">
        <f>IF(_epmOfflineCondition_,"N",_xll.EVPRO($B$1,$H44,"CALC"))</f>
        <v>N</v>
      </c>
      <c r="K44" s="179" t="str">
        <f t="shared" si="12"/>
        <v/>
      </c>
      <c r="L44" s="90" t="str">
        <f>IF(_epmOfflineCondition_,"692200",_xll.EVPRO($B$1,H44,"JDEID"))</f>
        <v>692200</v>
      </c>
      <c r="M44" s="90" t="str">
        <f>IF(_epmOfflineCondition_,"490116",IF(AND(I44="N",J44="N"),_xll.EVPRO($B$1,H44,"PSFTID"),""))</f>
        <v>490116</v>
      </c>
      <c r="N44" s="90" t="str">
        <f>IF(_epmOfflineCondition_,"Personal Days",IF(_xll.EVDES(H44,$B$1)="#NODATA","",_xll.EVDES(H44,$B$1)))</f>
        <v>Personal Days</v>
      </c>
      <c r="O44" s="143"/>
      <c r="P44" s="143">
        <v>8.1999999999999993</v>
      </c>
      <c r="Q44" s="143"/>
      <c r="R44" s="143">
        <v>701.54</v>
      </c>
      <c r="S44" s="143"/>
      <c r="T44" s="143"/>
      <c r="U44" s="143"/>
      <c r="V44" s="143">
        <v>500</v>
      </c>
      <c r="W44" s="143"/>
      <c r="X44" s="143"/>
      <c r="Y44" s="143"/>
      <c r="Z44" s="143">
        <v>150.87</v>
      </c>
      <c r="AA44" s="143">
        <f t="shared" si="13"/>
        <v>1360.6100000000001</v>
      </c>
      <c r="AB44" s="144">
        <f t="shared" si="14"/>
        <v>2.6098596531336341E-4</v>
      </c>
      <c r="AC44" s="140"/>
      <c r="AD44" s="143"/>
      <c r="AE44" s="144" t="str">
        <f t="shared" si="15"/>
        <v/>
      </c>
      <c r="AF44" s="145">
        <f t="shared" si="16"/>
        <v>1360.6100000000001</v>
      </c>
      <c r="AG44" s="143">
        <v>990.66</v>
      </c>
      <c r="AH44" s="144">
        <f t="shared" si="17"/>
        <v>1.1813274550115391E-4</v>
      </c>
      <c r="AI44" s="145">
        <f t="shared" si="18"/>
        <v>369.95000000000016</v>
      </c>
      <c r="AJ44" s="440">
        <f t="shared" si="19"/>
        <v>2.8162982281834743E-2</v>
      </c>
      <c r="AK44" s="441">
        <f t="shared" si="20"/>
        <v>0</v>
      </c>
      <c r="AL44" s="442">
        <f t="shared" si="21"/>
        <v>2.0561643835616438E-2</v>
      </c>
      <c r="AM44" s="443">
        <f t="shared" si="22"/>
        <v>0</v>
      </c>
      <c r="AN44" s="444" t="str">
        <f t="shared" si="23"/>
        <v>0.01 pts.</v>
      </c>
      <c r="AO44" s="11"/>
    </row>
    <row r="45" spans="1:41" x14ac:dyDescent="0.35">
      <c r="A45" s="65" t="s">
        <v>26</v>
      </c>
      <c r="B45" s="66"/>
      <c r="C45" s="11"/>
      <c r="D45" s="11"/>
      <c r="E45" s="11"/>
      <c r="F45" s="11"/>
      <c r="G45" s="11"/>
      <c r="H45" s="88" t="s">
        <v>921</v>
      </c>
      <c r="I45" s="122" t="str">
        <f>IF(_epmOfflineCondition_,"N",_xll.EVPRO($B$1,$H45,"STYLE"))</f>
        <v>N</v>
      </c>
      <c r="J45" s="122" t="str">
        <f>IF(_epmOfflineCondition_,"N",_xll.EVPRO($B$1,$H45,"CALC"))</f>
        <v>N</v>
      </c>
      <c r="K45" s="179" t="str">
        <f t="shared" si="12"/>
        <v/>
      </c>
      <c r="L45" s="90" t="str">
        <f>IF(_epmOfflineCondition_,"692300",_xll.EVPRO($B$1,H45,"JDEID"))</f>
        <v>692300</v>
      </c>
      <c r="M45" s="90" t="str">
        <f>IF(_epmOfflineCondition_,"490111",IF(AND(I45="N",J45="N"),_xll.EVPRO($B$1,H45,"PSFTID"),""))</f>
        <v>490111</v>
      </c>
      <c r="N45" s="90" t="str">
        <f>IF(_epmOfflineCondition_,"Severance Pay",IF(_xll.EVDES(H45,$B$1)="#NODATA","",_xll.EVDES(H45,$B$1)))</f>
        <v>Severance Pay</v>
      </c>
      <c r="O45" s="143">
        <v>12241.15</v>
      </c>
      <c r="P45" s="143"/>
      <c r="Q45" s="143"/>
      <c r="R45" s="143"/>
      <c r="S45" s="143"/>
      <c r="T45" s="143"/>
      <c r="U45" s="143">
        <v>5150</v>
      </c>
      <c r="V45" s="143"/>
      <c r="W45" s="143"/>
      <c r="X45" s="143"/>
      <c r="Y45" s="143"/>
      <c r="Z45" s="143"/>
      <c r="AA45" s="143">
        <f t="shared" si="13"/>
        <v>17391.150000000001</v>
      </c>
      <c r="AB45" s="144">
        <f t="shared" si="14"/>
        <v>3.3358905716255943E-3</v>
      </c>
      <c r="AC45" s="140"/>
      <c r="AD45" s="143"/>
      <c r="AE45" s="144" t="str">
        <f t="shared" si="15"/>
        <v/>
      </c>
      <c r="AF45" s="145">
        <f t="shared" si="16"/>
        <v>17391.150000000001</v>
      </c>
      <c r="AG45" s="143"/>
      <c r="AH45" s="144" t="str">
        <f t="shared" si="17"/>
        <v/>
      </c>
      <c r="AI45" s="145">
        <f t="shared" si="18"/>
        <v>17391.150000000001</v>
      </c>
      <c r="AJ45" s="440">
        <f t="shared" si="19"/>
        <v>0.35997578241430706</v>
      </c>
      <c r="AK45" s="441">
        <f t="shared" si="20"/>
        <v>0</v>
      </c>
      <c r="AL45" s="442">
        <f t="shared" si="21"/>
        <v>0</v>
      </c>
      <c r="AM45" s="443">
        <f t="shared" si="22"/>
        <v>0</v>
      </c>
      <c r="AN45" s="444">
        <f t="shared" si="23"/>
        <v>0</v>
      </c>
      <c r="AO45" s="11"/>
    </row>
    <row r="46" spans="1:41" x14ac:dyDescent="0.35">
      <c r="A46" s="65" t="s">
        <v>27</v>
      </c>
      <c r="B46" s="66"/>
      <c r="C46" s="11"/>
      <c r="D46" s="11"/>
      <c r="E46" s="11"/>
      <c r="F46" s="11"/>
      <c r="G46" s="11"/>
      <c r="H46" s="88" t="s">
        <v>922</v>
      </c>
      <c r="I46" s="122" t="str">
        <f>IF(_epmOfflineCondition_,"T4",_xll.EVPRO($B$1,$H46,"STYLE"))</f>
        <v>T4</v>
      </c>
      <c r="J46" s="122" t="str">
        <f>IF(_epmOfflineCondition_,"Y",_xll.EVPRO($B$1,$H46,"CALC"))</f>
        <v>Y</v>
      </c>
      <c r="K46" s="179" t="str">
        <f t="shared" si="12"/>
        <v>&gt;</v>
      </c>
      <c r="L46" s="90" t="str">
        <f>IF(_epmOfflineCondition_,"",_xll.EVPRO($B$1,H46,"JDEID"))</f>
        <v/>
      </c>
      <c r="M46" s="90" t="str">
        <f>IF(_epmOfflineCondition_,"",IF(AND(I46="N",J46="N"),_xll.EVPRO($B$1,H46,"PSFTID"),""))</f>
        <v/>
      </c>
      <c r="N46" s="90" t="str">
        <f>IF(_epmOfflineCondition_,"Wellness Pay",IF(_xll.EVDES(H46,$B$1)="#NODATA","",_xll.EVDES(H46,$B$1)))</f>
        <v>Wellness Pay</v>
      </c>
      <c r="O46" s="143">
        <v>850.27</v>
      </c>
      <c r="P46" s="143">
        <v>1074.05</v>
      </c>
      <c r="Q46" s="143">
        <v>755.88</v>
      </c>
      <c r="R46" s="143">
        <v>1981.49</v>
      </c>
      <c r="S46" s="143">
        <v>904.5</v>
      </c>
      <c r="T46" s="143">
        <v>1231.75</v>
      </c>
      <c r="U46" s="143">
        <v>1837.18</v>
      </c>
      <c r="V46" s="143">
        <v>2292.36</v>
      </c>
      <c r="W46" s="143">
        <v>3086.95</v>
      </c>
      <c r="X46" s="143">
        <v>-413.42</v>
      </c>
      <c r="Y46" s="143">
        <v>966.57</v>
      </c>
      <c r="Z46" s="143">
        <v>136.9</v>
      </c>
      <c r="AA46" s="143">
        <f t="shared" si="13"/>
        <v>14704.48</v>
      </c>
      <c r="AB46" s="144">
        <f t="shared" si="14"/>
        <v>2.8205458634223217E-3</v>
      </c>
      <c r="AC46" s="140"/>
      <c r="AD46" s="143">
        <v>38315.509499929802</v>
      </c>
      <c r="AE46" s="144">
        <f t="shared" si="15"/>
        <v>2.9537653989689318E-3</v>
      </c>
      <c r="AF46" s="145">
        <f t="shared" si="16"/>
        <v>-23611.029499929802</v>
      </c>
      <c r="AG46" s="143">
        <v>22690.81</v>
      </c>
      <c r="AH46" s="144">
        <f t="shared" si="17"/>
        <v>2.7057998535774518E-3</v>
      </c>
      <c r="AI46" s="145">
        <f t="shared" si="18"/>
        <v>-7986.3300000000017</v>
      </c>
      <c r="AJ46" s="440">
        <f t="shared" si="19"/>
        <v>0.30436496108627253</v>
      </c>
      <c r="AK46" s="441">
        <f t="shared" si="20"/>
        <v>0.79308473050028572</v>
      </c>
      <c r="AL46" s="442">
        <f t="shared" si="21"/>
        <v>0.47095911166459115</v>
      </c>
      <c r="AM46" s="443" t="str">
        <f t="shared" si="22"/>
        <v>-0.01 pts.</v>
      </c>
      <c r="AN46" s="444" t="str">
        <f t="shared" si="23"/>
        <v>0.01 pts.</v>
      </c>
      <c r="AO46" s="11"/>
    </row>
    <row r="47" spans="1:41" x14ac:dyDescent="0.35">
      <c r="A47" s="65" t="s">
        <v>28</v>
      </c>
      <c r="B47" s="66"/>
      <c r="C47" s="11"/>
      <c r="D47" s="11"/>
      <c r="E47" s="11"/>
      <c r="F47" s="11"/>
      <c r="G47" s="11"/>
      <c r="H47" s="88" t="s">
        <v>923</v>
      </c>
      <c r="I47" s="122" t="str">
        <f>IF(_epmOfflineCondition_,"N",_xll.EVPRO($B$1,$H47,"STYLE"))</f>
        <v>N</v>
      </c>
      <c r="J47" s="122" t="str">
        <f>IF(_epmOfflineCondition_,"N",_xll.EVPRO($B$1,$H47,"CALC"))</f>
        <v>N</v>
      </c>
      <c r="K47" s="179" t="str">
        <f t="shared" si="12"/>
        <v/>
      </c>
      <c r="L47" s="90" t="str">
        <f>IF(_epmOfflineCondition_,"692500",_xll.EVPRO($B$1,H47,"JDEID"))</f>
        <v>692500</v>
      </c>
      <c r="M47" s="90" t="str">
        <f>IF(_epmOfflineCondition_,"490500",IF(AND(I47="N",J47="N"),_xll.EVPRO($B$1,H47,"PSFTID"),""))</f>
        <v>490500</v>
      </c>
      <c r="N47" s="90" t="str">
        <f>IF(_epmOfflineCondition_,"Holiday Pay",IF(_xll.EVDES(H47,$B$1)="#NODATA","",_xll.EVDES(H47,$B$1)))</f>
        <v>Holiday Pay</v>
      </c>
      <c r="O47" s="143">
        <v>10913.52</v>
      </c>
      <c r="P47" s="143">
        <v>377.92</v>
      </c>
      <c r="Q47" s="143">
        <v>617.80999999999995</v>
      </c>
      <c r="R47" s="143"/>
      <c r="S47" s="143">
        <v>2056.38</v>
      </c>
      <c r="T47" s="143"/>
      <c r="U47" s="143">
        <v>3807.73</v>
      </c>
      <c r="V47" s="143"/>
      <c r="W47" s="143">
        <v>3206.19</v>
      </c>
      <c r="X47" s="143"/>
      <c r="Y47" s="143">
        <v>4167.04</v>
      </c>
      <c r="Z47" s="143">
        <v>4866.59</v>
      </c>
      <c r="AA47" s="143">
        <f t="shared" si="13"/>
        <v>30013.18</v>
      </c>
      <c r="AB47" s="144">
        <f t="shared" si="14"/>
        <v>5.7569904340139576E-3</v>
      </c>
      <c r="AC47" s="140"/>
      <c r="AD47" s="143">
        <v>68759.851529075706</v>
      </c>
      <c r="AE47" s="144">
        <f t="shared" si="15"/>
        <v>5.3007378196340289E-3</v>
      </c>
      <c r="AF47" s="145">
        <f t="shared" si="16"/>
        <v>-38746.671529075706</v>
      </c>
      <c r="AG47" s="143">
        <v>43871.91</v>
      </c>
      <c r="AH47" s="144">
        <f t="shared" si="17"/>
        <v>5.2315720617361451E-3</v>
      </c>
      <c r="AI47" s="145">
        <f t="shared" si="18"/>
        <v>-13858.730000000003</v>
      </c>
      <c r="AJ47" s="440">
        <f t="shared" si="19"/>
        <v>0.62123654578572607</v>
      </c>
      <c r="AK47" s="441">
        <f t="shared" si="20"/>
        <v>1.4232458090966158</v>
      </c>
      <c r="AL47" s="442">
        <f t="shared" si="21"/>
        <v>0.91058343711083445</v>
      </c>
      <c r="AM47" s="443" t="str">
        <f t="shared" si="22"/>
        <v>0.05 pts.</v>
      </c>
      <c r="AN47" s="444" t="str">
        <f t="shared" si="23"/>
        <v>0.05 pts.</v>
      </c>
      <c r="AO47" s="11"/>
    </row>
    <row r="48" spans="1:41" x14ac:dyDescent="0.35">
      <c r="A48" s="65" t="s">
        <v>29</v>
      </c>
      <c r="B48" s="66"/>
      <c r="C48" s="11"/>
      <c r="D48" s="11"/>
      <c r="E48" s="11"/>
      <c r="F48" s="11"/>
      <c r="G48" s="11"/>
      <c r="H48" s="88" t="s">
        <v>924</v>
      </c>
      <c r="I48" s="122" t="str">
        <f>IF(_epmOfflineCondition_,"T4",_xll.EVPRO($B$1,$H48,"STYLE"))</f>
        <v>T4</v>
      </c>
      <c r="J48" s="122" t="str">
        <f>IF(_epmOfflineCondition_,"Y",_xll.EVPRO($B$1,$H48,"CALC"))</f>
        <v>Y</v>
      </c>
      <c r="K48" s="179" t="str">
        <f t="shared" si="12"/>
        <v>&gt;</v>
      </c>
      <c r="L48" s="90" t="str">
        <f>IF(_epmOfflineCondition_,"",_xll.EVPRO($B$1,H48,"JDEID"))</f>
        <v/>
      </c>
      <c r="M48" s="90" t="str">
        <f>IF(_epmOfflineCondition_,"",IF(AND(I48="N",J48="N"),_xll.EVPRO($B$1,H48,"PSFTID"),""))</f>
        <v/>
      </c>
      <c r="N48" s="90" t="str">
        <f>IF(_epmOfflineCondition_,"Vacation Pay",IF(_xll.EVDES(H48,$B$1)="#NODATA","",_xll.EVDES(H48,$B$1)))</f>
        <v>Vacation Pay</v>
      </c>
      <c r="O48" s="217">
        <v>7000.28</v>
      </c>
      <c r="P48" s="217">
        <v>13375.46</v>
      </c>
      <c r="Q48" s="217">
        <v>-5806.28</v>
      </c>
      <c r="R48" s="217">
        <v>755.56</v>
      </c>
      <c r="S48" s="217">
        <v>1965.06</v>
      </c>
      <c r="T48" s="217">
        <v>2605.09</v>
      </c>
      <c r="U48" s="217">
        <v>5471</v>
      </c>
      <c r="V48" s="217">
        <v>5837.73</v>
      </c>
      <c r="W48" s="217">
        <v>9162.19</v>
      </c>
      <c r="X48" s="217">
        <v>7.8299999999999299</v>
      </c>
      <c r="Y48" s="217">
        <v>4103.05</v>
      </c>
      <c r="Z48" s="217">
        <v>4991.55</v>
      </c>
      <c r="AA48" s="217">
        <f t="shared" si="13"/>
        <v>49468.520000000004</v>
      </c>
      <c r="AB48" s="219">
        <f t="shared" si="14"/>
        <v>9.4888244572827064E-3</v>
      </c>
      <c r="AC48" s="140"/>
      <c r="AD48" s="217">
        <v>74350.818941929698</v>
      </c>
      <c r="AE48" s="219">
        <f t="shared" si="15"/>
        <v>5.7317488203067783E-3</v>
      </c>
      <c r="AF48" s="220">
        <f t="shared" si="16"/>
        <v>-24882.298941929694</v>
      </c>
      <c r="AG48" s="217">
        <v>88354.7</v>
      </c>
      <c r="AH48" s="219">
        <f t="shared" si="17"/>
        <v>1.0535989430208954E-2</v>
      </c>
      <c r="AI48" s="220">
        <f t="shared" si="18"/>
        <v>-38886.179999999993</v>
      </c>
      <c r="AJ48" s="449">
        <f t="shared" si="19"/>
        <v>1.0239385659877465</v>
      </c>
      <c r="AK48" s="450">
        <f t="shared" si="20"/>
        <v>1.5389720761286989</v>
      </c>
      <c r="AL48" s="451">
        <f t="shared" si="21"/>
        <v>1.8338459941884599</v>
      </c>
      <c r="AM48" s="452" t="str">
        <f t="shared" si="22"/>
        <v>0.38 pts.</v>
      </c>
      <c r="AN48" s="453" t="str">
        <f t="shared" si="23"/>
        <v>-0.1 pts.</v>
      </c>
      <c r="AO48" s="11"/>
    </row>
    <row r="49" spans="1:41" x14ac:dyDescent="0.35">
      <c r="A49" s="65" t="s">
        <v>30</v>
      </c>
      <c r="B49" s="66" t="s">
        <v>78</v>
      </c>
      <c r="C49" s="11"/>
      <c r="D49" s="11"/>
      <c r="E49" s="11"/>
      <c r="F49" s="11"/>
      <c r="G49" s="11"/>
      <c r="H49" s="88" t="s">
        <v>856</v>
      </c>
      <c r="I49" s="188" t="str">
        <f>IF(_epmOfflineCondition_,"T3",_xll.EVPRO($B$1,$H49,"STYLE"))</f>
        <v>T3</v>
      </c>
      <c r="J49" s="188" t="str">
        <f>IF(_epmOfflineCondition_,"Y",_xll.EVPRO($B$1,$H49,"CALC"))</f>
        <v>Y</v>
      </c>
      <c r="K49" s="189" t="str">
        <f t="shared" si="12"/>
        <v/>
      </c>
      <c r="L49" s="190" t="str">
        <f>IF(_epmOfflineCondition_,"",_xll.EVPRO($B$1,H49,"JDEID"))</f>
        <v/>
      </c>
      <c r="M49" s="190" t="str">
        <f>IF(_epmOfflineCondition_,"",IF(AND(I49="N",J49="N"),_xll.EVPRO($B$1,H49,"PSFTID"),""))</f>
        <v/>
      </c>
      <c r="N49" s="190" t="str">
        <f>IF(_epmOfflineCondition_,"Supplemental Pay",IF(_xll.EVDES(H49,$B$1)="#NODATA","",_xll.EVDES(H49,$B$1)))</f>
        <v>Supplemental Pay</v>
      </c>
      <c r="O49" s="154">
        <v>31005.22</v>
      </c>
      <c r="P49" s="154">
        <v>14835.63</v>
      </c>
      <c r="Q49" s="154">
        <v>-4432.59</v>
      </c>
      <c r="R49" s="154">
        <v>3438.59</v>
      </c>
      <c r="S49" s="154">
        <v>4925.9399999999996</v>
      </c>
      <c r="T49" s="154">
        <v>3836.84</v>
      </c>
      <c r="U49" s="154">
        <v>16265.91</v>
      </c>
      <c r="V49" s="154">
        <v>8630.09</v>
      </c>
      <c r="W49" s="154">
        <v>15455.33</v>
      </c>
      <c r="X49" s="154">
        <v>-405.59</v>
      </c>
      <c r="Y49" s="154">
        <v>9236.66</v>
      </c>
      <c r="Z49" s="154">
        <v>10145.91</v>
      </c>
      <c r="AA49" s="154">
        <f t="shared" si="13"/>
        <v>112937.94</v>
      </c>
      <c r="AB49" s="155">
        <f t="shared" si="14"/>
        <v>2.1663237291657943E-2</v>
      </c>
      <c r="AC49" s="240"/>
      <c r="AD49" s="154">
        <v>181426.17997093499</v>
      </c>
      <c r="AE49" s="155">
        <f t="shared" si="15"/>
        <v>1.3986252038909722E-2</v>
      </c>
      <c r="AF49" s="156">
        <f t="shared" si="16"/>
        <v>-68488.239970934985</v>
      </c>
      <c r="AG49" s="154">
        <v>156028.93</v>
      </c>
      <c r="AH49" s="155">
        <f t="shared" si="17"/>
        <v>1.8605905031501582E-2</v>
      </c>
      <c r="AI49" s="156">
        <f t="shared" si="18"/>
        <v>-43090.989999999991</v>
      </c>
      <c r="AJ49" s="246">
        <f t="shared" si="19"/>
        <v>2.3376788375558868</v>
      </c>
      <c r="AK49" s="247">
        <f t="shared" si="20"/>
        <v>3.7553026157255958</v>
      </c>
      <c r="AL49" s="249">
        <f t="shared" si="21"/>
        <v>3.2384584889995849</v>
      </c>
      <c r="AM49" s="433" t="str">
        <f t="shared" si="22"/>
        <v>0.77 pts.</v>
      </c>
      <c r="AN49" s="617" t="str">
        <f t="shared" si="23"/>
        <v>0.31 pts.</v>
      </c>
      <c r="AO49" s="11"/>
    </row>
    <row r="50" spans="1:41" x14ac:dyDescent="0.35">
      <c r="A50" s="65" t="s">
        <v>31</v>
      </c>
      <c r="B50" s="66" t="s">
        <v>78</v>
      </c>
      <c r="C50" s="11"/>
      <c r="D50" s="11"/>
      <c r="E50" s="11"/>
      <c r="F50" s="11"/>
      <c r="G50" s="11"/>
      <c r="H50" s="11"/>
      <c r="I50" s="11"/>
      <c r="J50" s="11"/>
      <c r="K50" s="11"/>
      <c r="L50" s="11"/>
      <c r="M50" s="11"/>
      <c r="N50" s="90"/>
      <c r="O50" s="129"/>
      <c r="P50" s="130"/>
      <c r="Q50" s="130"/>
      <c r="R50" s="130"/>
      <c r="S50" s="130"/>
      <c r="T50" s="130"/>
      <c r="U50" s="130"/>
      <c r="V50" s="130"/>
      <c r="W50" s="130"/>
      <c r="X50" s="130"/>
      <c r="Y50" s="130"/>
      <c r="Z50" s="130"/>
      <c r="AA50" s="130"/>
      <c r="AB50" s="131"/>
      <c r="AC50" s="11"/>
      <c r="AD50" s="129"/>
      <c r="AE50" s="130"/>
      <c r="AF50" s="131"/>
      <c r="AG50" s="129"/>
      <c r="AH50" s="130"/>
      <c r="AI50" s="131"/>
      <c r="AJ50" s="11"/>
      <c r="AK50" s="11"/>
      <c r="AL50" s="11"/>
      <c r="AM50" s="11"/>
      <c r="AN50" s="11"/>
      <c r="AO50" s="11"/>
    </row>
    <row r="51" spans="1:41" x14ac:dyDescent="0.35">
      <c r="A51" s="65" t="s">
        <v>32</v>
      </c>
      <c r="B51" s="66"/>
      <c r="C51" s="11"/>
      <c r="D51" s="11"/>
      <c r="E51" s="11"/>
      <c r="F51" s="11"/>
      <c r="G51" s="11"/>
      <c r="H51" s="11"/>
      <c r="I51" s="59"/>
      <c r="J51" s="59"/>
      <c r="K51" s="11"/>
      <c r="L51" s="59"/>
      <c r="M51" s="59"/>
      <c r="N51" s="53" t="s">
        <v>562</v>
      </c>
      <c r="O51" s="119"/>
      <c r="P51" s="120"/>
      <c r="Q51" s="120"/>
      <c r="R51" s="120"/>
      <c r="S51" s="120"/>
      <c r="T51" s="120"/>
      <c r="U51" s="120"/>
      <c r="V51" s="120"/>
      <c r="W51" s="120"/>
      <c r="X51" s="120"/>
      <c r="Y51" s="120"/>
      <c r="Z51" s="120"/>
      <c r="AA51" s="120"/>
      <c r="AB51" s="121"/>
      <c r="AC51" s="11"/>
      <c r="AD51" s="119"/>
      <c r="AE51" s="120"/>
      <c r="AF51" s="121"/>
      <c r="AG51" s="119"/>
      <c r="AH51" s="120"/>
      <c r="AI51" s="121"/>
      <c r="AJ51" s="11"/>
      <c r="AK51" s="11"/>
      <c r="AL51" s="11"/>
      <c r="AM51" s="11"/>
      <c r="AN51" s="11"/>
      <c r="AO51" s="11"/>
    </row>
    <row r="52" spans="1:41" x14ac:dyDescent="0.35">
      <c r="A52" s="65" t="s">
        <v>33</v>
      </c>
      <c r="B52" s="66"/>
      <c r="C52" s="11"/>
      <c r="D52" s="11"/>
      <c r="E52" s="11"/>
      <c r="F52" s="11"/>
      <c r="G52" s="11"/>
      <c r="H52" s="88" t="s">
        <v>910</v>
      </c>
      <c r="I52" s="122" t="str">
        <f>IF(_epmOfflineCondition_,"N",_xll.EVPRO($B$1,$H52,"STYLE"))</f>
        <v>N</v>
      </c>
      <c r="J52" s="122" t="str">
        <f>IF(_epmOfflineCondition_,"N",_xll.EVPRO($B$1,$H52,"CALC"))</f>
        <v>N</v>
      </c>
      <c r="K52" s="179" t="str">
        <f t="shared" ref="K52:K61" si="24">IF(AND(I52&gt;="T4"),"&gt;","")</f>
        <v/>
      </c>
      <c r="L52" s="90" t="str">
        <f>IF(_epmOfflineCondition_,"693040",_xll.EVPRO($B$1,H52,"JDEID"))</f>
        <v>693040</v>
      </c>
      <c r="M52" s="90" t="str">
        <f>IF(_epmOfflineCondition_,"490120",IF(AND(I52="N",J52="N"),_xll.EVPRO($B$1,H52,"PSFTID"),""))</f>
        <v>490120</v>
      </c>
      <c r="N52" s="90" t="str">
        <f>IF(_epmOfflineCondition_,"Automobile Allowance",IF(_xll.EVDES(H52,$B$1)="#NODATA","",_xll.EVDES(H52,$B$1)))</f>
        <v>Automobile Allowance</v>
      </c>
      <c r="O52" s="143">
        <v>176.05</v>
      </c>
      <c r="P52" s="143">
        <v>160.02000000000001</v>
      </c>
      <c r="Q52" s="143">
        <v>-145.25</v>
      </c>
      <c r="R52" s="143">
        <v>-50</v>
      </c>
      <c r="S52" s="143">
        <v>-50</v>
      </c>
      <c r="T52" s="143">
        <v>-100</v>
      </c>
      <c r="U52" s="143">
        <v>-150</v>
      </c>
      <c r="V52" s="143">
        <v>-150</v>
      </c>
      <c r="W52" s="143">
        <v>-150</v>
      </c>
      <c r="X52" s="143">
        <v>-100</v>
      </c>
      <c r="Y52" s="143">
        <v>-50</v>
      </c>
      <c r="Z52" s="143">
        <v>-50</v>
      </c>
      <c r="AA52" s="143">
        <f t="shared" ref="AA52:AA61" si="25">IF($I52="B1","",SUM(O52:Z52))</f>
        <v>-659.18</v>
      </c>
      <c r="AB52" s="144">
        <f t="shared" ref="AB52:AB61" si="26">IF(AA52=0,"",IFERROR(AA52/AA$19,""))</f>
        <v>-1.2644088211556792E-4</v>
      </c>
      <c r="AC52" s="140"/>
      <c r="AD52" s="143"/>
      <c r="AE52" s="144" t="str">
        <f t="shared" ref="AE52:AE61" si="27">IF(AD52=0,"",IFERROR(AD52/AD$19,""))</f>
        <v/>
      </c>
      <c r="AF52" s="145">
        <f t="shared" ref="AF52:AF61" si="28">IF(AND($AA52="",AD52=""),"",$AA52-AD52)</f>
        <v>-659.18</v>
      </c>
      <c r="AG52" s="143">
        <v>4791.99</v>
      </c>
      <c r="AH52" s="144">
        <f t="shared" ref="AH52:AH61" si="29">IF(AG52=0,"",IFERROR(AG52/AG$19,""))</f>
        <v>5.714280733188728E-4</v>
      </c>
      <c r="AI52" s="145">
        <f t="shared" ref="AI52:AI61" si="30">IF(AND($AA52="",AG52=""),"",$AA52-AG52)</f>
        <v>-5451.17</v>
      </c>
      <c r="AJ52" s="440">
        <f t="shared" ref="AJ52:AJ61" si="31">IFERROR(AA52/AA$20,0)</f>
        <v>-1.3644229177016061E-2</v>
      </c>
      <c r="AK52" s="441">
        <f t="shared" ref="AK52:AK61" si="32">IFERROR(AD52/AD$20,0)</f>
        <v>0</v>
      </c>
      <c r="AL52" s="442">
        <f t="shared" ref="AL52:AL61" si="33">IFERROR(AG52/AG$20,0)</f>
        <v>9.9460149439601492E-2</v>
      </c>
      <c r="AM52" s="443">
        <f t="shared" ref="AM52:AM61" si="34">+IFERROR(ROUND(($AB52-AE52)*100,2)&amp;" pts.",0)</f>
        <v>0</v>
      </c>
      <c r="AN52" s="444" t="str">
        <f t="shared" ref="AN52:AN61" si="35">+IFERROR(ROUND(($AB52-AH52)*100,2)&amp;" pts.",0)</f>
        <v>-0.07 pts.</v>
      </c>
      <c r="AO52" s="11"/>
    </row>
    <row r="53" spans="1:41" x14ac:dyDescent="0.35">
      <c r="A53" s="65" t="s">
        <v>34</v>
      </c>
      <c r="B53" s="66"/>
      <c r="C53" s="11"/>
      <c r="D53" s="11"/>
      <c r="E53" s="11"/>
      <c r="F53" s="11"/>
      <c r="G53" s="11"/>
      <c r="H53" s="88" t="s">
        <v>911</v>
      </c>
      <c r="I53" s="122" t="str">
        <f>IF(_epmOfflineCondition_,"T4",_xll.EVPRO($B$1,$H53,"STYLE"))</f>
        <v>T4</v>
      </c>
      <c r="J53" s="122" t="str">
        <f>IF(_epmOfflineCondition_,"Y",_xll.EVPRO($B$1,$H53,"CALC"))</f>
        <v>Y</v>
      </c>
      <c r="K53" s="179" t="str">
        <f t="shared" si="24"/>
        <v>&gt;</v>
      </c>
      <c r="L53" s="90" t="str">
        <f>IF(_epmOfflineCondition_,"",_xll.EVPRO($B$1,H53,"JDEID"))</f>
        <v/>
      </c>
      <c r="M53" s="90" t="str">
        <f>IF(_epmOfflineCondition_,"",IF(AND(I53="N",J53="N"),_xll.EVPRO($B$1,H53,"PSFTID"),""))</f>
        <v/>
      </c>
      <c r="N53" s="90" t="str">
        <f>IF(_epmOfflineCondition_,"Contributory Savings Plan",IF(_xll.EVDES(H53,$B$1)="#NODATA","",_xll.EVDES(H53,$B$1)))</f>
        <v>Contributory Savings Plan</v>
      </c>
      <c r="O53" s="143">
        <v>567.12</v>
      </c>
      <c r="P53" s="143">
        <v>1524.33</v>
      </c>
      <c r="Q53" s="143">
        <v>1126.06</v>
      </c>
      <c r="R53" s="143">
        <v>-30.57</v>
      </c>
      <c r="S53" s="143">
        <v>-338.86</v>
      </c>
      <c r="T53" s="143">
        <v>-113.78</v>
      </c>
      <c r="U53" s="143">
        <v>-32.520000000000003</v>
      </c>
      <c r="V53" s="143">
        <v>-53.36</v>
      </c>
      <c r="W53" s="143">
        <v>-858.99</v>
      </c>
      <c r="X53" s="143">
        <v>1053.95</v>
      </c>
      <c r="Y53" s="143">
        <v>836.93</v>
      </c>
      <c r="Z53" s="143">
        <v>577.80999999999995</v>
      </c>
      <c r="AA53" s="143">
        <f t="shared" si="25"/>
        <v>4258.119999999999</v>
      </c>
      <c r="AB53" s="144">
        <f t="shared" si="26"/>
        <v>8.1677303460957846E-4</v>
      </c>
      <c r="AC53" s="140"/>
      <c r="AD53" s="143">
        <v>12899.781783012901</v>
      </c>
      <c r="AE53" s="144">
        <f t="shared" si="27"/>
        <v>9.9445184423250501E-4</v>
      </c>
      <c r="AF53" s="145">
        <f t="shared" si="28"/>
        <v>-8641.6617830129017</v>
      </c>
      <c r="AG53" s="143">
        <v>24129.59</v>
      </c>
      <c r="AH53" s="144">
        <f t="shared" si="29"/>
        <v>2.8773693441919413E-3</v>
      </c>
      <c r="AI53" s="145">
        <f t="shared" si="30"/>
        <v>-19871.47</v>
      </c>
      <c r="AJ53" s="440">
        <f t="shared" si="31"/>
        <v>8.8137936744494105E-2</v>
      </c>
      <c r="AK53" s="441">
        <f t="shared" si="32"/>
        <v>0.26700988953081845</v>
      </c>
      <c r="AL53" s="442">
        <f t="shared" si="33"/>
        <v>0.50082171025321709</v>
      </c>
      <c r="AM53" s="443" t="str">
        <f t="shared" si="34"/>
        <v>-0.02 pts.</v>
      </c>
      <c r="AN53" s="444" t="str">
        <f t="shared" si="35"/>
        <v>-0.21 pts.</v>
      </c>
      <c r="AO53" s="11"/>
    </row>
    <row r="54" spans="1:41" x14ac:dyDescent="0.35">
      <c r="A54" s="65" t="s">
        <v>35</v>
      </c>
      <c r="B54" s="66"/>
      <c r="C54" s="11"/>
      <c r="D54" s="11"/>
      <c r="E54" s="11"/>
      <c r="F54" s="11"/>
      <c r="G54" s="11"/>
      <c r="H54" s="88" t="s">
        <v>912</v>
      </c>
      <c r="I54" s="122" t="str">
        <f>IF(_epmOfflineCondition_,"N",_xll.EVPRO($B$1,$H54,"STYLE"))</f>
        <v>N</v>
      </c>
      <c r="J54" s="122" t="str">
        <f>IF(_epmOfflineCondition_,"N",_xll.EVPRO($B$1,$H54,"CALC"))</f>
        <v>N</v>
      </c>
      <c r="K54" s="179" t="str">
        <f t="shared" si="24"/>
        <v/>
      </c>
      <c r="L54" s="90" t="str">
        <f>IF(_epmOfflineCondition_,"693160",_xll.EVPRO($B$1,H54,"JDEID"))</f>
        <v>693160</v>
      </c>
      <c r="M54" s="90" t="str">
        <f>IF(_epmOfflineCondition_,"490700",IF(AND(I54="N",J54="N"),_xll.EVPRO($B$1,H54,"PSFTID"),""))</f>
        <v>490700</v>
      </c>
      <c r="N54" s="90" t="str">
        <f>IF(_epmOfflineCondition_,"Dental Insurance",IF(_xll.EVDES(H54,$B$1)="#NODATA","",_xll.EVDES(H54,$B$1)))</f>
        <v>Dental Insurance</v>
      </c>
      <c r="O54" s="143">
        <v>610.29</v>
      </c>
      <c r="P54" s="143">
        <v>763.61</v>
      </c>
      <c r="Q54" s="143">
        <v>543</v>
      </c>
      <c r="R54" s="143">
        <v>1026.3499999999999</v>
      </c>
      <c r="S54" s="143">
        <v>456.78</v>
      </c>
      <c r="T54" s="143">
        <v>250.67</v>
      </c>
      <c r="U54" s="143">
        <v>-1067.1500000000001</v>
      </c>
      <c r="V54" s="143">
        <v>415.58</v>
      </c>
      <c r="W54" s="143">
        <v>228.54</v>
      </c>
      <c r="X54" s="143">
        <v>288.68</v>
      </c>
      <c r="Y54" s="143">
        <v>212.01</v>
      </c>
      <c r="Z54" s="143">
        <v>344.38</v>
      </c>
      <c r="AA54" s="143">
        <f t="shared" si="25"/>
        <v>4072.74</v>
      </c>
      <c r="AB54" s="144">
        <f t="shared" si="26"/>
        <v>7.8121429386109726E-4</v>
      </c>
      <c r="AC54" s="140"/>
      <c r="AD54" s="143">
        <v>9344.2800000000007</v>
      </c>
      <c r="AE54" s="144">
        <f t="shared" si="27"/>
        <v>7.2035609867925619E-4</v>
      </c>
      <c r="AF54" s="145">
        <f t="shared" si="28"/>
        <v>-5271.5400000000009</v>
      </c>
      <c r="AG54" s="143">
        <v>5944</v>
      </c>
      <c r="AH54" s="144">
        <f t="shared" si="29"/>
        <v>7.0880124286723891E-4</v>
      </c>
      <c r="AI54" s="145">
        <f t="shared" si="30"/>
        <v>-1871.2600000000002</v>
      </c>
      <c r="AJ54" s="440">
        <f t="shared" si="31"/>
        <v>8.4300794833581716E-2</v>
      </c>
      <c r="AK54" s="441">
        <f t="shared" si="32"/>
        <v>0.19341530054644809</v>
      </c>
      <c r="AL54" s="442">
        <f t="shared" si="33"/>
        <v>0.12337069323370693</v>
      </c>
      <c r="AM54" s="443" t="str">
        <f t="shared" si="34"/>
        <v>0.01 pts.</v>
      </c>
      <c r="AN54" s="444" t="str">
        <f t="shared" si="35"/>
        <v>0.01 pts.</v>
      </c>
      <c r="AO54" s="11"/>
    </row>
    <row r="55" spans="1:41" x14ac:dyDescent="0.35">
      <c r="A55" s="65" t="s">
        <v>36</v>
      </c>
      <c r="B55" s="66"/>
      <c r="C55" s="11"/>
      <c r="D55" s="11"/>
      <c r="E55" s="11"/>
      <c r="F55" s="11"/>
      <c r="G55" s="11"/>
      <c r="H55" s="88" t="s">
        <v>913</v>
      </c>
      <c r="I55" s="122" t="str">
        <f>IF(_epmOfflineCondition_,"N",_xll.EVPRO($B$1,$H55,"STYLE"))</f>
        <v>N</v>
      </c>
      <c r="J55" s="122" t="str">
        <f>IF(_epmOfflineCondition_,"N",_xll.EVPRO($B$1,$H55,"CALC"))</f>
        <v>N</v>
      </c>
      <c r="K55" s="179" t="str">
        <f t="shared" si="24"/>
        <v/>
      </c>
      <c r="L55" s="90" t="str">
        <f>IF(_epmOfflineCondition_,"693200",_xll.EVPRO($B$1,H55,"JDEID"))</f>
        <v>693200</v>
      </c>
      <c r="M55" s="90" t="str">
        <f>IF(_epmOfflineCondition_,"490046",IF(AND(I55="N",J55="N"),_xll.EVPRO($B$1,H55,"PSFTID"),""))</f>
        <v>490046</v>
      </c>
      <c r="N55" s="90" t="str">
        <f>IF(_epmOfflineCondition_,"Disability Insurance",IF(_xll.EVDES(H55,$B$1)="#NODATA","",_xll.EVDES(H55,$B$1)))</f>
        <v>Disability Insurance</v>
      </c>
      <c r="O55" s="143">
        <v>18.39</v>
      </c>
      <c r="P55" s="143">
        <v>26.81</v>
      </c>
      <c r="Q55" s="143">
        <v>42.41</v>
      </c>
      <c r="R55" s="143">
        <v>1.59</v>
      </c>
      <c r="S55" s="143">
        <v>328.15</v>
      </c>
      <c r="T55" s="143">
        <v>47.18</v>
      </c>
      <c r="U55" s="143">
        <v>32.53</v>
      </c>
      <c r="V55" s="143">
        <v>47.16</v>
      </c>
      <c r="W55" s="143">
        <v>-3.57</v>
      </c>
      <c r="X55" s="143">
        <v>-0.84</v>
      </c>
      <c r="Y55" s="143">
        <v>-45.99</v>
      </c>
      <c r="Z55" s="143">
        <v>-0.04</v>
      </c>
      <c r="AA55" s="143">
        <f t="shared" si="25"/>
        <v>493.7799999999998</v>
      </c>
      <c r="AB55" s="144">
        <f t="shared" si="26"/>
        <v>9.4714613263486612E-5</v>
      </c>
      <c r="AC55" s="140"/>
      <c r="AD55" s="143">
        <v>-1071.5562</v>
      </c>
      <c r="AE55" s="144">
        <f t="shared" si="27"/>
        <v>-8.2606904303763234E-5</v>
      </c>
      <c r="AF55" s="145">
        <f t="shared" si="28"/>
        <v>1565.3361999999997</v>
      </c>
      <c r="AG55" s="143">
        <v>190.87</v>
      </c>
      <c r="AH55" s="144">
        <f t="shared" si="29"/>
        <v>2.2760580959971379E-5</v>
      </c>
      <c r="AI55" s="145">
        <f t="shared" si="30"/>
        <v>302.9099999999998</v>
      </c>
      <c r="AJ55" s="440">
        <f t="shared" si="31"/>
        <v>1.0220649114091733E-2</v>
      </c>
      <c r="AK55" s="441">
        <f t="shared" si="32"/>
        <v>-2.2179918032786884E-2</v>
      </c>
      <c r="AL55" s="442">
        <f t="shared" si="33"/>
        <v>3.9616023246160231E-3</v>
      </c>
      <c r="AM55" s="443" t="str">
        <f t="shared" si="34"/>
        <v>0.02 pts.</v>
      </c>
      <c r="AN55" s="444" t="str">
        <f t="shared" si="35"/>
        <v>0.01 pts.</v>
      </c>
      <c r="AO55" s="11"/>
    </row>
    <row r="56" spans="1:41" x14ac:dyDescent="0.35">
      <c r="A56" s="65" t="s">
        <v>37</v>
      </c>
      <c r="B56" s="66"/>
      <c r="C56" s="11"/>
      <c r="D56" s="11"/>
      <c r="E56" s="11"/>
      <c r="F56" s="11"/>
      <c r="G56" s="11"/>
      <c r="H56" s="88" t="s">
        <v>914</v>
      </c>
      <c r="I56" s="122" t="str">
        <f>IF(_epmOfflineCondition_,"N",_xll.EVPRO($B$1,$H56,"STYLE"))</f>
        <v>N</v>
      </c>
      <c r="J56" s="122" t="str">
        <f>IF(_epmOfflineCondition_,"N",_xll.EVPRO($B$1,$H56,"CALC"))</f>
        <v>N</v>
      </c>
      <c r="K56" s="179" t="str">
        <f t="shared" si="24"/>
        <v/>
      </c>
      <c r="L56" s="90" t="str">
        <f>IF(_epmOfflineCondition_,"693280",_xll.EVPRO($B$1,H56,"JDEID"))</f>
        <v>693280</v>
      </c>
      <c r="M56" s="90" t="str">
        <f>IF(_epmOfflineCondition_,"490043",IF(AND(I56="N",J56="N"),_xll.EVPRO($B$1,H56,"PSFTID"),""))</f>
        <v>490043</v>
      </c>
      <c r="N56" s="90" t="str">
        <f>IF(_epmOfflineCondition_,"Group Life Insurance",IF(_xll.EVDES(H56,$B$1)="#NODATA","",_xll.EVDES(H56,$B$1)))</f>
        <v>Group Life Insurance</v>
      </c>
      <c r="O56" s="143">
        <v>62.76</v>
      </c>
      <c r="P56" s="143">
        <v>82.96</v>
      </c>
      <c r="Q56" s="143">
        <v>71.400000000000006</v>
      </c>
      <c r="R56" s="143">
        <v>26.35</v>
      </c>
      <c r="S56" s="143">
        <v>140.05000000000001</v>
      </c>
      <c r="T56" s="143">
        <v>48.17</v>
      </c>
      <c r="U56" s="143">
        <v>56.66</v>
      </c>
      <c r="V56" s="143">
        <v>58.22</v>
      </c>
      <c r="W56" s="143">
        <v>36.29</v>
      </c>
      <c r="X56" s="143">
        <v>43.47</v>
      </c>
      <c r="Y56" s="143">
        <v>37.020000000000003</v>
      </c>
      <c r="Z56" s="143">
        <v>47.93</v>
      </c>
      <c r="AA56" s="143">
        <f t="shared" si="25"/>
        <v>711.28</v>
      </c>
      <c r="AB56" s="144">
        <f t="shared" si="26"/>
        <v>1.3643446498856328E-4</v>
      </c>
      <c r="AC56" s="140"/>
      <c r="AD56" s="143">
        <v>4634.4393600000003</v>
      </c>
      <c r="AE56" s="144">
        <f t="shared" si="27"/>
        <v>3.5727168459583715E-4</v>
      </c>
      <c r="AF56" s="145">
        <f t="shared" si="28"/>
        <v>-3923.1593600000006</v>
      </c>
      <c r="AG56" s="143">
        <v>782.85</v>
      </c>
      <c r="AH56" s="144">
        <f t="shared" si="29"/>
        <v>9.3352128697614059E-5</v>
      </c>
      <c r="AI56" s="145">
        <f t="shared" si="30"/>
        <v>-71.57000000000005</v>
      </c>
      <c r="AJ56" s="440">
        <f t="shared" si="31"/>
        <v>1.4722636198046033E-2</v>
      </c>
      <c r="AK56" s="441">
        <f t="shared" si="32"/>
        <v>9.5927292598112279E-2</v>
      </c>
      <c r="AL56" s="442">
        <f t="shared" si="33"/>
        <v>1.6248443337484434E-2</v>
      </c>
      <c r="AM56" s="443" t="str">
        <f t="shared" si="34"/>
        <v>-0.02 pts.</v>
      </c>
      <c r="AN56" s="444" t="str">
        <f t="shared" si="35"/>
        <v>0 pts.</v>
      </c>
      <c r="AO56" s="11"/>
    </row>
    <row r="57" spans="1:41" x14ac:dyDescent="0.35">
      <c r="A57" s="65" t="s">
        <v>38</v>
      </c>
      <c r="B57" s="66"/>
      <c r="C57" s="11"/>
      <c r="D57" s="11"/>
      <c r="E57" s="11"/>
      <c r="F57" s="11"/>
      <c r="G57" s="11"/>
      <c r="H57" s="88" t="s">
        <v>915</v>
      </c>
      <c r="I57" s="122" t="str">
        <f>IF(_epmOfflineCondition_,"T4",_xll.EVPRO($B$1,$H57,"STYLE"))</f>
        <v>T4</v>
      </c>
      <c r="J57" s="122" t="str">
        <f>IF(_epmOfflineCondition_,"Y",_xll.EVPRO($B$1,$H57,"CALC"))</f>
        <v>Y</v>
      </c>
      <c r="K57" s="179" t="str">
        <f t="shared" si="24"/>
        <v>&gt;</v>
      </c>
      <c r="L57" s="90" t="str">
        <f>IF(_epmOfflineCondition_,"",_xll.EVPRO($B$1,H57,"JDEID"))</f>
        <v/>
      </c>
      <c r="M57" s="90" t="str">
        <f>IF(_epmOfflineCondition_,"",IF(AND(I57="N",J57="N"),_xll.EVPRO($B$1,H57,"PSFTID"),""))</f>
        <v/>
      </c>
      <c r="N57" s="90" t="str">
        <f>IF(_epmOfflineCondition_,"Health Insurance",IF(_xll.EVDES(H57,$B$1)="#NODATA","",_xll.EVDES(H57,$B$1)))</f>
        <v>Health Insurance</v>
      </c>
      <c r="O57" s="143">
        <v>2245.09</v>
      </c>
      <c r="P57" s="143">
        <v>-3032.02</v>
      </c>
      <c r="Q57" s="143">
        <v>-3551.89</v>
      </c>
      <c r="R57" s="143">
        <v>1620.83</v>
      </c>
      <c r="S57" s="143">
        <v>1753.19</v>
      </c>
      <c r="T57" s="143">
        <v>1373.99</v>
      </c>
      <c r="U57" s="143">
        <v>1634.01</v>
      </c>
      <c r="V57" s="143">
        <v>11147.37</v>
      </c>
      <c r="W57" s="143">
        <v>10044.61</v>
      </c>
      <c r="X57" s="143">
        <v>11255.91</v>
      </c>
      <c r="Y57" s="143">
        <v>9577.2999999999993</v>
      </c>
      <c r="Z57" s="143">
        <v>11668.54</v>
      </c>
      <c r="AA57" s="143">
        <f t="shared" si="25"/>
        <v>55736.93</v>
      </c>
      <c r="AB57" s="144">
        <f t="shared" si="26"/>
        <v>1.0691202092924028E-2</v>
      </c>
      <c r="AC57" s="140"/>
      <c r="AD57" s="143">
        <v>-11465.88</v>
      </c>
      <c r="AE57" s="144">
        <f t="shared" si="27"/>
        <v>-8.8391150358556347E-4</v>
      </c>
      <c r="AF57" s="145">
        <f t="shared" si="28"/>
        <v>67202.81</v>
      </c>
      <c r="AG57" s="143">
        <v>-19175.62</v>
      </c>
      <c r="AH57" s="144">
        <f t="shared" si="29"/>
        <v>-2.2866257215258885E-3</v>
      </c>
      <c r="AI57" s="145">
        <f t="shared" si="30"/>
        <v>74912.55</v>
      </c>
      <c r="AJ57" s="440">
        <f t="shared" si="31"/>
        <v>1.1536870756747806</v>
      </c>
      <c r="AK57" s="441">
        <f t="shared" si="32"/>
        <v>-0.23732985593641329</v>
      </c>
      <c r="AL57" s="442">
        <f t="shared" si="33"/>
        <v>-0.39799958488999582</v>
      </c>
      <c r="AM57" s="443" t="str">
        <f t="shared" si="34"/>
        <v>1.16 pts.</v>
      </c>
      <c r="AN57" s="444" t="str">
        <f t="shared" si="35"/>
        <v>1.3 pts.</v>
      </c>
      <c r="AO57" s="11"/>
    </row>
    <row r="58" spans="1:41" x14ac:dyDescent="0.35">
      <c r="A58" s="65" t="s">
        <v>39</v>
      </c>
      <c r="B58" s="66"/>
      <c r="C58" s="11"/>
      <c r="D58" s="11"/>
      <c r="E58" s="11"/>
      <c r="F58" s="11"/>
      <c r="G58" s="11"/>
      <c r="H58" s="88" t="s">
        <v>916</v>
      </c>
      <c r="I58" s="122" t="str">
        <f>IF(_epmOfflineCondition_,"T4",_xll.EVPRO($B$1,$H58,"STYLE"))</f>
        <v>T4</v>
      </c>
      <c r="J58" s="122" t="str">
        <f>IF(_epmOfflineCondition_,"Y",_xll.EVPRO($B$1,$H58,"CALC"))</f>
        <v>Y</v>
      </c>
      <c r="K58" s="179" t="str">
        <f t="shared" si="24"/>
        <v>&gt;</v>
      </c>
      <c r="L58" s="90" t="str">
        <f>IF(_epmOfflineCondition_,"",_xll.EVPRO($B$1,H58,"JDEID"))</f>
        <v/>
      </c>
      <c r="M58" s="90" t="str">
        <f>IF(_epmOfflineCondition_,"",IF(AND(I58="N",J58="N"),_xll.EVPRO($B$1,H58,"PSFTID"),""))</f>
        <v/>
      </c>
      <c r="N58" s="90" t="str">
        <f>IF(_epmOfflineCondition_,"Meals",IF(_xll.EVDES(H58,$B$1)="#NODATA","",_xll.EVDES(H58,$B$1)))</f>
        <v>Meals</v>
      </c>
      <c r="O58" s="143">
        <v>15.2</v>
      </c>
      <c r="P58" s="143">
        <v>1457.41</v>
      </c>
      <c r="Q58" s="143">
        <v>88.71</v>
      </c>
      <c r="R58" s="143"/>
      <c r="S58" s="143"/>
      <c r="T58" s="143"/>
      <c r="U58" s="143"/>
      <c r="V58" s="143"/>
      <c r="W58" s="143"/>
      <c r="X58" s="143"/>
      <c r="Y58" s="143"/>
      <c r="Z58" s="143"/>
      <c r="AA58" s="143">
        <f t="shared" si="25"/>
        <v>1561.3200000000002</v>
      </c>
      <c r="AB58" s="144">
        <f t="shared" si="26"/>
        <v>2.9948523630067434E-4</v>
      </c>
      <c r="AC58" s="140"/>
      <c r="AD58" s="143">
        <v>1626.468381288</v>
      </c>
      <c r="AE58" s="144">
        <f t="shared" si="27"/>
        <v>1.2538541415387688E-4</v>
      </c>
      <c r="AF58" s="145">
        <f t="shared" si="28"/>
        <v>-65.148381287999882</v>
      </c>
      <c r="AG58" s="143">
        <v>3192.23</v>
      </c>
      <c r="AH58" s="144">
        <f t="shared" si="29"/>
        <v>3.806622798650885E-4</v>
      </c>
      <c r="AI58" s="145">
        <f t="shared" si="30"/>
        <v>-1630.9099999999999</v>
      </c>
      <c r="AJ58" s="440">
        <f t="shared" si="31"/>
        <v>3.2317436661698958E-2</v>
      </c>
      <c r="AK58" s="441">
        <f t="shared" si="32"/>
        <v>3.3665929402384505E-2</v>
      </c>
      <c r="AL58" s="442">
        <f t="shared" si="33"/>
        <v>6.6256330427563306E-2</v>
      </c>
      <c r="AM58" s="443" t="str">
        <f t="shared" si="34"/>
        <v>0.02 pts.</v>
      </c>
      <c r="AN58" s="444" t="str">
        <f t="shared" si="35"/>
        <v>-0.01 pts.</v>
      </c>
      <c r="AO58" s="11"/>
    </row>
    <row r="59" spans="1:41" x14ac:dyDescent="0.35">
      <c r="A59" s="65" t="s">
        <v>40</v>
      </c>
      <c r="B59" s="66"/>
      <c r="C59" s="11"/>
      <c r="D59" s="11"/>
      <c r="E59" s="11"/>
      <c r="F59" s="11"/>
      <c r="G59" s="11"/>
      <c r="H59" s="88" t="s">
        <v>917</v>
      </c>
      <c r="I59" s="122" t="str">
        <f>IF(_epmOfflineCondition_,"N",_xll.EVPRO($B$1,$H59,"STYLE"))</f>
        <v>N</v>
      </c>
      <c r="J59" s="122" t="str">
        <f>IF(_epmOfflineCondition_,"N",_xll.EVPRO($B$1,$H59,"CALC"))</f>
        <v>N</v>
      </c>
      <c r="K59" s="179" t="str">
        <f t="shared" si="24"/>
        <v/>
      </c>
      <c r="L59" s="90" t="str">
        <f>IF(_epmOfflineCondition_,"693480",_xll.EVPRO($B$1,H59,"JDEID"))</f>
        <v>693480</v>
      </c>
      <c r="M59" s="90" t="str">
        <f>IF(_epmOfflineCondition_,"490750",IF(AND(I59="N",J59="N"),_xll.EVPRO($B$1,H59,"PSFTID"),""))</f>
        <v>490750</v>
      </c>
      <c r="N59" s="90" t="str">
        <f>IF(_epmOfflineCondition_,"Nonunion Insurance",IF(_xll.EVDES(H59,$B$1)="#NODATA","",_xll.EVDES(H59,$B$1)))</f>
        <v>Nonunion Insurance</v>
      </c>
      <c r="O59" s="143">
        <v>13782.99</v>
      </c>
      <c r="P59" s="143">
        <v>12128.82</v>
      </c>
      <c r="Q59" s="143">
        <v>9687.84</v>
      </c>
      <c r="R59" s="143">
        <v>10886.37</v>
      </c>
      <c r="S59" s="143">
        <v>6508.83</v>
      </c>
      <c r="T59" s="143">
        <v>-1193.02</v>
      </c>
      <c r="U59" s="143">
        <v>4206.3500000000004</v>
      </c>
      <c r="V59" s="143">
        <v>-3781.2</v>
      </c>
      <c r="W59" s="143">
        <v>-3997.58</v>
      </c>
      <c r="X59" s="143">
        <v>-4212.6099999999997</v>
      </c>
      <c r="Y59" s="143">
        <v>-3288.91</v>
      </c>
      <c r="Z59" s="143">
        <v>-4673.63</v>
      </c>
      <c r="AA59" s="143">
        <f t="shared" si="25"/>
        <v>36054.250000000007</v>
      </c>
      <c r="AB59" s="144">
        <f t="shared" si="26"/>
        <v>6.9157607542935399E-3</v>
      </c>
      <c r="AC59" s="140"/>
      <c r="AD59" s="143">
        <v>194317.94199999899</v>
      </c>
      <c r="AE59" s="144">
        <f t="shared" si="27"/>
        <v>1.4980085635544017E-2</v>
      </c>
      <c r="AF59" s="145">
        <f t="shared" si="28"/>
        <v>-158263.69199999899</v>
      </c>
      <c r="AG59" s="143">
        <v>97943.58</v>
      </c>
      <c r="AH59" s="144">
        <f t="shared" si="29"/>
        <v>1.1679429884735337E-2</v>
      </c>
      <c r="AI59" s="145">
        <f t="shared" si="30"/>
        <v>-61889.329999999994</v>
      </c>
      <c r="AJ59" s="440">
        <f t="shared" si="31"/>
        <v>0.74627939228349083</v>
      </c>
      <c r="AK59" s="441">
        <f t="shared" si="32"/>
        <v>4.0221465060440265</v>
      </c>
      <c r="AL59" s="442">
        <f t="shared" si="33"/>
        <v>2.0328679950186799</v>
      </c>
      <c r="AM59" s="443" t="str">
        <f t="shared" si="34"/>
        <v>-0.81 pts.</v>
      </c>
      <c r="AN59" s="444" t="str">
        <f t="shared" si="35"/>
        <v>-0.48 pts.</v>
      </c>
      <c r="AO59" s="11"/>
    </row>
    <row r="60" spans="1:41" x14ac:dyDescent="0.35">
      <c r="A60" s="65" t="s">
        <v>41</v>
      </c>
      <c r="B60" s="66"/>
      <c r="C60" s="11"/>
      <c r="D60" s="11"/>
      <c r="E60" s="11"/>
      <c r="F60" s="11"/>
      <c r="G60" s="11"/>
      <c r="H60" s="88" t="s">
        <v>918</v>
      </c>
      <c r="I60" s="122" t="str">
        <f>IF(_epmOfflineCondition_,"T4",_xll.EVPRO($B$1,$H60,"STYLE"))</f>
        <v>T4</v>
      </c>
      <c r="J60" s="122" t="str">
        <f>IF(_epmOfflineCondition_,"Y",_xll.EVPRO($B$1,$H60,"CALC"))</f>
        <v>Y</v>
      </c>
      <c r="K60" s="179" t="str">
        <f t="shared" si="24"/>
        <v>&gt;</v>
      </c>
      <c r="L60" s="90" t="str">
        <f>IF(_epmOfflineCondition_,"",_xll.EVPRO($B$1,H60,"JDEID"))</f>
        <v/>
      </c>
      <c r="M60" s="90" t="str">
        <f>IF(_epmOfflineCondition_,"",IF(AND(I60="N",J60="N"),_xll.EVPRO($B$1,H60,"PSFTID"),""))</f>
        <v/>
      </c>
      <c r="N60" s="90" t="str">
        <f>IF(_epmOfflineCondition_,"Workers Comp Expense",IF(_xll.EVDES(H60,$B$1)="#NODATA","",_xll.EVDES(H60,$B$1)))</f>
        <v>Workers Comp Expense</v>
      </c>
      <c r="O60" s="217">
        <v>3168.49</v>
      </c>
      <c r="P60" s="217">
        <v>3165.28</v>
      </c>
      <c r="Q60" s="217">
        <v>3165.03</v>
      </c>
      <c r="R60" s="217">
        <v>3146.83</v>
      </c>
      <c r="S60" s="217">
        <v>3148.84</v>
      </c>
      <c r="T60" s="217">
        <v>3148.84</v>
      </c>
      <c r="U60" s="217">
        <v>1528.37</v>
      </c>
      <c r="V60" s="217">
        <v>2313.67</v>
      </c>
      <c r="W60" s="217">
        <v>-969.31</v>
      </c>
      <c r="X60" s="217">
        <v>2610.56</v>
      </c>
      <c r="Y60" s="217">
        <v>2927.16</v>
      </c>
      <c r="Z60" s="217">
        <v>0.45</v>
      </c>
      <c r="AA60" s="217">
        <f t="shared" si="25"/>
        <v>27354.21</v>
      </c>
      <c r="AB60" s="219">
        <f t="shared" si="26"/>
        <v>5.246959012674063E-3</v>
      </c>
      <c r="AC60" s="140"/>
      <c r="AD60" s="217">
        <v>44540.482159653402</v>
      </c>
      <c r="AE60" s="219">
        <f t="shared" si="27"/>
        <v>3.4336522409239593E-3</v>
      </c>
      <c r="AF60" s="220">
        <f t="shared" si="28"/>
        <v>-17186.272159653403</v>
      </c>
      <c r="AG60" s="217">
        <v>45639.19</v>
      </c>
      <c r="AH60" s="219">
        <f t="shared" si="29"/>
        <v>5.442314030190791E-3</v>
      </c>
      <c r="AI60" s="220">
        <f t="shared" si="30"/>
        <v>-18284.980000000003</v>
      </c>
      <c r="AJ60" s="449">
        <f t="shared" si="31"/>
        <v>0.56619908097367111</v>
      </c>
      <c r="AK60" s="450">
        <f t="shared" si="32"/>
        <v>0.92193413975106397</v>
      </c>
      <c r="AL60" s="451">
        <f t="shared" si="33"/>
        <v>0.94726421751764223</v>
      </c>
      <c r="AM60" s="452" t="str">
        <f t="shared" si="34"/>
        <v>0.18 pts.</v>
      </c>
      <c r="AN60" s="453" t="str">
        <f t="shared" si="35"/>
        <v>-0.02 pts.</v>
      </c>
      <c r="AO60" s="11"/>
    </row>
    <row r="61" spans="1:41" x14ac:dyDescent="0.35">
      <c r="A61" s="65" t="s">
        <v>42</v>
      </c>
      <c r="B61" s="66"/>
      <c r="C61" s="11"/>
      <c r="D61" s="11"/>
      <c r="E61" s="11"/>
      <c r="F61" s="11"/>
      <c r="G61" s="11"/>
      <c r="H61" s="88" t="s">
        <v>857</v>
      </c>
      <c r="I61" s="188" t="str">
        <f>IF(_epmOfflineCondition_,"T3",_xll.EVPRO($B$1,$H61,"STYLE"))</f>
        <v>T3</v>
      </c>
      <c r="J61" s="188" t="str">
        <f>IF(_epmOfflineCondition_,"Y",_xll.EVPRO($B$1,$H61,"CALC"))</f>
        <v>Y</v>
      </c>
      <c r="K61" s="189" t="str">
        <f t="shared" si="24"/>
        <v/>
      </c>
      <c r="L61" s="190" t="str">
        <f>IF(_epmOfflineCondition_,"",_xll.EVPRO($B$1,H61,"JDEID"))</f>
        <v/>
      </c>
      <c r="M61" s="190" t="str">
        <f>IF(_epmOfflineCondition_,"",IF(AND(I61="N",J61="N"),_xll.EVPRO($B$1,H61,"PSFTID"),""))</f>
        <v/>
      </c>
      <c r="N61" s="190" t="str">
        <f>IF(_epmOfflineCondition_,"Employee Benefits",IF(_xll.EVDES(H61,$B$1)="#NODATA","",_xll.EVDES(H61,$B$1)))</f>
        <v>Employee Benefits</v>
      </c>
      <c r="O61" s="154">
        <v>20646.38</v>
      </c>
      <c r="P61" s="154">
        <v>16277.22</v>
      </c>
      <c r="Q61" s="154">
        <v>11027.31</v>
      </c>
      <c r="R61" s="154">
        <v>16627.75</v>
      </c>
      <c r="S61" s="154">
        <v>11946.98</v>
      </c>
      <c r="T61" s="154">
        <v>3462.05</v>
      </c>
      <c r="U61" s="154">
        <v>6208.25</v>
      </c>
      <c r="V61" s="154">
        <v>9997.44</v>
      </c>
      <c r="W61" s="154">
        <v>4329.99</v>
      </c>
      <c r="X61" s="154">
        <v>10939.12</v>
      </c>
      <c r="Y61" s="154">
        <v>10205.52</v>
      </c>
      <c r="Z61" s="154">
        <v>7915.44</v>
      </c>
      <c r="AA61" s="154">
        <f t="shared" si="25"/>
        <v>129583.45000000001</v>
      </c>
      <c r="AB61" s="155">
        <f t="shared" si="26"/>
        <v>2.4856102620799465E-2</v>
      </c>
      <c r="AC61" s="240"/>
      <c r="AD61" s="154">
        <v>254825.957483954</v>
      </c>
      <c r="AE61" s="155">
        <f t="shared" si="27"/>
        <v>1.9644684510240179E-2</v>
      </c>
      <c r="AF61" s="156">
        <f t="shared" si="28"/>
        <v>-125242.50748395399</v>
      </c>
      <c r="AG61" s="154">
        <v>163438.68</v>
      </c>
      <c r="AH61" s="155">
        <f t="shared" si="29"/>
        <v>1.9489491843300965E-2</v>
      </c>
      <c r="AI61" s="156">
        <f t="shared" si="30"/>
        <v>-33855.229999999981</v>
      </c>
      <c r="AJ61" s="246">
        <f t="shared" si="31"/>
        <v>2.6822207733068391</v>
      </c>
      <c r="AK61" s="247">
        <f t="shared" si="32"/>
        <v>5.2745892839036674</v>
      </c>
      <c r="AL61" s="249">
        <f t="shared" si="33"/>
        <v>3.3922515566625155</v>
      </c>
      <c r="AM61" s="433" t="str">
        <f t="shared" si="34"/>
        <v>0.52 pts.</v>
      </c>
      <c r="AN61" s="617" t="str">
        <f t="shared" si="35"/>
        <v>0.54 pts.</v>
      </c>
      <c r="AO61" s="11"/>
    </row>
    <row r="62" spans="1:41" x14ac:dyDescent="0.35">
      <c r="A62" s="65" t="s">
        <v>43</v>
      </c>
      <c r="B62" s="66"/>
      <c r="C62" s="11"/>
      <c r="D62" s="11"/>
      <c r="E62" s="11"/>
      <c r="F62" s="11"/>
      <c r="G62" s="11"/>
      <c r="H62" s="106"/>
      <c r="I62" s="106"/>
      <c r="J62" s="106"/>
      <c r="K62" s="106"/>
      <c r="L62" s="106"/>
      <c r="M62" s="106"/>
      <c r="N62" s="106"/>
      <c r="O62" s="203"/>
      <c r="P62" s="204"/>
      <c r="Q62" s="204"/>
      <c r="R62" s="204"/>
      <c r="S62" s="204"/>
      <c r="T62" s="204"/>
      <c r="U62" s="204"/>
      <c r="V62" s="204"/>
      <c r="W62" s="204"/>
      <c r="X62" s="204"/>
      <c r="Y62" s="204"/>
      <c r="Z62" s="204"/>
      <c r="AA62" s="204"/>
      <c r="AB62" s="118"/>
      <c r="AC62" s="11"/>
      <c r="AD62" s="203"/>
      <c r="AE62" s="204"/>
      <c r="AF62" s="118"/>
      <c r="AG62" s="203"/>
      <c r="AH62" s="204"/>
      <c r="AI62" s="118"/>
      <c r="AJ62" s="11"/>
      <c r="AK62" s="11"/>
      <c r="AL62" s="11"/>
      <c r="AM62" s="11"/>
      <c r="AN62" s="11"/>
      <c r="AO62" s="11"/>
    </row>
    <row r="63" spans="1:41" ht="15" thickBot="1" x14ac:dyDescent="0.4">
      <c r="A63" s="65" t="s">
        <v>44</v>
      </c>
      <c r="B63" s="66"/>
      <c r="C63" s="11"/>
      <c r="D63" s="11"/>
      <c r="E63" s="11"/>
      <c r="F63" s="11"/>
      <c r="G63" s="11"/>
      <c r="H63" s="88" t="s">
        <v>858</v>
      </c>
      <c r="I63" s="136" t="str">
        <f>IF(_epmOfflineCondition_,"T2",_xll.EVPRO($B$1,$H63,"STYLE"))</f>
        <v>T2</v>
      </c>
      <c r="J63" s="136" t="str">
        <f>IF(_epmOfflineCondition_,"Y",_xll.EVPRO($B$1,$H63,"CALC"))</f>
        <v>Y</v>
      </c>
      <c r="K63" s="106"/>
      <c r="L63" s="59"/>
      <c r="M63" s="59"/>
      <c r="N63" s="106" t="str">
        <f>IF(_epmOfflineCondition_,"Total Payroll Related",IF(_xll.EVDES(H63,$B$1)="#NODATA","",_xll.EVDES(H63,$B$1)))</f>
        <v>Total Payroll Related</v>
      </c>
      <c r="O63" s="169">
        <v>70280.100000000006</v>
      </c>
      <c r="P63" s="169">
        <v>57805.42</v>
      </c>
      <c r="Q63" s="169">
        <v>23153.59</v>
      </c>
      <c r="R63" s="169">
        <v>23498.77</v>
      </c>
      <c r="S63" s="169">
        <v>19786.900000000001</v>
      </c>
      <c r="T63" s="169">
        <v>11518.43</v>
      </c>
      <c r="U63" s="169">
        <v>28090.07</v>
      </c>
      <c r="V63" s="169">
        <v>24373.77</v>
      </c>
      <c r="W63" s="169">
        <v>26324.2</v>
      </c>
      <c r="X63" s="169">
        <v>15976.53</v>
      </c>
      <c r="Y63" s="169">
        <v>27429.42</v>
      </c>
      <c r="Z63" s="169">
        <v>27875.05</v>
      </c>
      <c r="AA63" s="169">
        <f>IF($I63="B1","",SUM(O63:Z63))</f>
        <v>356112.25</v>
      </c>
      <c r="AB63" s="170">
        <f>IF(AA63=0,"",IFERROR(AA63/AA$19,""))</f>
        <v>6.8307817321762873E-2</v>
      </c>
      <c r="AC63" s="140"/>
      <c r="AD63" s="169">
        <v>738412.97496837599</v>
      </c>
      <c r="AE63" s="170">
        <f>IF(AD63=0,"",IFERROR(AD63/AD$19,""))</f>
        <v>5.6924695092865643E-2</v>
      </c>
      <c r="AF63" s="171">
        <f>IF(AND($AA63="",AD63=""),"",$AA63-AD63)</f>
        <v>-382300.72496837599</v>
      </c>
      <c r="AG63" s="169">
        <v>569609.11</v>
      </c>
      <c r="AH63" s="170">
        <f>IF(AG63=0,"",IFERROR(AG63/AG$19,""))</f>
        <v>6.792389722686773E-2</v>
      </c>
      <c r="AI63" s="171">
        <f>IF(AND($AA63="",AG63=""),"",$AA63-AG63)</f>
        <v>-213496.86</v>
      </c>
      <c r="AJ63" s="477">
        <f>IFERROR(AA63/AA$20,0)</f>
        <v>7.3710931031627753</v>
      </c>
      <c r="AK63" s="478">
        <f>IFERROR(AD63/AD$20,0)</f>
        <v>15.284255981296075</v>
      </c>
      <c r="AL63" s="479">
        <f>IFERROR(AG63/AG$20,0)</f>
        <v>11.822522000830221</v>
      </c>
      <c r="AM63" s="480" t="str">
        <f>+IFERROR(ROUND(($AB63-AE63)*100,2)&amp;" pts.",0)</f>
        <v>1.14 pts.</v>
      </c>
      <c r="AN63" s="557" t="str">
        <f>+IFERROR(ROUND(($AB63-AH63)*100,2)&amp;" pts.",0)</f>
        <v>0.04 pts.</v>
      </c>
      <c r="AO63" s="11"/>
    </row>
    <row r="64" spans="1:41" ht="15.5" hidden="1" thickTop="1" thickBot="1" x14ac:dyDescent="0.4">
      <c r="A64" s="65" t="s">
        <v>45</v>
      </c>
      <c r="B64" s="66"/>
      <c r="C64" s="11"/>
      <c r="D64" s="11"/>
      <c r="E64" s="11"/>
      <c r="F64" s="11"/>
      <c r="G64" s="11"/>
      <c r="H64" s="88"/>
      <c r="I64" s="136" t="str">
        <f>IF(_epmOfflineCondition_,"",_xll.EVPRO($B$1,$H64,"STYLE"))</f>
        <v/>
      </c>
      <c r="J64" s="136" t="str">
        <f>IF(_epmOfflineCondition_,"",_xll.EVPRO($B$1,$H64,"CALC"))</f>
        <v/>
      </c>
      <c r="K64" s="106"/>
      <c r="L64" s="59"/>
      <c r="M64" s="59"/>
      <c r="N64" s="106" t="str">
        <f>IF(_epmOfflineCondition_,"",IF(_xll.EVDES(H64,$B$1)="#NODATA","",_xll.EVDES(H64,$B$1)))</f>
        <v/>
      </c>
      <c r="O64" s="169"/>
      <c r="P64" s="169"/>
      <c r="Q64" s="169"/>
      <c r="R64" s="169"/>
      <c r="S64" s="169"/>
      <c r="T64" s="169"/>
      <c r="U64" s="169"/>
      <c r="V64" s="169"/>
      <c r="W64" s="169"/>
      <c r="X64" s="169"/>
      <c r="Y64" s="169"/>
      <c r="Z64" s="169"/>
      <c r="AA64" s="169">
        <f>IF($I64="B1","",SUM(O64:Z64))</f>
        <v>0</v>
      </c>
      <c r="AB64" s="170" t="str">
        <f>IF(AA64=0,"",IFERROR(AA64/AA$19,""))</f>
        <v/>
      </c>
      <c r="AC64" s="140"/>
      <c r="AD64" s="169"/>
      <c r="AE64" s="170" t="str">
        <f>IF(AD64=0,"",IFERROR(AD64/AD$19,""))</f>
        <v/>
      </c>
      <c r="AF64" s="171">
        <f>IF(AND($AA64="",AD64=""),"",$AA64-AD64)</f>
        <v>0</v>
      </c>
      <c r="AG64" s="169"/>
      <c r="AH64" s="170" t="str">
        <f>IF(AG64=0,"",IFERROR(AG64/AG$19,""))</f>
        <v/>
      </c>
      <c r="AI64" s="171">
        <f>IF(AND($AA64="",AG64=""),"",$AA64-AG64)</f>
        <v>0</v>
      </c>
      <c r="AJ64" s="477">
        <f>IFERROR(AA64/AA$20,0)</f>
        <v>0</v>
      </c>
      <c r="AK64" s="478">
        <f>IFERROR(AD64/AD$20,0)</f>
        <v>0</v>
      </c>
      <c r="AL64" s="479">
        <f>IFERROR(AG64/AG$20,0)</f>
        <v>0</v>
      </c>
      <c r="AM64" s="480">
        <f>+IFERROR(ROUND(($AB64-AE64)*100,2)&amp;" pts.",0)</f>
        <v>0</v>
      </c>
      <c r="AN64" s="557">
        <f>+IFERROR(ROUND(($AB64-AH64)*100,2)&amp;" pts.",0)</f>
        <v>0</v>
      </c>
      <c r="AO64" s="11"/>
    </row>
    <row r="65" spans="1:41" ht="15" thickTop="1" x14ac:dyDescent="0.35">
      <c r="A65" s="65" t="s">
        <v>46</v>
      </c>
      <c r="B65" s="66"/>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35">
      <c r="A66" s="11"/>
      <c r="B66" s="11"/>
      <c r="C66" s="11"/>
      <c r="D66" s="11"/>
      <c r="E66" s="11"/>
      <c r="F66" s="11"/>
      <c r="G66" s="11"/>
      <c r="H66" s="11"/>
      <c r="I66" s="59"/>
      <c r="J66" s="59"/>
      <c r="K66" s="11"/>
      <c r="L66" s="59"/>
      <c r="M66" s="59"/>
      <c r="N66" s="104" t="str">
        <f>N63&amp;" - Check"</f>
        <v>Total Payroll Related - Check</v>
      </c>
      <c r="O66" s="209">
        <f t="shared" ref="O66:AA66" si="36">SUMIF($H$35:$H$63,"PAY_TAXES",O$35:O$63)+SUMIF($H$35:$H$63,"SUP_PAY",O$35:O$63)+SUMIF($H$35:$H$63,"EMP_BEN",O$35:O$63)-SUMIF($H$35:$H$63,"PAY_RELATED",O$35:O$63)</f>
        <v>0</v>
      </c>
      <c r="P66" s="209">
        <f t="shared" si="36"/>
        <v>0</v>
      </c>
      <c r="Q66" s="209">
        <f t="shared" si="36"/>
        <v>0</v>
      </c>
      <c r="R66" s="209">
        <f t="shared" si="36"/>
        <v>0</v>
      </c>
      <c r="S66" s="209">
        <f t="shared" si="36"/>
        <v>0</v>
      </c>
      <c r="T66" s="209">
        <f t="shared" si="36"/>
        <v>0</v>
      </c>
      <c r="U66" s="209">
        <f t="shared" si="36"/>
        <v>0</v>
      </c>
      <c r="V66" s="209">
        <f t="shared" si="36"/>
        <v>0</v>
      </c>
      <c r="W66" s="209">
        <f t="shared" si="36"/>
        <v>0</v>
      </c>
      <c r="X66" s="209">
        <f t="shared" si="36"/>
        <v>0</v>
      </c>
      <c r="Y66" s="209">
        <f t="shared" si="36"/>
        <v>0</v>
      </c>
      <c r="Z66" s="209">
        <f t="shared" si="36"/>
        <v>0</v>
      </c>
      <c r="AA66" s="209">
        <f t="shared" si="36"/>
        <v>0</v>
      </c>
      <c r="AB66" s="100"/>
      <c r="AC66" s="11"/>
      <c r="AD66" s="209">
        <f>SUMIF($H$35:$H$63,"PAY_TAXES",AD$35:AD$63)+SUMIF($H$35:$H$63,"SUP_PAY",AD$35:AD$63)+SUMIF($H$35:$H$63,"EMP_BEN",AD$35:AD$63)-SUMIF($H$35:$H$63,"PAY_RELATED",AD$35:AD$63)</f>
        <v>0</v>
      </c>
      <c r="AE66" s="100"/>
      <c r="AF66" s="91"/>
      <c r="AG66" s="209">
        <f>SUMIF($H$35:$H$63,"PAY_TAXES",AG$35:AG$63)+SUMIF($H$35:$H$63,"SUP_PAY",AG$35:AG$63)+SUMIF($H$35:$H$63,"EMP_BEN",AG$35:AG$63)-SUMIF($H$35:$H$63,"PAY_RELATED",AG$35:AG$63)</f>
        <v>0</v>
      </c>
      <c r="AH66" s="100"/>
      <c r="AI66" s="91"/>
      <c r="AJ66" s="11"/>
      <c r="AK66" s="11"/>
      <c r="AL66" s="11"/>
      <c r="AM66" s="11"/>
      <c r="AN66" s="11"/>
      <c r="AO66" s="11"/>
    </row>
    <row r="67" spans="1:41" x14ac:dyDescent="0.35">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35">
      <c r="A68" s="11"/>
      <c r="B68" s="11"/>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3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35">
      <c r="A70" s="11"/>
      <c r="B70" s="11"/>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35">
      <c r="A71" s="11"/>
      <c r="B71" s="11"/>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35">
      <c r="A72" s="11"/>
      <c r="B72" s="11"/>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35">
      <c r="A73" s="11"/>
      <c r="B73" s="11"/>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35">
      <c r="A74" s="11"/>
      <c r="B74" s="11"/>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35">
      <c r="A75" s="11"/>
      <c r="B75" s="11"/>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35">
      <c r="A76" s="11"/>
      <c r="B76" s="11"/>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35">
      <c r="A77" s="11"/>
      <c r="B77" s="11"/>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35">
      <c r="A78" s="11"/>
      <c r="B78" s="11"/>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3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35">
      <c r="A80" s="11"/>
      <c r="B80" s="11"/>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35">
      <c r="A81" s="11"/>
      <c r="B81" s="11"/>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3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3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3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3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3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3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3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3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3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3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3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3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3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3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3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sheetData>
  <sheetProtection algorithmName="SHA-512" hashValue="s6gSHPErTvygLEEXif8M2KwErytGkqUAKMH4dTPP6vMTnhwJ6ybNc0LWWxc+7HEugSLPHsdfrXDBFWk6TUAFig==" saltValue="bcl7PJgv8syM8oseKYu/Fw==" spinCount="100000" sheet="1" scenarios="1"/>
  <mergeCells count="2">
    <mergeCell ref="AD31:AE31"/>
    <mergeCell ref="AG31:AH31"/>
  </mergeCells>
  <dataValidations disablePrompts="1" count="2">
    <dataValidation type="list" allowBlank="1" sqref="B29" xr:uid="{00000000-0002-0000-3000-000000000000}">
      <formula1>"SELF,ALL,BAS,DEP,BASMEMBERS,MEMBERS,NOEXPAND,GDEP"</formula1>
    </dataValidation>
    <dataValidation type="list" allowBlank="1" sqref="B28" xr:uid="{00000000-0002-0000-3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7587" r:id="rId7" name="FPMExcelClientSheetOptionstb1">
          <controlPr defaultSize="0" autoLine="0" r:id="rId8">
            <anchor moveWithCells="1" sizeWithCells="1">
              <from>
                <xdr:col>0</xdr:col>
                <xdr:colOff>0</xdr:colOff>
                <xdr:row>0</xdr:row>
                <xdr:rowOff>0</xdr:rowOff>
              </from>
              <to>
                <xdr:col>13</xdr:col>
                <xdr:colOff>908050</xdr:colOff>
                <xdr:row>0</xdr:row>
                <xdr:rowOff>0</xdr:rowOff>
              </to>
            </anchor>
          </controlPr>
        </control>
      </mc:Choice>
      <mc:Fallback>
        <control shapeId="67587"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95</vt:i4>
      </vt:variant>
    </vt:vector>
  </HeadingPairs>
  <TitlesOfParts>
    <vt:vector size="144" baseType="lpstr">
      <vt:lpstr>SetUp</vt:lpstr>
      <vt:lpstr>Summary</vt:lpstr>
      <vt:lpstr>Rooms</vt:lpstr>
      <vt:lpstr>MMA</vt:lpstr>
      <vt:lpstr>Resv</vt:lpstr>
      <vt:lpstr>FB_Cons</vt:lpstr>
      <vt:lpstr>FB_KPI</vt:lpstr>
      <vt:lpstr>Venue1</vt:lpstr>
      <vt:lpstr>Venue1_KPI</vt:lpstr>
      <vt:lpstr>Venue2</vt:lpstr>
      <vt:lpstr>Venue2_KPI</vt:lpstr>
      <vt:lpstr>Venue3</vt:lpstr>
      <vt:lpstr>Venue3_KPI</vt:lpstr>
      <vt:lpstr>Venue4</vt:lpstr>
      <vt:lpstr>Venue4_KPI</vt:lpstr>
      <vt:lpstr>Venue5</vt:lpstr>
      <vt:lpstr>Venue5_KPI</vt:lpstr>
      <vt:lpstr>Venue6</vt:lpstr>
      <vt:lpstr>Venue6_KPI</vt:lpstr>
      <vt:lpstr>VenueBar</vt:lpstr>
      <vt:lpstr>VenueBar_KPI</vt:lpstr>
      <vt:lpstr>IRD</vt:lpstr>
      <vt:lpstr>IRD_KPI</vt:lpstr>
      <vt:lpstr>BCC_CONS</vt:lpstr>
      <vt:lpstr>BCC_CONS_KPI</vt:lpstr>
      <vt:lpstr>BCC_Group</vt:lpstr>
      <vt:lpstr>BCC_KPI_Group</vt:lpstr>
      <vt:lpstr>BCC_Local</vt:lpstr>
      <vt:lpstr>BCC_KPI_Local</vt:lpstr>
      <vt:lpstr>Mini_Bar</vt:lpstr>
      <vt:lpstr>OTH_OP</vt:lpstr>
      <vt:lpstr>Telcom_Legacy</vt:lpstr>
      <vt:lpstr>HC_SPA</vt:lpstr>
      <vt:lpstr>Parking</vt:lpstr>
      <vt:lpstr>Retail</vt:lpstr>
      <vt:lpstr>FB_Retail</vt:lpstr>
      <vt:lpstr>Minor_Op</vt:lpstr>
      <vt:lpstr>MISC_INC</vt:lpstr>
      <vt:lpstr>AG</vt:lpstr>
      <vt:lpstr>HR_Detail</vt:lpstr>
      <vt:lpstr>IT</vt:lpstr>
      <vt:lpstr>SM</vt:lpstr>
      <vt:lpstr>POM</vt:lpstr>
      <vt:lpstr>EC</vt:lpstr>
      <vt:lpstr>Mgt_Fees</vt:lpstr>
      <vt:lpstr>Non_Op</vt:lpstr>
      <vt:lpstr>Laundry</vt:lpstr>
      <vt:lpstr>Dining</vt:lpstr>
      <vt:lpstr>PR_Related</vt:lpstr>
      <vt:lpstr>AG!Print_Area</vt:lpstr>
      <vt:lpstr>BCC_CONS!Print_Area</vt:lpstr>
      <vt:lpstr>BCC_CONS_KPI!Print_Area</vt:lpstr>
      <vt:lpstr>BCC_Group!Print_Area</vt:lpstr>
      <vt:lpstr>BCC_KPI_Group!Print_Area</vt:lpstr>
      <vt:lpstr>BCC_KPI_Local!Print_Area</vt:lpstr>
      <vt:lpstr>BCC_Local!Print_Area</vt:lpstr>
      <vt:lpstr>Dining!Print_Area</vt:lpstr>
      <vt:lpstr>EC!Print_Area</vt:lpstr>
      <vt:lpstr>FB_Cons!Print_Area</vt:lpstr>
      <vt:lpstr>FB_KPI!Print_Area</vt:lpstr>
      <vt:lpstr>FB_Retail!Print_Area</vt:lpstr>
      <vt:lpstr>HC_SPA!Print_Area</vt:lpstr>
      <vt:lpstr>HR_Detail!Print_Area</vt:lpstr>
      <vt:lpstr>IRD!Print_Area</vt:lpstr>
      <vt:lpstr>IRD_KPI!Print_Area</vt:lpstr>
      <vt:lpstr>IT!Print_Area</vt:lpstr>
      <vt:lpstr>Laundry!Print_Area</vt:lpstr>
      <vt:lpstr>Mgt_Fees!Print_Area</vt:lpstr>
      <vt:lpstr>Mini_Bar!Print_Area</vt:lpstr>
      <vt:lpstr>Minor_Op!Print_Area</vt:lpstr>
      <vt:lpstr>MISC_INC!Print_Area</vt:lpstr>
      <vt:lpstr>MMA!Print_Area</vt:lpstr>
      <vt:lpstr>Non_Op!Print_Area</vt:lpstr>
      <vt:lpstr>OTH_OP!Print_Area</vt:lpstr>
      <vt:lpstr>Parking!Print_Area</vt:lpstr>
      <vt:lpstr>POM!Print_Area</vt:lpstr>
      <vt:lpstr>PR_Related!Print_Area</vt:lpstr>
      <vt:lpstr>Resv!Print_Area</vt:lpstr>
      <vt:lpstr>Retail!Print_Area</vt:lpstr>
      <vt:lpstr>Rooms!Print_Area</vt:lpstr>
      <vt:lpstr>SM!Print_Area</vt:lpstr>
      <vt:lpstr>Summary!Print_Area</vt:lpstr>
      <vt:lpstr>Telcom_Legacy!Print_Area</vt:lpstr>
      <vt:lpstr>Venue1!Print_Area</vt:lpstr>
      <vt:lpstr>Venue1_KPI!Print_Area</vt:lpstr>
      <vt:lpstr>Venue2!Print_Area</vt:lpstr>
      <vt:lpstr>Venue2_KPI!Print_Area</vt:lpstr>
      <vt:lpstr>Venue3!Print_Area</vt:lpstr>
      <vt:lpstr>Venue3_KPI!Print_Area</vt:lpstr>
      <vt:lpstr>Venue4!Print_Area</vt:lpstr>
      <vt:lpstr>Venue4_KPI!Print_Area</vt:lpstr>
      <vt:lpstr>Venue5!Print_Area</vt:lpstr>
      <vt:lpstr>Venue5_KPI!Print_Area</vt:lpstr>
      <vt:lpstr>Venue6!Print_Area</vt:lpstr>
      <vt:lpstr>Venue6_KPI!Print_Area</vt:lpstr>
      <vt:lpstr>VenueBar!Print_Area</vt:lpstr>
      <vt:lpstr>VenueBar_KPI!Print_Area</vt:lpstr>
      <vt:lpstr>AG!Print_Titles</vt:lpstr>
      <vt:lpstr>BCC_CONS_KPI!Print_Titles</vt:lpstr>
      <vt:lpstr>BCC_Group!Print_Titles</vt:lpstr>
      <vt:lpstr>BCC_KPI_Group!Print_Titles</vt:lpstr>
      <vt:lpstr>BCC_KPI_Local!Print_Titles</vt:lpstr>
      <vt:lpstr>BCC_Local!Print_Titles</vt:lpstr>
      <vt:lpstr>Dining!Print_Titles</vt:lpstr>
      <vt:lpstr>EC!Print_Titles</vt:lpstr>
      <vt:lpstr>FB_Cons!Print_Titles</vt:lpstr>
      <vt:lpstr>FB_KPI!Print_Titles</vt:lpstr>
      <vt:lpstr>FB_Retail!Print_Titles</vt:lpstr>
      <vt:lpstr>HC_SPA!Print_Titles</vt:lpstr>
      <vt:lpstr>HR_Detail!Print_Titles</vt:lpstr>
      <vt:lpstr>IRD!Print_Titles</vt:lpstr>
      <vt:lpstr>IRD_KPI!Print_Titles</vt:lpstr>
      <vt:lpstr>IT!Print_Titles</vt:lpstr>
      <vt:lpstr>Laundry!Print_Titles</vt:lpstr>
      <vt:lpstr>Mgt_Fees!Print_Titles</vt:lpstr>
      <vt:lpstr>Mini_Bar!Print_Titles</vt:lpstr>
      <vt:lpstr>Minor_Op!Print_Titles</vt:lpstr>
      <vt:lpstr>MISC_INC!Print_Titles</vt:lpstr>
      <vt:lpstr>MMA!Print_Titles</vt:lpstr>
      <vt:lpstr>Non_Op!Print_Titles</vt:lpstr>
      <vt:lpstr>OTH_OP!Print_Titles</vt:lpstr>
      <vt:lpstr>Parking!Print_Titles</vt:lpstr>
      <vt:lpstr>POM!Print_Titles</vt:lpstr>
      <vt:lpstr>PR_Related!Print_Titles</vt:lpstr>
      <vt:lpstr>Resv!Print_Titles</vt:lpstr>
      <vt:lpstr>Retail!Print_Titles</vt:lpstr>
      <vt:lpstr>Rooms!Print_Titles</vt:lpstr>
      <vt:lpstr>SM!Print_Titles</vt:lpstr>
      <vt:lpstr>Summary!Print_Titles</vt:lpstr>
      <vt:lpstr>Telcom_Legacy!Print_Titles</vt:lpstr>
      <vt:lpstr>Venue1!Print_Titles</vt:lpstr>
      <vt:lpstr>Venue1_KPI!Print_Titles</vt:lpstr>
      <vt:lpstr>Venue2!Print_Titles</vt:lpstr>
      <vt:lpstr>Venue2_KPI!Print_Titles</vt:lpstr>
      <vt:lpstr>Venue3!Print_Titles</vt:lpstr>
      <vt:lpstr>Venue3_KPI!Print_Titles</vt:lpstr>
      <vt:lpstr>Venue4!Print_Titles</vt:lpstr>
      <vt:lpstr>Venue4_KPI!Print_Titles</vt:lpstr>
      <vt:lpstr>Venue5!Print_Titles</vt:lpstr>
      <vt:lpstr>Venue5_KPI!Print_Titles</vt:lpstr>
      <vt:lpstr>Venue6!Print_Titles</vt:lpstr>
      <vt:lpstr>Venue6_KPI!Print_Titles</vt:lpstr>
      <vt:lpstr>VenueBar!Print_Titles</vt:lpstr>
      <vt:lpstr>VenueBar_KPI!Print_Titles</vt:lpstr>
    </vt:vector>
  </TitlesOfParts>
  <Company>Kimpton Hotels &amp; Restaurants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Kaitlyn Pressley</dc:creator>
  <cp:lastModifiedBy>Hyun Lee</cp:lastModifiedBy>
  <cp:lastPrinted>2020-07-07T15:00:22Z</cp:lastPrinted>
  <dcterms:created xsi:type="dcterms:W3CDTF">2014-09-26T18:28:08Z</dcterms:created>
  <dcterms:modified xsi:type="dcterms:W3CDTF">2021-01-20T02:06:23Z</dcterms:modified>
</cp:coreProperties>
</file>